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18-00039\2018-02-13 AG Filing (CD Copy)\"/>
    </mc:Choice>
  </mc:AlternateContent>
  <bookViews>
    <workbookView xWindow="-15" yWindow="6255" windowWidth="20730" windowHeight="6075" tabRatio="792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Allocation!$A$1:$I$29</definedName>
    <definedName name="_xlnm.Print_Area" localSheetId="5">'B.1 B'!$A$1:$F$31</definedName>
    <definedName name="_xlnm.Print_Area" localSheetId="6">'B.1 F '!$A$1:$F$31</definedName>
    <definedName name="_xlnm.Print_Area" localSheetId="7">'B.2 B'!$A$1:$N$233</definedName>
    <definedName name="_xlnm.Print_Area" localSheetId="8">'B.2 F'!$A$1:$N$233</definedName>
    <definedName name="_xlnm.Print_Area" localSheetId="9">'B.3 B'!$A$1:$N$230</definedName>
    <definedName name="_xlnm.Print_Area" localSheetId="10">'B.3 F'!$A$1:$N$230</definedName>
    <definedName name="_xlnm.Print_Area" localSheetId="11">'B.3.1 F'!$A$1:$H$228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02'!$A$1:$P$43</definedName>
    <definedName name="_xlnm.Print_Area" localSheetId="33">'C.2.2 B 09'!$A$1:$P$113</definedName>
    <definedName name="_xlnm.Print_Area" localSheetId="35">'C.2.2 B 12'!$A$1:$P$37</definedName>
    <definedName name="_xlnm.Print_Area" localSheetId="36">'C.2.2 B 91'!$A$1:$P$57</definedName>
    <definedName name="_xlnm.Print_Area" localSheetId="38">'C.2.2-F 02'!$A$1:$P$41</definedName>
    <definedName name="_xlnm.Print_Area" localSheetId="37">'C.2.2-F 09'!$A$1:$P$112</definedName>
    <definedName name="_xlnm.Print_Area" localSheetId="39">'C.2.2-F 12'!$A$1:$P$37</definedName>
    <definedName name="_xlnm.Print_Area" localSheetId="40">'C.2.2-F 91'!$A$1:$P$55</definedName>
    <definedName name="_xlnm.Print_Area" localSheetId="41">'C.2.3 B'!$A$1:$O$67</definedName>
    <definedName name="_xlnm.Print_Area" localSheetId="42">'C.2.3 F'!$A$1:$O$68</definedName>
    <definedName name="_xlnm.Print_Area" localSheetId="2">'Cover A'!$A$1:$D$21</definedName>
    <definedName name="_xlnm.Print_Area" localSheetId="4">'Cover B'!$A$1:$C$26</definedName>
    <definedName name="_xlnm.Print_Area" localSheetId="28">'Cover C'!$A$1:$C$22</definedName>
    <definedName name="_xlnm.Print_Area" localSheetId="43">'Cover D'!$A$1:$D$25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D.2.1!$A$1:$D$71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F.1!$A$1:$G$135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F.6!$A$1:$N$32</definedName>
    <definedName name="_xlnm.Print_Area" localSheetId="59">F.7!$A$1:$I$51</definedName>
    <definedName name="_xlnm.Print_Area" localSheetId="60">F.8!$A$1:$J$28</definedName>
    <definedName name="_xlnm.Print_Area" localSheetId="61">F.9!$A$1:$G$34</definedName>
    <definedName name="_xlnm.Print_Area" localSheetId="63">G.1!$A$1:$M$34</definedName>
    <definedName name="_xlnm.Print_Area" localSheetId="64">G.2!$A$1:$P$55</definedName>
    <definedName name="_xlnm.Print_Area" localSheetId="65">G.3!$A$1:$K$46</definedName>
    <definedName name="_xlnm.Print_Area" localSheetId="66">H.1!$A$1:$E$36</definedName>
    <definedName name="_xlnm.Print_Area" localSheetId="67">I.1!$A$1:$P$47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B'!$A$1:$L$23</definedName>
    <definedName name="_xlnm.Print_Area" localSheetId="76">'J-2 F'!$A$1:$L$34</definedName>
    <definedName name="_xlnm.Print_Area" localSheetId="72">'J-3 B'!$A$1:$K$33</definedName>
    <definedName name="_xlnm.Print_Area" localSheetId="77">'J-3 F'!$A$1:$K$33</definedName>
    <definedName name="_xlnm.Print_Area" localSheetId="73">'J-4'!$A$1:$S$16</definedName>
    <definedName name="_xlnm.Print_Area" localSheetId="78">K!$A$1:$R$135</definedName>
    <definedName name="_xlnm.Print_Area" localSheetId="0">'Table of Contents'!$A$1:$C$23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E23" i="212" l="1"/>
  <c r="M21" i="46" l="1"/>
  <c r="J29" i="98"/>
  <c r="F29" i="98"/>
  <c r="L29" i="98" l="1"/>
  <c r="H25" i="98"/>
  <c r="T17" i="202" l="1"/>
  <c r="E27" i="212"/>
  <c r="I82" i="232" l="1"/>
  <c r="L51" i="232"/>
  <c r="D68" i="232" l="1"/>
  <c r="D70" i="232" s="1"/>
  <c r="N14" i="106" l="1"/>
  <c r="J14" i="106"/>
  <c r="J21" i="106"/>
  <c r="J20" i="106" l="1"/>
  <c r="J25" i="106"/>
  <c r="J17" i="106"/>
  <c r="J24" i="106"/>
  <c r="J16" i="106"/>
  <c r="F24" i="3"/>
  <c r="D24" i="3"/>
  <c r="J23" i="106"/>
  <c r="J19" i="106"/>
  <c r="J15" i="106"/>
  <c r="I15" i="106" s="1"/>
  <c r="I16" i="106" s="1"/>
  <c r="J26" i="106"/>
  <c r="J22" i="106"/>
  <c r="J18" i="106"/>
  <c r="J27" i="106" l="1"/>
  <c r="I17" i="106"/>
  <c r="I18" i="106" s="1"/>
  <c r="I19" i="106" s="1"/>
  <c r="I20" i="106" s="1"/>
  <c r="I21" i="106" s="1"/>
  <c r="I22" i="106" s="1"/>
  <c r="I23" i="106" s="1"/>
  <c r="I24" i="106" s="1"/>
  <c r="I25" i="106" s="1"/>
  <c r="I26" i="106" s="1"/>
  <c r="I27" i="106" l="1"/>
  <c r="G23" i="4" l="1"/>
  <c r="K23" i="4" l="1"/>
  <c r="G25" i="4" l="1"/>
  <c r="H43" i="10" s="1"/>
  <c r="O17" i="238" l="1"/>
  <c r="O31" i="238"/>
  <c r="G18" i="249"/>
  <c r="K19" i="34" l="1"/>
  <c r="K18" i="34"/>
  <c r="K23" i="34" l="1"/>
  <c r="K24" i="34"/>
  <c r="L91" i="222" l="1"/>
  <c r="H91" i="222"/>
  <c r="O91" i="222"/>
  <c r="K91" i="222"/>
  <c r="G91" i="222"/>
  <c r="N91" i="222"/>
  <c r="J91" i="222"/>
  <c r="F91" i="222"/>
  <c r="D91" i="222"/>
  <c r="M91" i="222"/>
  <c r="I91" i="222"/>
  <c r="E91" i="222"/>
  <c r="S26" i="39" l="1"/>
  <c r="S27" i="39"/>
  <c r="S28" i="39"/>
  <c r="S25" i="39"/>
  <c r="L107" i="209" l="1"/>
  <c r="N107" i="209" s="1"/>
  <c r="M107" i="209"/>
  <c r="L108" i="209"/>
  <c r="N108" i="209" s="1"/>
  <c r="M108" i="209"/>
  <c r="G107" i="209"/>
  <c r="H107" i="209"/>
  <c r="F107" i="209"/>
  <c r="I107" i="209" s="1"/>
  <c r="L107" i="236"/>
  <c r="M107" i="236"/>
  <c r="N107" i="236"/>
  <c r="H107" i="236"/>
  <c r="G107" i="236"/>
  <c r="F107" i="236"/>
  <c r="I107" i="236" l="1"/>
  <c r="C132" i="248"/>
  <c r="C131" i="248"/>
  <c r="C130" i="248"/>
  <c r="C129" i="248"/>
  <c r="C128" i="248"/>
  <c r="C127" i="248"/>
  <c r="C126" i="248"/>
  <c r="C125" i="248"/>
  <c r="C124" i="248"/>
  <c r="C123" i="248"/>
  <c r="C122" i="248"/>
  <c r="C121" i="248"/>
  <c r="C120" i="248"/>
  <c r="C119" i="248"/>
  <c r="C118" i="248"/>
  <c r="C117" i="248"/>
  <c r="C116" i="248"/>
  <c r="C115" i="248"/>
  <c r="C114" i="248"/>
  <c r="C113" i="248"/>
  <c r="C112" i="248"/>
  <c r="C111" i="248"/>
  <c r="C110" i="248"/>
  <c r="C109" i="248"/>
  <c r="C108" i="248"/>
  <c r="C107" i="248"/>
  <c r="C106" i="248"/>
  <c r="C105" i="248"/>
  <c r="C104" i="248"/>
  <c r="C103" i="248"/>
  <c r="C102" i="248"/>
  <c r="C101" i="248"/>
  <c r="C100" i="248"/>
  <c r="C99" i="248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C86" i="248"/>
  <c r="C85" i="248"/>
  <c r="C84" i="248"/>
  <c r="C83" i="248"/>
  <c r="C82" i="248"/>
  <c r="C81" i="248"/>
  <c r="C80" i="248"/>
  <c r="C79" i="248"/>
  <c r="C78" i="248"/>
  <c r="C77" i="248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I16" i="171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F198" i="209" l="1"/>
  <c r="F195" i="213"/>
  <c r="F196" i="213"/>
  <c r="D29" i="45" l="1"/>
  <c r="K25" i="39"/>
  <c r="K26" i="39"/>
  <c r="K27" i="39"/>
  <c r="K28" i="39"/>
  <c r="J36" i="42"/>
  <c r="L36" i="42" s="1"/>
  <c r="O12" i="39"/>
  <c r="M12" i="39"/>
  <c r="O12" i="41"/>
  <c r="M12" i="41"/>
  <c r="F195" i="207" l="1"/>
  <c r="J15" i="44" l="1"/>
  <c r="K15" i="44" s="1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D38" i="190"/>
  <c r="E38" i="190"/>
  <c r="F38" i="190"/>
  <c r="G38" i="190"/>
  <c r="H38" i="190"/>
  <c r="I38" i="190"/>
  <c r="E32" i="193"/>
  <c r="F32" i="193"/>
  <c r="G32" i="193"/>
  <c r="H32" i="193"/>
  <c r="I32" i="193"/>
  <c r="D32" i="193"/>
  <c r="P15" i="192" l="1"/>
  <c r="D30" i="193"/>
  <c r="J42" i="192" l="1"/>
  <c r="J50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99"/>
  <c r="G18" i="99"/>
  <c r="G19" i="99"/>
  <c r="G20" i="99"/>
  <c r="G21" i="99"/>
  <c r="G22" i="99"/>
  <c r="G23" i="99"/>
  <c r="G24" i="99"/>
  <c r="G17" i="99"/>
  <c r="G16" i="99"/>
  <c r="E16" i="99"/>
  <c r="E19" i="99"/>
  <c r="E20" i="99"/>
  <c r="E21" i="99"/>
  <c r="E22" i="99"/>
  <c r="E23" i="99"/>
  <c r="E17" i="99"/>
  <c r="C16" i="99"/>
  <c r="C18" i="99"/>
  <c r="C19" i="99"/>
  <c r="C20" i="99"/>
  <c r="C21" i="99"/>
  <c r="C22" i="99"/>
  <c r="C23" i="99"/>
  <c r="C24" i="99"/>
  <c r="C17" i="99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J18" i="98"/>
  <c r="A30" i="8" l="1"/>
  <c r="A31" i="8" s="1"/>
  <c r="A32" i="8" s="1"/>
  <c r="A33" i="8" s="1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37" i="42"/>
  <c r="O29" i="42"/>
  <c r="H37" i="42"/>
  <c r="H29" i="42"/>
  <c r="H19" i="42"/>
  <c r="H22" i="42" s="1"/>
  <c r="I33" i="10" l="1"/>
  <c r="I66" i="10"/>
  <c r="I64" i="10"/>
  <c r="O22" i="42"/>
  <c r="O31" i="42" s="1"/>
  <c r="O41" i="42" s="1"/>
  <c r="H31" i="42"/>
  <c r="H41" i="42" s="1"/>
  <c r="H44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6" i="190" l="1"/>
  <c r="A15" i="190" l="1"/>
  <c r="A16" i="190" s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Q22" i="241" l="1"/>
  <c r="G108" i="236" l="1"/>
  <c r="H108" i="236"/>
  <c r="L108" i="236"/>
  <c r="M108" i="236"/>
  <c r="F108" i="236"/>
  <c r="I108" i="236" l="1"/>
  <c r="N108" i="236"/>
  <c r="F211" i="213"/>
  <c r="D119" i="213" l="1"/>
  <c r="F211" i="207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K64" i="171" l="1"/>
  <c r="L64" i="171" s="1"/>
  <c r="M64" i="171" s="1"/>
  <c r="N64" i="171" s="1"/>
  <c r="M9" i="95" l="1"/>
  <c r="N18" i="42" l="1"/>
  <c r="G16" i="249" l="1"/>
  <c r="J36" i="171" l="1"/>
  <c r="K36" i="171" s="1"/>
  <c r="L36" i="171" s="1"/>
  <c r="M36" i="171" s="1"/>
  <c r="N36" i="171" s="1"/>
  <c r="J65" i="171"/>
  <c r="K65" i="171" s="1"/>
  <c r="L65" i="171" s="1"/>
  <c r="M65" i="171" s="1"/>
  <c r="N65" i="171" s="1"/>
  <c r="J37" i="171"/>
  <c r="K37" i="171" s="1"/>
  <c r="L37" i="171" s="1"/>
  <c r="M37" i="171" s="1"/>
  <c r="N37" i="171" s="1"/>
  <c r="J50" i="171"/>
  <c r="K50" i="171" s="1"/>
  <c r="L50" i="171" s="1"/>
  <c r="M50" i="171" s="1"/>
  <c r="N50" i="171" s="1"/>
  <c r="J49" i="171"/>
  <c r="K49" i="171" s="1"/>
  <c r="L49" i="171" s="1"/>
  <c r="M49" i="171" s="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H57" i="238" l="1"/>
  <c r="H58" i="238"/>
  <c r="F58" i="238"/>
  <c r="F56" i="238"/>
  <c r="G58" i="238"/>
  <c r="G57" i="238"/>
  <c r="K58" i="238"/>
  <c r="K57" i="238"/>
  <c r="I58" i="238"/>
  <c r="I56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F45" i="238"/>
  <c r="F43" i="238"/>
  <c r="P30" i="231"/>
  <c r="P22" i="231"/>
  <c r="F108" i="209"/>
  <c r="G108" i="209"/>
  <c r="H108" i="209"/>
  <c r="F44" i="238" l="1"/>
  <c r="J56" i="238"/>
  <c r="H43" i="238"/>
  <c r="G30" i="238"/>
  <c r="G29" i="238"/>
  <c r="G56" i="238"/>
  <c r="F57" i="238"/>
  <c r="G43" i="238"/>
  <c r="F30" i="238"/>
  <c r="F29" i="238"/>
  <c r="K43" i="238"/>
  <c r="J43" i="238"/>
  <c r="I43" i="238"/>
  <c r="I57" i="238"/>
  <c r="K56" i="238"/>
  <c r="H30" i="238"/>
  <c r="H29" i="238"/>
  <c r="H56" i="238"/>
  <c r="I108" i="209"/>
  <c r="M30" i="238" l="1"/>
  <c r="J30" i="238"/>
  <c r="N30" i="238"/>
  <c r="K30" i="238"/>
  <c r="M29" i="238"/>
  <c r="J29" i="238"/>
  <c r="L30" i="238"/>
  <c r="I30" i="238"/>
  <c r="N29" i="238"/>
  <c r="K29" i="238"/>
  <c r="I29" i="238"/>
  <c r="L29" i="238"/>
  <c r="I28" i="238"/>
  <c r="K28" i="238"/>
  <c r="H28" i="238"/>
  <c r="F28" i="238"/>
  <c r="J28" i="238"/>
  <c r="G28" i="238"/>
  <c r="G20" i="249"/>
  <c r="G22" i="249" s="1"/>
  <c r="G9" i="249" l="1"/>
  <c r="A2" i="249"/>
  <c r="A1" i="249"/>
  <c r="F106" i="237" l="1"/>
  <c r="G106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131" i="248"/>
  <c r="F69" i="248"/>
  <c r="G23" i="34" l="1"/>
  <c r="G24" i="34" l="1"/>
  <c r="D18" i="102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69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117" i="51" l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D8" i="214"/>
  <c r="E11" i="230" s="1"/>
  <c r="C8" i="214" l="1"/>
  <c r="D11" i="230" s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I20" i="212"/>
  <c r="H176" i="209"/>
  <c r="H174" i="213"/>
  <c r="I21" i="212"/>
  <c r="H207" i="209"/>
  <c r="G205" i="237"/>
  <c r="H206" i="213"/>
  <c r="H179" i="213" l="1"/>
  <c r="H181" i="209"/>
  <c r="H116" i="207"/>
  <c r="H119" i="236"/>
  <c r="G173" i="207"/>
  <c r="G175" i="236"/>
  <c r="G205" i="207"/>
  <c r="G206" i="236"/>
  <c r="H205" i="207"/>
  <c r="H211" i="207" s="1"/>
  <c r="M211" i="207" s="1"/>
  <c r="H206" i="236"/>
  <c r="F204" i="237"/>
  <c r="G206" i="209"/>
  <c r="G205" i="213"/>
  <c r="H205" i="213"/>
  <c r="H211" i="213" s="1"/>
  <c r="M211" i="213" s="1"/>
  <c r="G204" i="237"/>
  <c r="G210" i="237" s="1"/>
  <c r="H206" i="209"/>
  <c r="H212" i="209" s="1"/>
  <c r="M212" i="209" s="1"/>
  <c r="G173" i="237"/>
  <c r="H173" i="213"/>
  <c r="H175" i="209"/>
  <c r="H198" i="209" s="1"/>
  <c r="M198" i="209" s="1"/>
  <c r="G175" i="209"/>
  <c r="G198" i="209" s="1"/>
  <c r="G173" i="213"/>
  <c r="F173" i="237"/>
  <c r="G117" i="237"/>
  <c r="H119" i="209"/>
  <c r="H116" i="213"/>
  <c r="H175" i="236"/>
  <c r="H173" i="207"/>
  <c r="H207" i="236"/>
  <c r="H206" i="207"/>
  <c r="H213" i="213"/>
  <c r="H223" i="213"/>
  <c r="H224" i="213"/>
  <c r="H209" i="213"/>
  <c r="H222" i="213"/>
  <c r="G223" i="237"/>
  <c r="G208" i="237"/>
  <c r="G222" i="237"/>
  <c r="G221" i="237"/>
  <c r="G212" i="237"/>
  <c r="H214" i="209"/>
  <c r="H225" i="209"/>
  <c r="H223" i="209"/>
  <c r="H224" i="209"/>
  <c r="H210" i="209"/>
  <c r="H176" i="236"/>
  <c r="G174" i="237"/>
  <c r="G179" i="237"/>
  <c r="H174" i="207"/>
  <c r="I17" i="212"/>
  <c r="I14" i="212"/>
  <c r="I15" i="212"/>
  <c r="K53" i="192" l="1"/>
  <c r="J53" i="192"/>
  <c r="E17" i="250"/>
  <c r="E30" i="250" s="1"/>
  <c r="J33" i="193"/>
  <c r="K33" i="193"/>
  <c r="M39" i="190"/>
  <c r="J39" i="190"/>
  <c r="N39" i="190"/>
  <c r="K39" i="190"/>
  <c r="O39" i="190"/>
  <c r="L39" i="190"/>
  <c r="E15" i="250"/>
  <c r="E27" i="250" s="1"/>
  <c r="E132" i="248"/>
  <c r="F132" i="248" s="1"/>
  <c r="E70" i="248"/>
  <c r="F70" i="248" s="1"/>
  <c r="H195" i="213"/>
  <c r="M195" i="213" s="1"/>
  <c r="H196" i="213"/>
  <c r="M196" i="213" s="1"/>
  <c r="G196" i="237"/>
  <c r="G195" i="237"/>
  <c r="L198" i="209"/>
  <c r="N198" i="209" s="1"/>
  <c r="I198" i="209"/>
  <c r="F196" i="237"/>
  <c r="F195" i="237"/>
  <c r="G196" i="213"/>
  <c r="G195" i="213"/>
  <c r="G212" i="209"/>
  <c r="F210" i="237"/>
  <c r="G211" i="207"/>
  <c r="H179" i="207"/>
  <c r="G211" i="213"/>
  <c r="H213" i="236"/>
  <c r="M213" i="236" s="1"/>
  <c r="H212" i="236"/>
  <c r="M212" i="236" s="1"/>
  <c r="G213" i="236"/>
  <c r="G212" i="236"/>
  <c r="D27" i="102"/>
  <c r="D28" i="102" s="1"/>
  <c r="H181" i="236"/>
  <c r="M33" i="193"/>
  <c r="N33" i="193"/>
  <c r="O33" i="193"/>
  <c r="L33" i="193"/>
  <c r="N53" i="192"/>
  <c r="M53" i="192"/>
  <c r="L53" i="192"/>
  <c r="O53" i="192"/>
  <c r="F21" i="247"/>
  <c r="D23" i="103"/>
  <c r="E25" i="100"/>
  <c r="D18" i="239"/>
  <c r="E21" i="105"/>
  <c r="D22" i="102"/>
  <c r="H178" i="236"/>
  <c r="H197" i="236"/>
  <c r="H192" i="236"/>
  <c r="H193" i="236"/>
  <c r="H195" i="236"/>
  <c r="H179" i="236"/>
  <c r="H186" i="236"/>
  <c r="H199" i="236"/>
  <c r="H190" i="236"/>
  <c r="H188" i="236"/>
  <c r="H189" i="236"/>
  <c r="H191" i="236"/>
  <c r="H182" i="236"/>
  <c r="H184" i="236"/>
  <c r="H185" i="236"/>
  <c r="H187" i="236"/>
  <c r="H194" i="236"/>
  <c r="H180" i="236"/>
  <c r="H183" i="236"/>
  <c r="H177" i="236"/>
  <c r="H196" i="236"/>
  <c r="H225" i="236"/>
  <c r="H224" i="236"/>
  <c r="H223" i="236"/>
  <c r="H214" i="236"/>
  <c r="H210" i="236"/>
  <c r="E39" i="100"/>
  <c r="D22" i="239"/>
  <c r="D37" i="103"/>
  <c r="D32" i="102"/>
  <c r="F27" i="247"/>
  <c r="E31" i="105"/>
  <c r="E26" i="105"/>
  <c r="D20" i="239"/>
  <c r="E32" i="100"/>
  <c r="D30" i="103"/>
  <c r="F24" i="247"/>
  <c r="H223" i="207"/>
  <c r="H222" i="207"/>
  <c r="H209" i="207"/>
  <c r="H213" i="207"/>
  <c r="H224" i="207"/>
  <c r="L212" i="209" l="1"/>
  <c r="H196" i="237"/>
  <c r="L195" i="213"/>
  <c r="N195" i="213" s="1"/>
  <c r="I195" i="213"/>
  <c r="L196" i="213"/>
  <c r="N196" i="213" s="1"/>
  <c r="I196" i="213"/>
  <c r="I211" i="207"/>
  <c r="L211" i="207"/>
  <c r="N211" i="207" s="1"/>
  <c r="I211" i="213"/>
  <c r="L211" i="213"/>
  <c r="N211" i="213" s="1"/>
  <c r="E28" i="250"/>
  <c r="E31" i="250"/>
  <c r="L212" i="236"/>
  <c r="L213" i="236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P14" i="44" l="1"/>
  <c r="D14" i="48" s="1"/>
  <c r="A14" i="79" l="1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0" i="44" l="1"/>
  <c r="F110" i="44"/>
  <c r="D110" i="44"/>
  <c r="I110" i="44"/>
  <c r="E110" i="44"/>
  <c r="H110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K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E226" i="213"/>
  <c r="E198" i="213"/>
  <c r="E226" i="207"/>
  <c r="E198" i="207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8" i="209" s="1"/>
  <c r="A109" i="209" s="1"/>
  <c r="A110" i="209" s="1"/>
  <c r="A111" i="209" s="1"/>
  <c r="A112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18" i="236"/>
  <c r="A19" i="236" s="1"/>
  <c r="A20" i="236" s="1"/>
  <c r="A21" i="236" s="1"/>
  <c r="A16" i="213"/>
  <c r="A17" i="213" s="1"/>
  <c r="A16" i="207"/>
  <c r="A17" i="207" s="1"/>
  <c r="A22" i="237" l="1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18" i="213"/>
  <c r="A19" i="213" s="1"/>
  <c r="A20" i="213" s="1"/>
  <c r="A21" i="213" s="1"/>
  <c r="A18" i="207"/>
  <c r="A19" i="207" s="1"/>
  <c r="A20" i="207" s="1"/>
  <c r="A21" i="207" s="1"/>
  <c r="A22" i="213" l="1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D12" i="237" l="1"/>
  <c r="C12" i="215" l="1"/>
  <c r="C12" i="30"/>
  <c r="H12" i="30" s="1"/>
  <c r="G185" i="236" l="1"/>
  <c r="G189" i="236"/>
  <c r="G182" i="236"/>
  <c r="G186" i="236"/>
  <c r="G190" i="236"/>
  <c r="G194" i="236"/>
  <c r="G188" i="236"/>
  <c r="G196" i="236"/>
  <c r="G193" i="236"/>
  <c r="G178" i="236"/>
  <c r="G183" i="236"/>
  <c r="G187" i="236"/>
  <c r="G191" i="236"/>
  <c r="G195" i="236"/>
  <c r="G199" i="236"/>
  <c r="G179" i="236"/>
  <c r="G184" i="236"/>
  <c r="G192" i="236"/>
  <c r="G177" i="236"/>
  <c r="G180" i="236"/>
  <c r="G197" i="236"/>
  <c r="H175" i="207"/>
  <c r="H176" i="207" s="1"/>
  <c r="H177" i="207" s="1"/>
  <c r="H178" i="207" s="1"/>
  <c r="H180" i="207" s="1"/>
  <c r="H181" i="207" s="1"/>
  <c r="H182" i="207" s="1"/>
  <c r="H183" i="207" s="1"/>
  <c r="H184" i="207" s="1"/>
  <c r="H185" i="207" s="1"/>
  <c r="H186" i="207" s="1"/>
  <c r="H187" i="207" s="1"/>
  <c r="H188" i="207" s="1"/>
  <c r="H189" i="207" s="1"/>
  <c r="H190" i="207" s="1"/>
  <c r="H191" i="207" s="1"/>
  <c r="H192" i="207" s="1"/>
  <c r="H193" i="207" s="1"/>
  <c r="M179" i="207"/>
  <c r="G175" i="207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J43" i="35"/>
  <c r="H36" i="35"/>
  <c r="H30" i="35"/>
  <c r="H25" i="35"/>
  <c r="J24" i="35"/>
  <c r="H18" i="35"/>
  <c r="H17" i="35"/>
  <c r="D38" i="79"/>
  <c r="F125" i="209"/>
  <c r="F126" i="209"/>
  <c r="F127" i="209"/>
  <c r="F128" i="209"/>
  <c r="F129" i="20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22" i="213"/>
  <c r="F123" i="213"/>
  <c r="F124" i="213"/>
  <c r="F125" i="213"/>
  <c r="F126" i="213"/>
  <c r="F128" i="213"/>
  <c r="F127" i="213"/>
  <c r="F129" i="213"/>
  <c r="F130" i="213"/>
  <c r="F131" i="213"/>
  <c r="F132" i="213"/>
  <c r="F133" i="213"/>
  <c r="F134" i="213"/>
  <c r="F135" i="213"/>
  <c r="F136" i="213"/>
  <c r="F137" i="213"/>
  <c r="F138" i="213"/>
  <c r="F139" i="213"/>
  <c r="F140" i="213"/>
  <c r="F141" i="213"/>
  <c r="F142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21" i="213"/>
  <c r="L173" i="213"/>
  <c r="M173" i="213"/>
  <c r="H117" i="213"/>
  <c r="M117" i="213" s="1"/>
  <c r="G209" i="209"/>
  <c r="M206" i="209"/>
  <c r="M175" i="209"/>
  <c r="M119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28" i="207"/>
  <c r="M128" i="207" s="1"/>
  <c r="G220" i="236"/>
  <c r="H226" i="236"/>
  <c r="L175" i="236"/>
  <c r="H150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G21" i="84"/>
  <c r="O44" i="42" s="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17" i="237"/>
  <c r="F118" i="237"/>
  <c r="F123" i="237"/>
  <c r="F124" i="237"/>
  <c r="F125" i="237"/>
  <c r="F126" i="237"/>
  <c r="F127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8" i="237"/>
  <c r="F149" i="237"/>
  <c r="F150" i="237"/>
  <c r="F151" i="237"/>
  <c r="F152" i="237"/>
  <c r="F153" i="237"/>
  <c r="F154" i="237"/>
  <c r="F155" i="237"/>
  <c r="F156" i="237"/>
  <c r="F157" i="237"/>
  <c r="F158" i="237"/>
  <c r="F159" i="237"/>
  <c r="F160" i="237"/>
  <c r="F161" i="237"/>
  <c r="F162" i="237"/>
  <c r="F163" i="237"/>
  <c r="F86" i="237"/>
  <c r="G86" i="237"/>
  <c r="F87" i="237"/>
  <c r="G87" i="237"/>
  <c r="F88" i="237"/>
  <c r="G88" i="237"/>
  <c r="F89" i="237"/>
  <c r="G89" i="237"/>
  <c r="F90" i="237"/>
  <c r="G90" i="237"/>
  <c r="F91" i="237"/>
  <c r="G91" i="237"/>
  <c r="F92" i="237"/>
  <c r="G92" i="237"/>
  <c r="F93" i="237"/>
  <c r="G93" i="237"/>
  <c r="F94" i="237"/>
  <c r="G94" i="237"/>
  <c r="F95" i="237"/>
  <c r="G95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16" i="213"/>
  <c r="G117" i="213"/>
  <c r="G122" i="213"/>
  <c r="L122" i="213" s="1"/>
  <c r="G123" i="213"/>
  <c r="L123" i="213" s="1"/>
  <c r="G124" i="213"/>
  <c r="L124" i="213" s="1"/>
  <c r="G125" i="213"/>
  <c r="L125" i="213" s="1"/>
  <c r="G126" i="213"/>
  <c r="L126" i="213" s="1"/>
  <c r="G128" i="213"/>
  <c r="L128" i="213" s="1"/>
  <c r="G127" i="213"/>
  <c r="L127" i="213" s="1"/>
  <c r="G129" i="213"/>
  <c r="L129" i="213" s="1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7" i="213"/>
  <c r="G148" i="213"/>
  <c r="G149" i="213"/>
  <c r="G150" i="213"/>
  <c r="G151" i="213"/>
  <c r="G152" i="213"/>
  <c r="G153" i="213"/>
  <c r="G154" i="213"/>
  <c r="G155" i="213"/>
  <c r="G156" i="213"/>
  <c r="G157" i="213"/>
  <c r="G158" i="213"/>
  <c r="G159" i="213"/>
  <c r="G160" i="213"/>
  <c r="G161" i="213"/>
  <c r="G16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G168" i="213"/>
  <c r="L168" i="213" s="1"/>
  <c r="L111" i="213"/>
  <c r="M111" i="213"/>
  <c r="G119" i="209"/>
  <c r="L119" i="209" s="1"/>
  <c r="G120" i="209"/>
  <c r="G125" i="209"/>
  <c r="G126" i="209"/>
  <c r="L126" i="209" s="1"/>
  <c r="G127" i="209"/>
  <c r="L127" i="209" s="1"/>
  <c r="G128" i="209"/>
  <c r="L128" i="209" s="1"/>
  <c r="G129" i="209"/>
  <c r="L129" i="209" s="1"/>
  <c r="G130" i="209"/>
  <c r="G131" i="209"/>
  <c r="L131" i="209" s="1"/>
  <c r="G132" i="209"/>
  <c r="L132" i="209" s="1"/>
  <c r="G133" i="209"/>
  <c r="L133" i="209" s="1"/>
  <c r="G134" i="209"/>
  <c r="L134" i="209" s="1"/>
  <c r="G135" i="209"/>
  <c r="L135" i="209" s="1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50" i="209"/>
  <c r="L150" i="209" s="1"/>
  <c r="G151" i="209"/>
  <c r="L151" i="209" s="1"/>
  <c r="G152" i="209"/>
  <c r="L152" i="209" s="1"/>
  <c r="G153" i="209"/>
  <c r="L153" i="209" s="1"/>
  <c r="G154" i="209"/>
  <c r="L154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3" i="209"/>
  <c r="L163" i="209" s="1"/>
  <c r="G164" i="209"/>
  <c r="L164" i="209" s="1"/>
  <c r="G165" i="209"/>
  <c r="L165" i="209" s="1"/>
  <c r="G166" i="209"/>
  <c r="L16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 s="1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16" i="207"/>
  <c r="G117" i="207"/>
  <c r="G122" i="207"/>
  <c r="L122" i="207" s="1"/>
  <c r="G123" i="207"/>
  <c r="L123" i="207" s="1"/>
  <c r="G124" i="207"/>
  <c r="L124" i="207" s="1"/>
  <c r="G125" i="207"/>
  <c r="L125" i="207" s="1"/>
  <c r="G126" i="207"/>
  <c r="L126" i="207" s="1"/>
  <c r="G128" i="207"/>
  <c r="L128" i="207" s="1"/>
  <c r="G127" i="207"/>
  <c r="L127" i="207" s="1"/>
  <c r="G129" i="207"/>
  <c r="L129" i="207" s="1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7" i="207"/>
  <c r="G148" i="207"/>
  <c r="G149" i="207"/>
  <c r="G150" i="207"/>
  <c r="G151" i="207"/>
  <c r="G152" i="207"/>
  <c r="G153" i="207"/>
  <c r="G154" i="207"/>
  <c r="G155" i="207"/>
  <c r="G156" i="207"/>
  <c r="G157" i="207"/>
  <c r="G158" i="207"/>
  <c r="G159" i="207"/>
  <c r="G160" i="207"/>
  <c r="G161" i="207"/>
  <c r="G162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G168" i="207"/>
  <c r="L168" i="207" s="1"/>
  <c r="L111" i="207"/>
  <c r="M111" i="207"/>
  <c r="G119" i="236"/>
  <c r="L119" i="236" s="1"/>
  <c r="G120" i="236"/>
  <c r="L120" i="236" s="1"/>
  <c r="G125" i="236"/>
  <c r="L125" i="236" s="1"/>
  <c r="G126" i="236"/>
  <c r="L126" i="236" s="1"/>
  <c r="G127" i="236"/>
  <c r="L127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50" i="236"/>
  <c r="L150" i="236" s="1"/>
  <c r="G151" i="236"/>
  <c r="L151" i="236" s="1"/>
  <c r="G152" i="236"/>
  <c r="L152" i="236" s="1"/>
  <c r="G153" i="236"/>
  <c r="L153" i="236" s="1"/>
  <c r="G154" i="236"/>
  <c r="L154" i="236" s="1"/>
  <c r="G155" i="236"/>
  <c r="L155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G164" i="236"/>
  <c r="L164" i="236" s="1"/>
  <c r="G165" i="236"/>
  <c r="L165" i="236" s="1"/>
  <c r="G166" i="236"/>
  <c r="L166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06" i="236"/>
  <c r="M106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J2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I19" i="34"/>
  <c r="I28" i="34"/>
  <c r="I29" i="34"/>
  <c r="I30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77" i="248"/>
  <c r="F78" i="248"/>
  <c r="F79" i="248"/>
  <c r="F80" i="248"/>
  <c r="F81" i="248"/>
  <c r="F82" i="248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D135" i="248"/>
  <c r="F15" i="248"/>
  <c r="F16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66" i="248"/>
  <c r="F67" i="248"/>
  <c r="F68" i="248"/>
  <c r="D73" i="248"/>
  <c r="A5" i="248"/>
  <c r="A4" i="248"/>
  <c r="A2" i="248"/>
  <c r="A1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3" i="248"/>
  <c r="A34" i="248" s="1"/>
  <c r="A35" i="248" s="1"/>
  <c r="A36" i="248" s="1"/>
  <c r="A38" i="248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8" i="248"/>
  <c r="A79" i="248" s="1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A92" i="248" s="1"/>
  <c r="A93" i="248" s="1"/>
  <c r="A95" i="248"/>
  <c r="A96" i="248" s="1"/>
  <c r="A97" i="248" s="1"/>
  <c r="A98" i="248" s="1"/>
  <c r="A100" i="248"/>
  <c r="A101" i="248" s="1"/>
  <c r="A102" i="248" s="1"/>
  <c r="A103" i="248" s="1"/>
  <c r="A104" i="248" s="1"/>
  <c r="A105" i="248" s="1"/>
  <c r="A106" i="248" s="1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2" i="207"/>
  <c r="F123" i="207"/>
  <c r="F124" i="207"/>
  <c r="F125" i="207"/>
  <c r="F126" i="207"/>
  <c r="F128" i="207"/>
  <c r="F127" i="207"/>
  <c r="F129" i="207"/>
  <c r="F130" i="207"/>
  <c r="F131" i="207"/>
  <c r="F132" i="207"/>
  <c r="F133" i="207"/>
  <c r="F134" i="207"/>
  <c r="F135" i="207"/>
  <c r="F136" i="207"/>
  <c r="F137" i="207"/>
  <c r="F138" i="207"/>
  <c r="F139" i="207"/>
  <c r="F140" i="207"/>
  <c r="F141" i="207"/>
  <c r="F142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95" i="207"/>
  <c r="G96" i="207"/>
  <c r="H96" i="207"/>
  <c r="G97" i="207"/>
  <c r="H97" i="207"/>
  <c r="G98" i="207"/>
  <c r="H98" i="207"/>
  <c r="G99" i="207"/>
  <c r="H99" i="207"/>
  <c r="G100" i="207"/>
  <c r="H100" i="207"/>
  <c r="G101" i="207"/>
  <c r="H101" i="207"/>
  <c r="G102" i="207"/>
  <c r="H102" i="207"/>
  <c r="G103" i="207"/>
  <c r="H103" i="207"/>
  <c r="G104" i="207"/>
  <c r="H104" i="207"/>
  <c r="G105" i="207"/>
  <c r="H105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96" i="209"/>
  <c r="H96" i="209"/>
  <c r="G97" i="209"/>
  <c r="H97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5" i="236"/>
  <c r="F126" i="236"/>
  <c r="F127" i="236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06" i="236"/>
  <c r="H106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1" i="213"/>
  <c r="H111" i="213"/>
  <c r="G111" i="207"/>
  <c r="H111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 s="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0" i="236"/>
  <c r="E122" i="236"/>
  <c r="D147" i="236"/>
  <c r="E147" i="236"/>
  <c r="K147" i="236"/>
  <c r="E168" i="236"/>
  <c r="E201" i="236"/>
  <c r="E228" i="236"/>
  <c r="K144" i="213"/>
  <c r="E228" i="209"/>
  <c r="E201" i="209"/>
  <c r="E168" i="209"/>
  <c r="E59" i="209"/>
  <c r="K147" i="209"/>
  <c r="E110" i="209"/>
  <c r="E83" i="209"/>
  <c r="E47" i="209"/>
  <c r="E26" i="209"/>
  <c r="E19" i="209"/>
  <c r="E122" i="209"/>
  <c r="E147" i="209"/>
  <c r="D147" i="209"/>
  <c r="A8" i="209"/>
  <c r="A6" i="209"/>
  <c r="A4" i="209"/>
  <c r="H27" i="102"/>
  <c r="A1" i="235"/>
  <c r="A2" i="235"/>
  <c r="A3" i="235"/>
  <c r="A4" i="235"/>
  <c r="A1" i="233"/>
  <c r="A2" i="233"/>
  <c r="A1" i="232"/>
  <c r="A2" i="232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A2" i="231"/>
  <c r="A1" i="231"/>
  <c r="A4" i="230"/>
  <c r="A2" i="230"/>
  <c r="A1" i="230"/>
  <c r="L25" i="202"/>
  <c r="C50" i="228"/>
  <c r="B50" i="228"/>
  <c r="C32" i="227"/>
  <c r="B32" i="227"/>
  <c r="C36" i="226"/>
  <c r="B36" i="226"/>
  <c r="C52" i="192"/>
  <c r="B52" i="192"/>
  <c r="C32" i="193"/>
  <c r="B32" i="193"/>
  <c r="C38" i="190"/>
  <c r="B38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4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1" i="215"/>
  <c r="A3" i="214"/>
  <c r="A2" i="214"/>
  <c r="A1" i="214"/>
  <c r="A9" i="30"/>
  <c r="A7" i="30"/>
  <c r="A1" i="30"/>
  <c r="A7" i="67"/>
  <c r="A8" i="67"/>
  <c r="A6" i="67"/>
  <c r="A8" i="69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07" i="213"/>
  <c r="E119" i="213"/>
  <c r="E144" i="213"/>
  <c r="E164" i="213"/>
  <c r="K144" i="207"/>
  <c r="E119" i="207"/>
  <c r="E144" i="207"/>
  <c r="E164" i="207"/>
  <c r="E19" i="207"/>
  <c r="E26" i="207"/>
  <c r="E47" i="207"/>
  <c r="E59" i="207"/>
  <c r="E83" i="207"/>
  <c r="E107" i="207"/>
  <c r="D144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G46" i="35"/>
  <c r="G39" i="35"/>
  <c r="G26" i="35"/>
  <c r="G32" i="35" s="1"/>
  <c r="G28" i="35"/>
  <c r="G21" i="35"/>
  <c r="G19" i="35"/>
  <c r="E46" i="35"/>
  <c r="E39" i="35"/>
  <c r="E26" i="35"/>
  <c r="E32" i="35" s="1"/>
  <c r="E28" i="35"/>
  <c r="E21" i="35"/>
  <c r="E19" i="35"/>
  <c r="C46" i="35"/>
  <c r="C39" i="35"/>
  <c r="C26" i="35"/>
  <c r="C32" i="35" s="1"/>
  <c r="C28" i="35"/>
  <c r="C21" i="35"/>
  <c r="C19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D17" i="35"/>
  <c r="F17" i="35"/>
  <c r="J17" i="35"/>
  <c r="D18" i="35"/>
  <c r="F18" i="35"/>
  <c r="I19" i="35"/>
  <c r="H19" i="35" s="1"/>
  <c r="D24" i="35"/>
  <c r="F24" i="35"/>
  <c r="H24" i="35"/>
  <c r="D25" i="35"/>
  <c r="F25" i="35"/>
  <c r="D30" i="35"/>
  <c r="F30" i="35"/>
  <c r="J30" i="35"/>
  <c r="D35" i="35"/>
  <c r="F35" i="35"/>
  <c r="D36" i="35"/>
  <c r="F36" i="35"/>
  <c r="D42" i="35"/>
  <c r="F42" i="35"/>
  <c r="D43" i="35"/>
  <c r="F43" i="35"/>
  <c r="H43" i="35"/>
  <c r="D49" i="35"/>
  <c r="F49" i="35"/>
  <c r="H49" i="35"/>
  <c r="J49" i="35"/>
  <c r="D50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19" i="100"/>
  <c r="I49" i="100" s="1"/>
  <c r="E50" i="100"/>
  <c r="A4" i="241"/>
  <c r="I22" i="243"/>
  <c r="I31" i="215"/>
  <c r="I25" i="215"/>
  <c r="E34" i="231"/>
  <c r="M186" i="236"/>
  <c r="E24" i="231"/>
  <c r="J30" i="231"/>
  <c r="M178" i="236"/>
  <c r="M175" i="236"/>
  <c r="M177" i="236"/>
  <c r="M179" i="236"/>
  <c r="M182" i="236"/>
  <c r="M184" i="236"/>
  <c r="M188" i="236"/>
  <c r="M190" i="236"/>
  <c r="M192" i="236"/>
  <c r="M194" i="236"/>
  <c r="M196" i="236"/>
  <c r="H161" i="207"/>
  <c r="M161" i="207" s="1"/>
  <c r="H159" i="207"/>
  <c r="M159" i="207" s="1"/>
  <c r="H155" i="207"/>
  <c r="M155" i="207" s="1"/>
  <c r="H154" i="207"/>
  <c r="M154" i="207" s="1"/>
  <c r="H153" i="207"/>
  <c r="M153" i="207" s="1"/>
  <c r="H150" i="207"/>
  <c r="M150" i="207" s="1"/>
  <c r="H157" i="209"/>
  <c r="H132" i="209"/>
  <c r="M132" i="209" s="1"/>
  <c r="H199" i="209"/>
  <c r="M199" i="209" s="1"/>
  <c r="H187" i="209"/>
  <c r="M187" i="209" s="1"/>
  <c r="H194" i="209"/>
  <c r="M194" i="209" s="1"/>
  <c r="M176" i="209"/>
  <c r="G125" i="237"/>
  <c r="G129" i="237"/>
  <c r="G133" i="237"/>
  <c r="G137" i="237"/>
  <c r="G141" i="237"/>
  <c r="G148" i="237"/>
  <c r="G150" i="237"/>
  <c r="G152" i="237"/>
  <c r="G153" i="237"/>
  <c r="G159" i="237"/>
  <c r="G161" i="237"/>
  <c r="G118" i="237"/>
  <c r="G126" i="237"/>
  <c r="G130" i="237"/>
  <c r="G134" i="237"/>
  <c r="G138" i="237"/>
  <c r="G142" i="237"/>
  <c r="G151" i="237"/>
  <c r="G154" i="237"/>
  <c r="G155" i="237"/>
  <c r="G156" i="237"/>
  <c r="G160" i="237"/>
  <c r="G162" i="237"/>
  <c r="G123" i="237"/>
  <c r="G127" i="237"/>
  <c r="G131" i="237"/>
  <c r="G135" i="237"/>
  <c r="G139" i="237"/>
  <c r="G143" i="237"/>
  <c r="G157" i="237"/>
  <c r="G163" i="237"/>
  <c r="G124" i="237"/>
  <c r="G128" i="237"/>
  <c r="G132" i="237"/>
  <c r="G136" i="237"/>
  <c r="G140" i="237"/>
  <c r="G149" i="237"/>
  <c r="G158" i="237"/>
  <c r="C51" i="238"/>
  <c r="H51" i="238" s="1"/>
  <c r="G194" i="237"/>
  <c r="G192" i="237"/>
  <c r="G190" i="237"/>
  <c r="G188" i="237"/>
  <c r="G186" i="237"/>
  <c r="G184" i="237"/>
  <c r="F215" i="237"/>
  <c r="G193" i="237"/>
  <c r="G191" i="237"/>
  <c r="G189" i="237"/>
  <c r="G187" i="237"/>
  <c r="G185" i="237"/>
  <c r="G183" i="237"/>
  <c r="G217" i="237"/>
  <c r="D145" i="237"/>
  <c r="I51" i="100"/>
  <c r="A27" i="137" l="1"/>
  <c r="A24" i="137"/>
  <c r="A25" i="137" s="1"/>
  <c r="D19" i="35"/>
  <c r="F19" i="35"/>
  <c r="E17" i="103"/>
  <c r="P43" i="231"/>
  <c r="A7" i="207"/>
  <c r="A8" i="215"/>
  <c r="T25" i="202"/>
  <c r="K25" i="4"/>
  <c r="E31" i="106"/>
  <c r="M14" i="106"/>
  <c r="A7" i="31"/>
  <c r="A8" i="24"/>
  <c r="A8" i="30"/>
  <c r="E8" i="67"/>
  <c r="H9" i="69"/>
  <c r="L8" i="232"/>
  <c r="H20" i="104"/>
  <c r="F20" i="104"/>
  <c r="N17" i="35"/>
  <c r="Q30" i="231"/>
  <c r="H194" i="207"/>
  <c r="H196" i="207" s="1"/>
  <c r="H200" i="207" s="1"/>
  <c r="M200" i="207" s="1"/>
  <c r="H195" i="207"/>
  <c r="M195" i="207" s="1"/>
  <c r="N132" i="209"/>
  <c r="A4" i="233"/>
  <c r="M157" i="209"/>
  <c r="F42" i="232"/>
  <c r="P38" i="232"/>
  <c r="J24" i="231"/>
  <c r="P24" i="231"/>
  <c r="M150" i="236"/>
  <c r="J30" i="232"/>
  <c r="Q30" i="232" s="1"/>
  <c r="P30" i="232"/>
  <c r="J34" i="231"/>
  <c r="J22" i="232"/>
  <c r="P22" i="232"/>
  <c r="A7" i="230"/>
  <c r="A7" i="209"/>
  <c r="H19" i="103"/>
  <c r="I19" i="103" s="1"/>
  <c r="L161" i="207"/>
  <c r="L157" i="207"/>
  <c r="L153" i="207"/>
  <c r="L149" i="207"/>
  <c r="L117" i="207"/>
  <c r="L159" i="213"/>
  <c r="L155" i="213"/>
  <c r="L151" i="213"/>
  <c r="L147" i="213"/>
  <c r="F31" i="30"/>
  <c r="L160" i="207"/>
  <c r="L156" i="207"/>
  <c r="L152" i="207"/>
  <c r="L148" i="207"/>
  <c r="L116" i="207"/>
  <c r="L162" i="213"/>
  <c r="L158" i="213"/>
  <c r="L154" i="213"/>
  <c r="L150" i="213"/>
  <c r="F24" i="30"/>
  <c r="C28" i="215"/>
  <c r="L159" i="207"/>
  <c r="L155" i="207"/>
  <c r="L151" i="207"/>
  <c r="L147" i="207"/>
  <c r="L161" i="213"/>
  <c r="L157" i="213"/>
  <c r="L153" i="213"/>
  <c r="L149" i="213"/>
  <c r="L117" i="213"/>
  <c r="I16" i="239"/>
  <c r="L162" i="207"/>
  <c r="L158" i="207"/>
  <c r="L154" i="207"/>
  <c r="L150" i="207"/>
  <c r="L160" i="213"/>
  <c r="L156" i="213"/>
  <c r="L152" i="213"/>
  <c r="L148" i="213"/>
  <c r="L116" i="213"/>
  <c r="G176" i="207"/>
  <c r="L176" i="207" s="1"/>
  <c r="A7" i="236"/>
  <c r="A7" i="233"/>
  <c r="A6" i="190"/>
  <c r="D26" i="30"/>
  <c r="J38" i="238"/>
  <c r="N49" i="35"/>
  <c r="L49" i="35"/>
  <c r="F26" i="35"/>
  <c r="D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20" i="236"/>
  <c r="L209" i="209"/>
  <c r="L221" i="213"/>
  <c r="M177" i="207"/>
  <c r="D51" i="238"/>
  <c r="M188" i="207"/>
  <c r="D161" i="51"/>
  <c r="L38" i="238"/>
  <c r="K38" i="232"/>
  <c r="Q38" i="232" s="1"/>
  <c r="E26" i="30"/>
  <c r="G22" i="243"/>
  <c r="F19" i="30"/>
  <c r="M180" i="207"/>
  <c r="M192" i="207"/>
  <c r="E32" i="215"/>
  <c r="F32" i="215" s="1"/>
  <c r="M182" i="207"/>
  <c r="F32" i="231"/>
  <c r="K32" i="231" s="1"/>
  <c r="J27" i="30"/>
  <c r="M190" i="207"/>
  <c r="M175" i="207"/>
  <c r="M186" i="207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7" i="226"/>
  <c r="E37" i="226" s="1"/>
  <c r="F37" i="226" s="1"/>
  <c r="G37" i="226" s="1"/>
  <c r="H37" i="226" s="1"/>
  <c r="I37" i="226" s="1"/>
  <c r="J37" i="226" s="1"/>
  <c r="K37" i="226" s="1"/>
  <c r="L37" i="226" s="1"/>
  <c r="M37" i="226" s="1"/>
  <c r="N37" i="226" s="1"/>
  <c r="O37" i="226" s="1"/>
  <c r="J24" i="247"/>
  <c r="H30" i="103"/>
  <c r="I26" i="105"/>
  <c r="I32" i="100"/>
  <c r="E133" i="248"/>
  <c r="F133" i="248" s="1"/>
  <c r="F135" i="248" s="1"/>
  <c r="J21" i="247"/>
  <c r="I21" i="105"/>
  <c r="D51" i="228"/>
  <c r="E51" i="228" s="1"/>
  <c r="F51" i="228" s="1"/>
  <c r="G51" i="228" s="1"/>
  <c r="H51" i="228" s="1"/>
  <c r="I51" i="228" s="1"/>
  <c r="J51" i="228" s="1"/>
  <c r="K51" i="228" s="1"/>
  <c r="L51" i="228" s="1"/>
  <c r="M51" i="228" s="1"/>
  <c r="N51" i="228" s="1"/>
  <c r="O51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5"/>
  <c r="K28" i="35"/>
  <c r="J36" i="35"/>
  <c r="I18" i="34"/>
  <c r="I20" i="34" s="1"/>
  <c r="I21" i="35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D37" i="42"/>
  <c r="J30" i="39"/>
  <c r="G31" i="34"/>
  <c r="J35" i="39"/>
  <c r="I22" i="39"/>
  <c r="I22" i="41"/>
  <c r="I30" i="41"/>
  <c r="J22" i="41"/>
  <c r="J30" i="41"/>
  <c r="H30" i="39"/>
  <c r="I30" i="39"/>
  <c r="K26" i="35"/>
  <c r="K32" i="35" s="1"/>
  <c r="K46" i="35" s="1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J25" i="35"/>
  <c r="K21" i="35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26" i="35"/>
  <c r="H26" i="35" s="1"/>
  <c r="K19" i="35"/>
  <c r="J19" i="35" s="1"/>
  <c r="I36" i="39"/>
  <c r="J33" i="41"/>
  <c r="D22" i="42"/>
  <c r="C24" i="239"/>
  <c r="L174" i="207"/>
  <c r="G217" i="236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4" i="8"/>
  <c r="I19" i="8"/>
  <c r="I36" i="190"/>
  <c r="E30" i="193"/>
  <c r="O18" i="35"/>
  <c r="G213" i="237"/>
  <c r="J66" i="238"/>
  <c r="L66" i="238"/>
  <c r="M66" i="238"/>
  <c r="J33" i="215"/>
  <c r="H140" i="209"/>
  <c r="M140" i="209" s="1"/>
  <c r="N140" i="209" s="1"/>
  <c r="D24" i="103"/>
  <c r="D26" i="103"/>
  <c r="E25" i="30"/>
  <c r="F25" i="30" s="1"/>
  <c r="M224" i="236"/>
  <c r="M225" i="236"/>
  <c r="K66" i="238"/>
  <c r="I132" i="209"/>
  <c r="M181" i="236"/>
  <c r="L214" i="236"/>
  <c r="G219" i="237"/>
  <c r="H66" i="238"/>
  <c r="I66" i="238"/>
  <c r="H129" i="209"/>
  <c r="M129" i="209" s="1"/>
  <c r="N129" i="209" s="1"/>
  <c r="H145" i="209"/>
  <c r="M145" i="209" s="1"/>
  <c r="N145" i="209" s="1"/>
  <c r="E23" i="103"/>
  <c r="D25" i="103"/>
  <c r="G16" i="243"/>
  <c r="G226" i="236"/>
  <c r="G219" i="236"/>
  <c r="L206" i="236"/>
  <c r="G215" i="237"/>
  <c r="D66" i="238"/>
  <c r="H137" i="209"/>
  <c r="M137" i="209" s="1"/>
  <c r="N137" i="209" s="1"/>
  <c r="F40" i="232"/>
  <c r="E26" i="215"/>
  <c r="E32" i="30"/>
  <c r="F32" i="30" s="1"/>
  <c r="E33" i="215"/>
  <c r="G222" i="236"/>
  <c r="G216" i="236"/>
  <c r="G66" i="238"/>
  <c r="P50" i="202"/>
  <c r="G26" i="95"/>
  <c r="G43" i="10" s="1"/>
  <c r="G25" i="34"/>
  <c r="G36" i="190"/>
  <c r="E36" i="190"/>
  <c r="P13" i="193"/>
  <c r="F30" i="193"/>
  <c r="G30" i="193"/>
  <c r="H30" i="193"/>
  <c r="D24" i="244"/>
  <c r="E37" i="42"/>
  <c r="I20" i="8"/>
  <c r="C34" i="103"/>
  <c r="F45" i="233"/>
  <c r="D18" i="105"/>
  <c r="F206" i="237"/>
  <c r="G207" i="237"/>
  <c r="G206" i="237"/>
  <c r="F213" i="237"/>
  <c r="F207" i="237"/>
  <c r="F219" i="237"/>
  <c r="F218" i="237"/>
  <c r="F217" i="237"/>
  <c r="F220" i="237"/>
  <c r="G211" i="237"/>
  <c r="G209" i="237"/>
  <c r="F209" i="237"/>
  <c r="F211" i="237"/>
  <c r="F176" i="237"/>
  <c r="F180" i="237"/>
  <c r="F175" i="237"/>
  <c r="F178" i="237"/>
  <c r="F182" i="237"/>
  <c r="F177" i="237"/>
  <c r="F181" i="237"/>
  <c r="G177" i="237"/>
  <c r="G181" i="237"/>
  <c r="G176" i="237"/>
  <c r="G180" i="237"/>
  <c r="G175" i="237"/>
  <c r="G178" i="237"/>
  <c r="G182" i="237"/>
  <c r="G217" i="209"/>
  <c r="F147" i="209"/>
  <c r="G222" i="209"/>
  <c r="H186" i="209"/>
  <c r="M186" i="209" s="1"/>
  <c r="H177" i="209"/>
  <c r="M177" i="209" s="1"/>
  <c r="G215" i="209"/>
  <c r="H190" i="209"/>
  <c r="M190" i="209" s="1"/>
  <c r="M181" i="209"/>
  <c r="H195" i="209"/>
  <c r="M195" i="209" s="1"/>
  <c r="E112" i="209"/>
  <c r="E170" i="209"/>
  <c r="H196" i="209"/>
  <c r="M196" i="209" s="1"/>
  <c r="L223" i="209"/>
  <c r="G211" i="209"/>
  <c r="L210" i="209"/>
  <c r="H180" i="209"/>
  <c r="M180" i="209" s="1"/>
  <c r="H178" i="209"/>
  <c r="M178" i="209" s="1"/>
  <c r="M207" i="209"/>
  <c r="H191" i="209"/>
  <c r="M191" i="209" s="1"/>
  <c r="I24" i="243"/>
  <c r="L13" i="243"/>
  <c r="I20" i="99"/>
  <c r="G29" i="42"/>
  <c r="I28" i="35"/>
  <c r="D13" i="243"/>
  <c r="G13" i="243" s="1"/>
  <c r="M18" i="35"/>
  <c r="I21" i="8"/>
  <c r="D41" i="231"/>
  <c r="I24" i="99"/>
  <c r="I16" i="99"/>
  <c r="C27" i="103"/>
  <c r="G13" i="244"/>
  <c r="I23" i="8"/>
  <c r="H138" i="236"/>
  <c r="M138" i="236" s="1"/>
  <c r="N138" i="236" s="1"/>
  <c r="H157" i="236"/>
  <c r="M206" i="236"/>
  <c r="M210" i="236"/>
  <c r="G208" i="236"/>
  <c r="H130" i="236"/>
  <c r="M130" i="236" s="1"/>
  <c r="N130" i="236" s="1"/>
  <c r="H142" i="236"/>
  <c r="M142" i="236" s="1"/>
  <c r="N142" i="236" s="1"/>
  <c r="H126" i="236"/>
  <c r="M126" i="236" s="1"/>
  <c r="N126" i="236" s="1"/>
  <c r="H134" i="236"/>
  <c r="M134" i="236" s="1"/>
  <c r="N134" i="236" s="1"/>
  <c r="H151" i="236"/>
  <c r="L176" i="236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M119" i="236"/>
  <c r="H162" i="236"/>
  <c r="H164" i="236"/>
  <c r="G211" i="236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27" i="236"/>
  <c r="M127" i="236" s="1"/>
  <c r="N127" i="236" s="1"/>
  <c r="H156" i="236"/>
  <c r="H165" i="236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29" i="236"/>
  <c r="M129" i="236" s="1"/>
  <c r="N129" i="236" s="1"/>
  <c r="H125" i="236"/>
  <c r="M125" i="236" s="1"/>
  <c r="N125" i="236" s="1"/>
  <c r="H160" i="236"/>
  <c r="H153" i="236"/>
  <c r="H158" i="236"/>
  <c r="H163" i="236"/>
  <c r="E170" i="236"/>
  <c r="E112" i="236"/>
  <c r="H222" i="236"/>
  <c r="M222" i="236" s="1"/>
  <c r="H134" i="213"/>
  <c r="M134" i="213" s="1"/>
  <c r="N134" i="213" s="1"/>
  <c r="H156" i="213"/>
  <c r="M156" i="213" s="1"/>
  <c r="M116" i="213"/>
  <c r="H162" i="213"/>
  <c r="M162" i="213" s="1"/>
  <c r="H142" i="213"/>
  <c r="M142" i="213" s="1"/>
  <c r="N142" i="213" s="1"/>
  <c r="H137" i="213"/>
  <c r="M137" i="213" s="1"/>
  <c r="N137" i="213" s="1"/>
  <c r="H126" i="213"/>
  <c r="M126" i="213" s="1"/>
  <c r="N126" i="213" s="1"/>
  <c r="H159" i="213"/>
  <c r="M159" i="213" s="1"/>
  <c r="H138" i="213"/>
  <c r="M138" i="213" s="1"/>
  <c r="N138" i="213" s="1"/>
  <c r="H130" i="213"/>
  <c r="M130" i="213" s="1"/>
  <c r="N130" i="213" s="1"/>
  <c r="H122" i="213"/>
  <c r="M122" i="213" s="1"/>
  <c r="N122" i="213" s="1"/>
  <c r="H129" i="213"/>
  <c r="M129" i="213" s="1"/>
  <c r="N129" i="213" s="1"/>
  <c r="H154" i="213"/>
  <c r="M154" i="213" s="1"/>
  <c r="H158" i="213"/>
  <c r="M158" i="213" s="1"/>
  <c r="H151" i="213"/>
  <c r="M151" i="213" s="1"/>
  <c r="H147" i="213"/>
  <c r="M147" i="213" s="1"/>
  <c r="H136" i="213"/>
  <c r="M136" i="213" s="1"/>
  <c r="N136" i="213" s="1"/>
  <c r="H127" i="213"/>
  <c r="M127" i="213" s="1"/>
  <c r="N127" i="213" s="1"/>
  <c r="H133" i="213"/>
  <c r="M133" i="213" s="1"/>
  <c r="N133" i="213" s="1"/>
  <c r="H150" i="213"/>
  <c r="M150" i="213" s="1"/>
  <c r="H155" i="213"/>
  <c r="M155" i="213" s="1"/>
  <c r="H160" i="213"/>
  <c r="M160" i="213" s="1"/>
  <c r="H152" i="213"/>
  <c r="M152" i="213" s="1"/>
  <c r="H149" i="213"/>
  <c r="M149" i="213" s="1"/>
  <c r="H140" i="213"/>
  <c r="M140" i="213" s="1"/>
  <c r="N140" i="213" s="1"/>
  <c r="H132" i="213"/>
  <c r="M132" i="213" s="1"/>
  <c r="N132" i="213" s="1"/>
  <c r="H124" i="213"/>
  <c r="M124" i="213" s="1"/>
  <c r="N124" i="213" s="1"/>
  <c r="H125" i="213"/>
  <c r="M125" i="213" s="1"/>
  <c r="N125" i="213" s="1"/>
  <c r="H141" i="213"/>
  <c r="M141" i="213" s="1"/>
  <c r="N141" i="213" s="1"/>
  <c r="H153" i="213"/>
  <c r="M153" i="213" s="1"/>
  <c r="H161" i="213"/>
  <c r="M161" i="213" s="1"/>
  <c r="L213" i="213"/>
  <c r="M179" i="213"/>
  <c r="G228" i="213"/>
  <c r="L228" i="213" s="1"/>
  <c r="L223" i="213"/>
  <c r="L206" i="213"/>
  <c r="G200" i="213"/>
  <c r="L200" i="213" s="1"/>
  <c r="L222" i="213"/>
  <c r="E166" i="213"/>
  <c r="L224" i="213"/>
  <c r="L209" i="213"/>
  <c r="G185" i="209"/>
  <c r="G199" i="209"/>
  <c r="I20" i="30"/>
  <c r="I34" i="30" s="1"/>
  <c r="D34" i="30"/>
  <c r="D27" i="30"/>
  <c r="I20" i="215"/>
  <c r="I27" i="215" s="1"/>
  <c r="D27" i="215"/>
  <c r="D34" i="215"/>
  <c r="M223" i="213"/>
  <c r="H228" i="213"/>
  <c r="M228" i="213" s="1"/>
  <c r="F144" i="213"/>
  <c r="H215" i="209"/>
  <c r="M215" i="209" s="1"/>
  <c r="L179" i="207"/>
  <c r="F20" i="30"/>
  <c r="H163" i="209"/>
  <c r="H135" i="209"/>
  <c r="H226" i="209"/>
  <c r="M226" i="209" s="1"/>
  <c r="G219" i="209"/>
  <c r="H211" i="209"/>
  <c r="M211" i="209" s="1"/>
  <c r="G208" i="209"/>
  <c r="M174" i="213"/>
  <c r="H190" i="213"/>
  <c r="M190" i="213" s="1"/>
  <c r="H210" i="213"/>
  <c r="M210" i="213" s="1"/>
  <c r="H219" i="213"/>
  <c r="M219" i="213" s="1"/>
  <c r="L205" i="213"/>
  <c r="G219" i="213"/>
  <c r="G220" i="213"/>
  <c r="H193" i="213"/>
  <c r="M193" i="213" s="1"/>
  <c r="G218" i="213"/>
  <c r="H188" i="213"/>
  <c r="M188" i="213" s="1"/>
  <c r="G217" i="213"/>
  <c r="H194" i="213"/>
  <c r="M194" i="213" s="1"/>
  <c r="H187" i="213"/>
  <c r="M187" i="213" s="1"/>
  <c r="G216" i="213"/>
  <c r="G215" i="213"/>
  <c r="G214" i="213"/>
  <c r="E109" i="213"/>
  <c r="H189" i="213"/>
  <c r="M189" i="213" s="1"/>
  <c r="H181" i="213"/>
  <c r="M181" i="213" s="1"/>
  <c r="G212" i="213"/>
  <c r="G208" i="213"/>
  <c r="H186" i="213"/>
  <c r="M186" i="213" s="1"/>
  <c r="M223" i="207"/>
  <c r="M224" i="207"/>
  <c r="H156" i="207"/>
  <c r="M156" i="207" s="1"/>
  <c r="H162" i="207"/>
  <c r="M162" i="207" s="1"/>
  <c r="N128" i="207"/>
  <c r="H148" i="207"/>
  <c r="M148" i="207" s="1"/>
  <c r="H157" i="207"/>
  <c r="M157" i="207" s="1"/>
  <c r="I128" i="207"/>
  <c r="H147" i="207"/>
  <c r="M147" i="207" s="1"/>
  <c r="H149" i="207"/>
  <c r="M149" i="207" s="1"/>
  <c r="H151" i="207"/>
  <c r="M151" i="207" s="1"/>
  <c r="H152" i="207"/>
  <c r="M152" i="207" s="1"/>
  <c r="H158" i="207"/>
  <c r="M158" i="207" s="1"/>
  <c r="H160" i="207"/>
  <c r="M160" i="207" s="1"/>
  <c r="M206" i="207"/>
  <c r="M209" i="207"/>
  <c r="L206" i="207"/>
  <c r="E109" i="207"/>
  <c r="H168" i="207"/>
  <c r="M168" i="207" s="1"/>
  <c r="H142" i="207"/>
  <c r="M142" i="207" s="1"/>
  <c r="N142" i="207" s="1"/>
  <c r="H141" i="207"/>
  <c r="M141" i="207" s="1"/>
  <c r="N141" i="207" s="1"/>
  <c r="E166" i="207"/>
  <c r="H139" i="207"/>
  <c r="M139" i="207" s="1"/>
  <c r="N139" i="207" s="1"/>
  <c r="H125" i="207"/>
  <c r="M125" i="207" s="1"/>
  <c r="N125" i="207" s="1"/>
  <c r="G221" i="207"/>
  <c r="L175" i="207"/>
  <c r="G219" i="207"/>
  <c r="G215" i="207"/>
  <c r="G228" i="207"/>
  <c r="L228" i="207" s="1"/>
  <c r="G218" i="207"/>
  <c r="L213" i="207"/>
  <c r="L222" i="207"/>
  <c r="G217" i="207"/>
  <c r="G212" i="207"/>
  <c r="F41" i="231"/>
  <c r="P41" i="231" s="1"/>
  <c r="M191" i="207"/>
  <c r="G196" i="209"/>
  <c r="H220" i="236"/>
  <c r="M220" i="236" s="1"/>
  <c r="H138" i="207"/>
  <c r="M138" i="207" s="1"/>
  <c r="N138" i="207" s="1"/>
  <c r="G214" i="207"/>
  <c r="G190" i="209"/>
  <c r="H217" i="209"/>
  <c r="M217" i="209" s="1"/>
  <c r="M214" i="209"/>
  <c r="L206" i="209"/>
  <c r="G188" i="213"/>
  <c r="D50" i="238"/>
  <c r="M223" i="236"/>
  <c r="H217" i="236"/>
  <c r="M217" i="236" s="1"/>
  <c r="H208" i="236"/>
  <c r="M208" i="236" s="1"/>
  <c r="H131" i="207"/>
  <c r="M131" i="207" s="1"/>
  <c r="N131" i="207" s="1"/>
  <c r="M193" i="207"/>
  <c r="J32" i="30"/>
  <c r="J25" i="30"/>
  <c r="K25" i="30" s="1"/>
  <c r="M183" i="236"/>
  <c r="M180" i="236"/>
  <c r="L223" i="236"/>
  <c r="M184" i="207"/>
  <c r="M173" i="207"/>
  <c r="G210" i="207"/>
  <c r="F26" i="232"/>
  <c r="K26" i="232" s="1"/>
  <c r="E32" i="232"/>
  <c r="H166" i="209"/>
  <c r="H165" i="209"/>
  <c r="H159" i="209"/>
  <c r="H155" i="209"/>
  <c r="H138" i="209"/>
  <c r="H125" i="209"/>
  <c r="M125" i="209" s="1"/>
  <c r="G197" i="209"/>
  <c r="G192" i="209"/>
  <c r="G186" i="209"/>
  <c r="G183" i="209"/>
  <c r="G226" i="209"/>
  <c r="L224" i="209"/>
  <c r="G220" i="209"/>
  <c r="G213" i="209"/>
  <c r="H191" i="213"/>
  <c r="M191" i="213" s="1"/>
  <c r="H183" i="213"/>
  <c r="M183" i="213" s="1"/>
  <c r="G210" i="213"/>
  <c r="D23" i="102"/>
  <c r="H166" i="236"/>
  <c r="M189" i="207"/>
  <c r="M185" i="207"/>
  <c r="M181" i="207"/>
  <c r="M174" i="207"/>
  <c r="H143" i="209"/>
  <c r="H133" i="209"/>
  <c r="H188" i="209"/>
  <c r="M188" i="209" s="1"/>
  <c r="H184" i="209"/>
  <c r="M184" i="209" s="1"/>
  <c r="F34" i="231"/>
  <c r="P34" i="231" s="1"/>
  <c r="H120" i="236"/>
  <c r="M120" i="236" s="1"/>
  <c r="M176" i="236"/>
  <c r="G221" i="236"/>
  <c r="G218" i="236"/>
  <c r="G215" i="236"/>
  <c r="G209" i="236"/>
  <c r="L207" i="236"/>
  <c r="H228" i="207"/>
  <c r="M228" i="207" s="1"/>
  <c r="H122" i="207"/>
  <c r="M122" i="207" s="1"/>
  <c r="N122" i="207" s="1"/>
  <c r="M183" i="207"/>
  <c r="M176" i="207"/>
  <c r="H220" i="207"/>
  <c r="M220" i="207" s="1"/>
  <c r="H217" i="207"/>
  <c r="M217" i="207" s="1"/>
  <c r="H161" i="209"/>
  <c r="H152" i="209"/>
  <c r="H141" i="209"/>
  <c r="H130" i="209"/>
  <c r="M130" i="209" s="1"/>
  <c r="H192" i="209"/>
  <c r="M192" i="209" s="1"/>
  <c r="G187" i="209"/>
  <c r="L225" i="209"/>
  <c r="G221" i="209"/>
  <c r="G218" i="209"/>
  <c r="G216" i="209"/>
  <c r="H200" i="213"/>
  <c r="H192" i="213"/>
  <c r="M192" i="213" s="1"/>
  <c r="H185" i="213"/>
  <c r="M185" i="213" s="1"/>
  <c r="H221" i="213"/>
  <c r="G177" i="209"/>
  <c r="K39" i="231"/>
  <c r="Q39" i="231" s="1"/>
  <c r="H182" i="213"/>
  <c r="M182" i="213" s="1"/>
  <c r="H178" i="213"/>
  <c r="M178" i="213" s="1"/>
  <c r="H176" i="213"/>
  <c r="M176" i="213" s="1"/>
  <c r="H207" i="213"/>
  <c r="M207" i="213" s="1"/>
  <c r="H133" i="207"/>
  <c r="M133" i="207" s="1"/>
  <c r="N133" i="207" s="1"/>
  <c r="H175" i="213"/>
  <c r="M175" i="213" s="1"/>
  <c r="H130" i="207"/>
  <c r="M130" i="207" s="1"/>
  <c r="N130" i="207" s="1"/>
  <c r="F44" i="232"/>
  <c r="P44" i="232" s="1"/>
  <c r="H164" i="209"/>
  <c r="H162" i="209"/>
  <c r="H160" i="209"/>
  <c r="H158" i="209"/>
  <c r="H156" i="209"/>
  <c r="H154" i="209"/>
  <c r="H153" i="209"/>
  <c r="H151" i="209"/>
  <c r="H150" i="209"/>
  <c r="H144" i="209"/>
  <c r="H142" i="209"/>
  <c r="M142" i="209" s="1"/>
  <c r="N142" i="209" s="1"/>
  <c r="H139" i="209"/>
  <c r="H136" i="209"/>
  <c r="H134" i="209"/>
  <c r="H131" i="209"/>
  <c r="H197" i="209"/>
  <c r="H193" i="209"/>
  <c r="M193" i="209" s="1"/>
  <c r="H189" i="209"/>
  <c r="M189" i="209" s="1"/>
  <c r="H185" i="209"/>
  <c r="G180" i="209"/>
  <c r="H184" i="213"/>
  <c r="M184" i="213" s="1"/>
  <c r="H180" i="213"/>
  <c r="M180" i="213" s="1"/>
  <c r="H177" i="213"/>
  <c r="M177" i="213" s="1"/>
  <c r="F144" i="207"/>
  <c r="K31" i="34"/>
  <c r="I31" i="34"/>
  <c r="I22" i="8"/>
  <c r="I16" i="8"/>
  <c r="G124" i="10"/>
  <c r="H36" i="190"/>
  <c r="I21" i="99"/>
  <c r="I17" i="99"/>
  <c r="I18" i="99"/>
  <c r="C35" i="30"/>
  <c r="F29" i="42"/>
  <c r="F19" i="42"/>
  <c r="F22" i="42" s="1"/>
  <c r="G20" i="34"/>
  <c r="I17" i="8"/>
  <c r="J124" i="10"/>
  <c r="R30" i="39"/>
  <c r="P16" i="192"/>
  <c r="D36" i="190"/>
  <c r="Q33" i="39"/>
  <c r="C35" i="215"/>
  <c r="H18" i="105"/>
  <c r="G19" i="42"/>
  <c r="G22" i="42" s="1"/>
  <c r="E29" i="42"/>
  <c r="E20" i="103"/>
  <c r="G43" i="103"/>
  <c r="G37" i="42"/>
  <c r="E19" i="42"/>
  <c r="E22" i="42" s="1"/>
  <c r="F37" i="42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9" i="99"/>
  <c r="J37" i="42"/>
  <c r="H57" i="10" s="1"/>
  <c r="I23" i="99"/>
  <c r="E25" i="99"/>
  <c r="E33" i="99" s="1"/>
  <c r="I18" i="8"/>
  <c r="P50" i="214"/>
  <c r="H34" i="30" s="1"/>
  <c r="I22" i="244"/>
  <c r="I24" i="244" s="1"/>
  <c r="P44" i="216"/>
  <c r="H31" i="215" s="1"/>
  <c r="H127" i="209"/>
  <c r="H120" i="209"/>
  <c r="M120" i="209" s="1"/>
  <c r="H168" i="213"/>
  <c r="H128" i="209"/>
  <c r="H126" i="209"/>
  <c r="E27" i="30"/>
  <c r="E34" i="30"/>
  <c r="H221" i="236"/>
  <c r="H216" i="236"/>
  <c r="H209" i="236"/>
  <c r="M209" i="236" s="1"/>
  <c r="H221" i="207"/>
  <c r="H218" i="207"/>
  <c r="M218" i="207" s="1"/>
  <c r="F32" i="232"/>
  <c r="H216" i="209"/>
  <c r="H213" i="209"/>
  <c r="H220" i="213"/>
  <c r="E27" i="215"/>
  <c r="E34" i="215"/>
  <c r="G19" i="243"/>
  <c r="H219" i="236"/>
  <c r="H215" i="207"/>
  <c r="M215" i="207" s="1"/>
  <c r="H208" i="207"/>
  <c r="M208" i="207" s="1"/>
  <c r="G19" i="244"/>
  <c r="H216" i="207"/>
  <c r="M216" i="207" s="1"/>
  <c r="H212" i="207"/>
  <c r="M212" i="207" s="1"/>
  <c r="M205" i="207"/>
  <c r="F34" i="232"/>
  <c r="K34" i="232" s="1"/>
  <c r="K24" i="231"/>
  <c r="K22" i="232"/>
  <c r="L16" i="243"/>
  <c r="J32" i="231"/>
  <c r="L19" i="243"/>
  <c r="L19" i="244"/>
  <c r="E34" i="232"/>
  <c r="F216" i="237"/>
  <c r="G207" i="207"/>
  <c r="G207" i="213"/>
  <c r="F50" i="238"/>
  <c r="F214" i="237"/>
  <c r="L176" i="209"/>
  <c r="L173" i="207"/>
  <c r="G194" i="209"/>
  <c r="G188" i="209"/>
  <c r="G184" i="209"/>
  <c r="G178" i="209"/>
  <c r="L175" i="209"/>
  <c r="E24" i="232"/>
  <c r="P24" i="232" s="1"/>
  <c r="G195" i="209"/>
  <c r="G193" i="209"/>
  <c r="G191" i="209"/>
  <c r="G189" i="209"/>
  <c r="G182" i="209"/>
  <c r="G179" i="209"/>
  <c r="I26" i="215"/>
  <c r="K26" i="215" s="1"/>
  <c r="I33" i="215"/>
  <c r="G189" i="213"/>
  <c r="G175" i="213"/>
  <c r="L16" i="244"/>
  <c r="L40" i="51"/>
  <c r="L42" i="51" s="1"/>
  <c r="R66" i="10"/>
  <c r="R64" i="10"/>
  <c r="I50" i="100"/>
  <c r="K124" i="10"/>
  <c r="F147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E25" i="8"/>
  <c r="E33" i="8" s="1"/>
  <c r="G21" i="4" s="1"/>
  <c r="H41" i="10" s="1"/>
  <c r="I33" i="30"/>
  <c r="I26" i="30"/>
  <c r="K26" i="30" s="1"/>
  <c r="L37" i="42"/>
  <c r="G57" i="10" s="1"/>
  <c r="P48" i="214"/>
  <c r="H33" i="30" s="1"/>
  <c r="L13" i="244"/>
  <c r="K43" i="231"/>
  <c r="Q43" i="231" s="1"/>
  <c r="L130" i="209"/>
  <c r="L125" i="209"/>
  <c r="L120" i="209"/>
  <c r="E26" i="231"/>
  <c r="H218" i="236"/>
  <c r="M218" i="236" s="1"/>
  <c r="H215" i="236"/>
  <c r="H211" i="236"/>
  <c r="M207" i="236"/>
  <c r="H137" i="207"/>
  <c r="M137" i="207" s="1"/>
  <c r="N137" i="207" s="1"/>
  <c r="H134" i="207"/>
  <c r="M134" i="207" s="1"/>
  <c r="N134" i="207" s="1"/>
  <c r="H129" i="207"/>
  <c r="M129" i="207" s="1"/>
  <c r="N129" i="207" s="1"/>
  <c r="H126" i="207"/>
  <c r="M126" i="207" s="1"/>
  <c r="N126" i="207" s="1"/>
  <c r="H117" i="207"/>
  <c r="M117" i="207" s="1"/>
  <c r="N117" i="207" s="1"/>
  <c r="M116" i="207"/>
  <c r="I22" i="99"/>
  <c r="F45" i="231"/>
  <c r="H161" i="236"/>
  <c r="H159" i="236"/>
  <c r="H155" i="236"/>
  <c r="H154" i="236"/>
  <c r="H152" i="236"/>
  <c r="H135" i="207"/>
  <c r="M135" i="207" s="1"/>
  <c r="N135" i="207" s="1"/>
  <c r="H124" i="207"/>
  <c r="M124" i="207" s="1"/>
  <c r="N124" i="207" s="1"/>
  <c r="H127" i="207"/>
  <c r="M127" i="207" s="1"/>
  <c r="N127" i="207" s="1"/>
  <c r="H132" i="207"/>
  <c r="M132" i="207" s="1"/>
  <c r="N132" i="207" s="1"/>
  <c r="H136" i="207"/>
  <c r="M136" i="207" s="1"/>
  <c r="N136" i="207" s="1"/>
  <c r="H140" i="207"/>
  <c r="M140" i="207" s="1"/>
  <c r="N140" i="207" s="1"/>
  <c r="J27" i="215"/>
  <c r="J34" i="215"/>
  <c r="H123" i="207"/>
  <c r="M123" i="207" s="1"/>
  <c r="N123" i="207" s="1"/>
  <c r="G208" i="207"/>
  <c r="H207" i="207"/>
  <c r="L205" i="207"/>
  <c r="J32" i="215"/>
  <c r="H183" i="209"/>
  <c r="H182" i="209"/>
  <c r="H222" i="209"/>
  <c r="H209" i="209"/>
  <c r="H208" i="209"/>
  <c r="H148" i="213"/>
  <c r="H139" i="213"/>
  <c r="H131" i="213"/>
  <c r="H123" i="213"/>
  <c r="G194" i="213"/>
  <c r="G187" i="213"/>
  <c r="G186" i="213"/>
  <c r="G185" i="213"/>
  <c r="H208" i="213"/>
  <c r="G214" i="237"/>
  <c r="G218" i="237"/>
  <c r="G216" i="237"/>
  <c r="G220" i="237"/>
  <c r="M178" i="207"/>
  <c r="M222" i="207"/>
  <c r="G220" i="207"/>
  <c r="H219" i="207"/>
  <c r="G216" i="207"/>
  <c r="H214" i="207"/>
  <c r="M214" i="207" s="1"/>
  <c r="M213" i="207"/>
  <c r="H210" i="207"/>
  <c r="M210" i="207" s="1"/>
  <c r="H179" i="209"/>
  <c r="H221" i="209"/>
  <c r="H220" i="209"/>
  <c r="H219" i="209"/>
  <c r="H218" i="209"/>
  <c r="G193" i="213"/>
  <c r="G192" i="213"/>
  <c r="G191" i="213"/>
  <c r="G190" i="213"/>
  <c r="G184" i="213"/>
  <c r="G183" i="213"/>
  <c r="G182" i="213"/>
  <c r="G181" i="213"/>
  <c r="H218" i="213"/>
  <c r="F38" i="238"/>
  <c r="G38" i="238"/>
  <c r="K38" i="238"/>
  <c r="H157" i="213"/>
  <c r="H135" i="213"/>
  <c r="H128" i="213"/>
  <c r="G180" i="213"/>
  <c r="G178" i="213"/>
  <c r="G177" i="213"/>
  <c r="G176" i="213"/>
  <c r="M205" i="213"/>
  <c r="H212" i="213"/>
  <c r="H214" i="213"/>
  <c r="H215" i="213"/>
  <c r="H217" i="213"/>
  <c r="H216" i="213"/>
  <c r="F185" i="237"/>
  <c r="F189" i="237"/>
  <c r="F193" i="237"/>
  <c r="F186" i="237"/>
  <c r="F190" i="237"/>
  <c r="F194" i="237"/>
  <c r="F183" i="237"/>
  <c r="F187" i="237"/>
  <c r="F191" i="237"/>
  <c r="F184" i="237"/>
  <c r="F188" i="237"/>
  <c r="F192" i="237"/>
  <c r="M50" i="238"/>
  <c r="K37" i="238"/>
  <c r="I50" i="238"/>
  <c r="G37" i="238"/>
  <c r="E50" i="238"/>
  <c r="L37" i="238"/>
  <c r="K50" i="238"/>
  <c r="H37" i="238"/>
  <c r="D37" i="238"/>
  <c r="M30" i="39"/>
  <c r="N17" i="106" l="1"/>
  <c r="N21" i="106"/>
  <c r="N25" i="106"/>
  <c r="N18" i="106"/>
  <c r="N22" i="106"/>
  <c r="N26" i="106"/>
  <c r="N15" i="106"/>
  <c r="N19" i="106"/>
  <c r="N23" i="106"/>
  <c r="N16" i="106"/>
  <c r="N20" i="106"/>
  <c r="N24" i="106"/>
  <c r="M196" i="207"/>
  <c r="F33" i="215"/>
  <c r="F26" i="30"/>
  <c r="Q32" i="231"/>
  <c r="Q22" i="232"/>
  <c r="M194" i="207"/>
  <c r="P26" i="231"/>
  <c r="N116" i="207"/>
  <c r="M153" i="236"/>
  <c r="L177" i="236"/>
  <c r="K40" i="232"/>
  <c r="Q40" i="232" s="1"/>
  <c r="P40" i="232"/>
  <c r="M159" i="236"/>
  <c r="J32" i="232"/>
  <c r="P32" i="232"/>
  <c r="M160" i="236"/>
  <c r="M162" i="236"/>
  <c r="P32" i="231"/>
  <c r="M161" i="236"/>
  <c r="M163" i="236"/>
  <c r="J26" i="232"/>
  <c r="Q26" i="232" s="1"/>
  <c r="P26" i="232"/>
  <c r="M165" i="236"/>
  <c r="M164" i="236"/>
  <c r="P34" i="232"/>
  <c r="M156" i="236"/>
  <c r="M151" i="236"/>
  <c r="M157" i="236"/>
  <c r="K42" i="232"/>
  <c r="Q42" i="232" s="1"/>
  <c r="P42" i="232"/>
  <c r="M154" i="236"/>
  <c r="K45" i="231"/>
  <c r="Q45" i="231" s="1"/>
  <c r="P45" i="231"/>
  <c r="M163" i="209"/>
  <c r="M158" i="236"/>
  <c r="Q24" i="231"/>
  <c r="L210" i="207"/>
  <c r="L215" i="207"/>
  <c r="L221" i="207"/>
  <c r="L214" i="207"/>
  <c r="L212" i="207"/>
  <c r="G177" i="207"/>
  <c r="L217" i="207"/>
  <c r="L218" i="207"/>
  <c r="L219" i="207"/>
  <c r="L207" i="207"/>
  <c r="D33" i="193"/>
  <c r="E39" i="190"/>
  <c r="F39" i="190"/>
  <c r="G39" i="190"/>
  <c r="H39" i="190"/>
  <c r="I39" i="190"/>
  <c r="H33" i="193"/>
  <c r="G33" i="193"/>
  <c r="F33" i="193"/>
  <c r="E33" i="193"/>
  <c r="E230" i="236"/>
  <c r="E230" i="209"/>
  <c r="K32" i="30"/>
  <c r="F27" i="215"/>
  <c r="F26" i="215"/>
  <c r="H130" i="10"/>
  <c r="H128" i="10" s="1"/>
  <c r="G130" i="10"/>
  <c r="G128" i="10" s="1"/>
  <c r="D31" i="42"/>
  <c r="D41" i="42" s="1"/>
  <c r="D44" i="42" s="1"/>
  <c r="F27" i="30"/>
  <c r="I140" i="236"/>
  <c r="N130" i="209"/>
  <c r="L179" i="209"/>
  <c r="L218" i="209"/>
  <c r="L209" i="236"/>
  <c r="L221" i="236"/>
  <c r="L197" i="209"/>
  <c r="L190" i="209"/>
  <c r="L216" i="213"/>
  <c r="L208" i="209"/>
  <c r="L219" i="236"/>
  <c r="L182" i="209"/>
  <c r="L221" i="209"/>
  <c r="L213" i="209"/>
  <c r="L183" i="209"/>
  <c r="L208" i="213"/>
  <c r="L218" i="213"/>
  <c r="L208" i="236"/>
  <c r="L216" i="236"/>
  <c r="L226" i="236"/>
  <c r="L215" i="236"/>
  <c r="L220" i="209"/>
  <c r="L196" i="209"/>
  <c r="L212" i="213"/>
  <c r="L214" i="213"/>
  <c r="L219" i="209"/>
  <c r="L199" i="209"/>
  <c r="L211" i="236"/>
  <c r="L222" i="236"/>
  <c r="L217" i="236"/>
  <c r="L216" i="209"/>
  <c r="L218" i="236"/>
  <c r="L215" i="213"/>
  <c r="L217" i="213"/>
  <c r="L220" i="213"/>
  <c r="L185" i="209"/>
  <c r="L211" i="209"/>
  <c r="L215" i="209"/>
  <c r="L222" i="209"/>
  <c r="L217" i="209"/>
  <c r="J55" i="10"/>
  <c r="J58" i="10" s="1"/>
  <c r="J60" i="10" s="1"/>
  <c r="J62" i="10" s="1"/>
  <c r="G33" i="34"/>
  <c r="O30" i="39"/>
  <c r="I32" i="35"/>
  <c r="H42" i="35" s="1"/>
  <c r="I34" i="215"/>
  <c r="K34" i="215" s="1"/>
  <c r="G24" i="244"/>
  <c r="D23" i="137" s="1"/>
  <c r="F71" i="248"/>
  <c r="F73" i="248" s="1"/>
  <c r="J26" i="35"/>
  <c r="I24" i="34"/>
  <c r="I23" i="34"/>
  <c r="G31" i="42"/>
  <c r="G41" i="42" s="1"/>
  <c r="G44" i="42" s="1"/>
  <c r="G24" i="243"/>
  <c r="D23" i="3" s="1"/>
  <c r="H23" i="102"/>
  <c r="N58" i="10"/>
  <c r="N60" i="10" s="1"/>
  <c r="N62" i="10" s="1"/>
  <c r="M62" i="10"/>
  <c r="M66" i="10" s="1"/>
  <c r="E31" i="42"/>
  <c r="E41" i="42" s="1"/>
  <c r="E44" i="42" s="1"/>
  <c r="K55" i="10"/>
  <c r="K58" i="10" s="1"/>
  <c r="K60" i="10" s="1"/>
  <c r="K20" i="34"/>
  <c r="K39" i="35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25" i="99"/>
  <c r="I33" i="99" s="1"/>
  <c r="K33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6" i="236"/>
  <c r="I27" i="30"/>
  <c r="K27" i="30" s="1"/>
  <c r="F21" i="215"/>
  <c r="F31" i="42"/>
  <c r="F41" i="42" s="1"/>
  <c r="F44" i="42" s="1"/>
  <c r="I140" i="209"/>
  <c r="I129" i="209"/>
  <c r="I145" i="209"/>
  <c r="I137" i="209"/>
  <c r="E230" i="213"/>
  <c r="I130" i="213"/>
  <c r="C43" i="103"/>
  <c r="P15" i="44"/>
  <c r="D175" i="45" s="1"/>
  <c r="D155" i="51" s="1"/>
  <c r="D60" i="51"/>
  <c r="D50" i="51"/>
  <c r="E28" i="100"/>
  <c r="E27" i="100"/>
  <c r="F34" i="215"/>
  <c r="F34" i="30"/>
  <c r="F35" i="30" s="1"/>
  <c r="I126" i="236"/>
  <c r="E26" i="100"/>
  <c r="E56" i="100" s="1"/>
  <c r="E18" i="239"/>
  <c r="I18" i="239"/>
  <c r="K27" i="215"/>
  <c r="K20" i="215"/>
  <c r="I125" i="209"/>
  <c r="I143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25" i="8"/>
  <c r="I33" i="8" s="1"/>
  <c r="K33" i="8" s="1"/>
  <c r="O19" i="35"/>
  <c r="O21" i="35"/>
  <c r="I55" i="100"/>
  <c r="J25" i="100"/>
  <c r="L224" i="236"/>
  <c r="I133" i="213"/>
  <c r="E25" i="103"/>
  <c r="E26" i="103"/>
  <c r="L225" i="236"/>
  <c r="M185" i="236"/>
  <c r="E24" i="103"/>
  <c r="N125" i="209"/>
  <c r="D24" i="243"/>
  <c r="L18" i="35"/>
  <c r="M19" i="35"/>
  <c r="N18" i="35"/>
  <c r="M21" i="35"/>
  <c r="I138" i="236"/>
  <c r="L210" i="236"/>
  <c r="I130" i="236"/>
  <c r="I134" i="236"/>
  <c r="I142" i="236"/>
  <c r="I127" i="236"/>
  <c r="I135" i="236"/>
  <c r="I144" i="236"/>
  <c r="I137" i="236"/>
  <c r="I145" i="236"/>
  <c r="I129" i="236"/>
  <c r="N147" i="236"/>
  <c r="I139" i="236"/>
  <c r="I133" i="236"/>
  <c r="I128" i="236"/>
  <c r="I131" i="236"/>
  <c r="I125" i="236"/>
  <c r="I141" i="236"/>
  <c r="I132" i="236"/>
  <c r="I141" i="213"/>
  <c r="I122" i="213"/>
  <c r="I137" i="213"/>
  <c r="I134" i="213"/>
  <c r="I127" i="213"/>
  <c r="I132" i="213"/>
  <c r="I126" i="213"/>
  <c r="I129" i="213"/>
  <c r="I142" i="213"/>
  <c r="I136" i="213"/>
  <c r="I138" i="213"/>
  <c r="I125" i="213"/>
  <c r="I140" i="213"/>
  <c r="I124" i="213"/>
  <c r="F21" i="30"/>
  <c r="L24" i="243"/>
  <c r="F23" i="3" s="1"/>
  <c r="K20" i="30"/>
  <c r="K21" i="30" s="1"/>
  <c r="E16" i="31" s="1"/>
  <c r="K34" i="30"/>
  <c r="M135" i="209"/>
  <c r="N135" i="209" s="1"/>
  <c r="I135" i="209"/>
  <c r="M209" i="213"/>
  <c r="L219" i="213"/>
  <c r="E230" i="207"/>
  <c r="L224" i="207"/>
  <c r="L223" i="207"/>
  <c r="L209" i="207"/>
  <c r="I125" i="207"/>
  <c r="I141" i="207"/>
  <c r="I142" i="207"/>
  <c r="I139" i="207"/>
  <c r="I133" i="207"/>
  <c r="I131" i="207"/>
  <c r="K41" i="231"/>
  <c r="Q41" i="231" s="1"/>
  <c r="G41" i="231"/>
  <c r="L188" i="213"/>
  <c r="I138" i="207"/>
  <c r="M161" i="209"/>
  <c r="M133" i="209"/>
  <c r="N133" i="209" s="1"/>
  <c r="I133" i="209"/>
  <c r="I130" i="209"/>
  <c r="L210" i="213"/>
  <c r="M222" i="213"/>
  <c r="L186" i="209"/>
  <c r="M138" i="209"/>
  <c r="N138" i="209" s="1"/>
  <c r="I138" i="209"/>
  <c r="M165" i="209"/>
  <c r="I130" i="207"/>
  <c r="M200" i="213"/>
  <c r="L187" i="209"/>
  <c r="M141" i="209"/>
  <c r="N141" i="209" s="1"/>
  <c r="I141" i="209"/>
  <c r="M143" i="209"/>
  <c r="N143" i="209" s="1"/>
  <c r="I143" i="209"/>
  <c r="L226" i="209"/>
  <c r="L192" i="209"/>
  <c r="M166" i="209"/>
  <c r="I166" i="209"/>
  <c r="M221" i="213"/>
  <c r="L207" i="209"/>
  <c r="L214" i="209"/>
  <c r="M152" i="209"/>
  <c r="I122" i="207"/>
  <c r="M155" i="209"/>
  <c r="M206" i="213"/>
  <c r="K34" i="231"/>
  <c r="Q34" i="231" s="1"/>
  <c r="M166" i="236"/>
  <c r="I166" i="236"/>
  <c r="M159" i="209"/>
  <c r="L180" i="209"/>
  <c r="M131" i="209"/>
  <c r="N131" i="209" s="1"/>
  <c r="I131" i="209"/>
  <c r="M153" i="209"/>
  <c r="M162" i="209"/>
  <c r="K44" i="232"/>
  <c r="Q44" i="232" s="1"/>
  <c r="I134" i="209"/>
  <c r="M134" i="209"/>
  <c r="N134" i="209" s="1"/>
  <c r="I144" i="209"/>
  <c r="M144" i="209"/>
  <c r="N144" i="209" s="1"/>
  <c r="M154" i="209"/>
  <c r="I142" i="209"/>
  <c r="M197" i="209"/>
  <c r="M136" i="209"/>
  <c r="N136" i="209" s="1"/>
  <c r="I136" i="209"/>
  <c r="M150" i="209"/>
  <c r="M158" i="209"/>
  <c r="M164" i="209"/>
  <c r="M185" i="209"/>
  <c r="M139" i="209"/>
  <c r="N139" i="209" s="1"/>
  <c r="I139" i="209"/>
  <c r="M151" i="209"/>
  <c r="M156" i="209"/>
  <c r="M160" i="209"/>
  <c r="L177" i="209"/>
  <c r="L22" i="244"/>
  <c r="L24" i="244" s="1"/>
  <c r="F23" i="137" s="1"/>
  <c r="P44" i="202"/>
  <c r="K31" i="215"/>
  <c r="I126" i="209"/>
  <c r="M126" i="209"/>
  <c r="N126" i="209" s="1"/>
  <c r="I128" i="209"/>
  <c r="M128" i="209"/>
  <c r="N128" i="209" s="1"/>
  <c r="M168" i="213"/>
  <c r="M127" i="209"/>
  <c r="N127" i="209" s="1"/>
  <c r="I127" i="209"/>
  <c r="M220" i="213"/>
  <c r="M216" i="236"/>
  <c r="M226" i="236"/>
  <c r="M219" i="236"/>
  <c r="M213" i="209"/>
  <c r="K32" i="232"/>
  <c r="M213" i="213"/>
  <c r="M221" i="207"/>
  <c r="M221" i="236"/>
  <c r="M216" i="209"/>
  <c r="L207" i="213"/>
  <c r="J34" i="232"/>
  <c r="Q34" i="232" s="1"/>
  <c r="L189" i="209"/>
  <c r="J24" i="232"/>
  <c r="Q24" i="232" s="1"/>
  <c r="L178" i="209"/>
  <c r="L191" i="209"/>
  <c r="L181" i="209"/>
  <c r="L184" i="209"/>
  <c r="L193" i="209"/>
  <c r="L179" i="213"/>
  <c r="L188" i="209"/>
  <c r="L195" i="209"/>
  <c r="L194" i="209"/>
  <c r="L189" i="213"/>
  <c r="L174" i="213"/>
  <c r="L175" i="213"/>
  <c r="E29" i="37"/>
  <c r="E31" i="37" s="1"/>
  <c r="E34" i="37" s="1"/>
  <c r="G28" i="1" s="1"/>
  <c r="N28" i="1" s="1"/>
  <c r="L178" i="213"/>
  <c r="L181" i="213"/>
  <c r="L190" i="213"/>
  <c r="M219" i="209"/>
  <c r="L220" i="207"/>
  <c r="M187" i="207"/>
  <c r="M148" i="213"/>
  <c r="M208" i="209"/>
  <c r="M223" i="209"/>
  <c r="M183" i="209"/>
  <c r="L208" i="207"/>
  <c r="M152" i="236"/>
  <c r="M155" i="236"/>
  <c r="M215" i="236"/>
  <c r="H35" i="30"/>
  <c r="K33" i="30"/>
  <c r="I134" i="207"/>
  <c r="I132" i="207"/>
  <c r="I127" i="207"/>
  <c r="J42" i="35"/>
  <c r="M216" i="213"/>
  <c r="M215" i="213"/>
  <c r="L180" i="213"/>
  <c r="M218" i="213"/>
  <c r="L182" i="213"/>
  <c r="L191" i="213"/>
  <c r="M220" i="209"/>
  <c r="L216" i="207"/>
  <c r="M208" i="213"/>
  <c r="L185" i="213"/>
  <c r="L194" i="213"/>
  <c r="M123" i="213"/>
  <c r="N123" i="213" s="1"/>
  <c r="I123" i="213"/>
  <c r="M209" i="209"/>
  <c r="M224" i="209"/>
  <c r="M214" i="236"/>
  <c r="I137" i="207"/>
  <c r="I136" i="207"/>
  <c r="M217" i="213"/>
  <c r="M214" i="213"/>
  <c r="L176" i="213"/>
  <c r="M128" i="213"/>
  <c r="N128" i="213" s="1"/>
  <c r="I128" i="213"/>
  <c r="M224" i="213"/>
  <c r="L183" i="213"/>
  <c r="L192" i="213"/>
  <c r="M221" i="209"/>
  <c r="L186" i="213"/>
  <c r="M131" i="213"/>
  <c r="N131" i="213" s="1"/>
  <c r="I131" i="213"/>
  <c r="M210" i="209"/>
  <c r="M225" i="209"/>
  <c r="M211" i="236"/>
  <c r="J26" i="231"/>
  <c r="Q26" i="231" s="1"/>
  <c r="H19" i="202"/>
  <c r="I123" i="207"/>
  <c r="I124" i="207"/>
  <c r="I140" i="207"/>
  <c r="I135" i="207"/>
  <c r="M212" i="213"/>
  <c r="L177" i="213"/>
  <c r="M135" i="213"/>
  <c r="N135" i="213" s="1"/>
  <c r="I135" i="213"/>
  <c r="M157" i="213"/>
  <c r="L184" i="213"/>
  <c r="L193" i="213"/>
  <c r="M218" i="209"/>
  <c r="M179" i="209"/>
  <c r="M219" i="207"/>
  <c r="L187" i="213"/>
  <c r="M139" i="213"/>
  <c r="N139" i="213" s="1"/>
  <c r="I139" i="213"/>
  <c r="M222" i="209"/>
  <c r="M182" i="209"/>
  <c r="M207" i="207"/>
  <c r="N144" i="207"/>
  <c r="I126" i="207"/>
  <c r="I129" i="207"/>
  <c r="N27" i="106" l="1"/>
  <c r="M15" i="106"/>
  <c r="F35" i="215"/>
  <c r="F28" i="30"/>
  <c r="F37" i="30" s="1"/>
  <c r="D22" i="3" s="1"/>
  <c r="L178" i="236"/>
  <c r="Q32" i="232"/>
  <c r="G22" i="95"/>
  <c r="G41" i="10" s="1"/>
  <c r="G178" i="207"/>
  <c r="L177" i="207"/>
  <c r="D39" i="190"/>
  <c r="F28" i="215"/>
  <c r="I46" i="35"/>
  <c r="G72" i="10"/>
  <c r="T44" i="202"/>
  <c r="E29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I25" i="34"/>
  <c r="I33" i="34" s="1"/>
  <c r="K25" i="34"/>
  <c r="K33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M187" i="236"/>
  <c r="I56" i="100"/>
  <c r="N19" i="35"/>
  <c r="L19" i="35"/>
  <c r="I147" i="236"/>
  <c r="I147" i="209"/>
  <c r="N147" i="209"/>
  <c r="I144" i="207"/>
  <c r="L44" i="202"/>
  <c r="L19" i="202"/>
  <c r="I144" i="213"/>
  <c r="N144" i="213"/>
  <c r="H44" i="202"/>
  <c r="M16" i="106" l="1"/>
  <c r="M17" i="106" s="1"/>
  <c r="M18" i="106" s="1"/>
  <c r="M19" i="106" s="1"/>
  <c r="M20" i="106" s="1"/>
  <c r="M21" i="106" s="1"/>
  <c r="M22" i="106" s="1"/>
  <c r="M23" i="106" s="1"/>
  <c r="M24" i="106" s="1"/>
  <c r="M25" i="106" s="1"/>
  <c r="M26" i="106" s="1"/>
  <c r="D24" i="137" s="1"/>
  <c r="K21" i="4"/>
  <c r="F37" i="215"/>
  <c r="D22" i="137" s="1"/>
  <c r="L179" i="236"/>
  <c r="G180" i="207"/>
  <c r="L178" i="207"/>
  <c r="L64" i="10"/>
  <c r="I39" i="35"/>
  <c r="J35" i="35"/>
  <c r="K66" i="10"/>
  <c r="I45" i="233"/>
  <c r="K37" i="30"/>
  <c r="F22" i="3" s="1"/>
  <c r="K37" i="215"/>
  <c r="F22" i="137" s="1"/>
  <c r="Q22" i="41"/>
  <c r="I57" i="100"/>
  <c r="I58" i="100"/>
  <c r="M189" i="236"/>
  <c r="N37" i="42"/>
  <c r="M27" i="106" l="1"/>
  <c r="F24" i="137" s="1"/>
  <c r="L180" i="236"/>
  <c r="G181" i="207"/>
  <c r="L180" i="207"/>
  <c r="J45" i="233"/>
  <c r="M191" i="236"/>
  <c r="H72" i="10"/>
  <c r="P37" i="42"/>
  <c r="L181" i="236" l="1"/>
  <c r="L182" i="236"/>
  <c r="G182" i="207"/>
  <c r="L181" i="207"/>
  <c r="K45" i="233"/>
  <c r="M193" i="236"/>
  <c r="F120" i="236"/>
  <c r="I120" i="236" s="1"/>
  <c r="N120" i="236"/>
  <c r="L184" i="236" l="1"/>
  <c r="L183" i="236"/>
  <c r="G183" i="207"/>
  <c r="L182" i="207"/>
  <c r="L45" i="233"/>
  <c r="E22" i="239"/>
  <c r="M195" i="236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L186" i="236" l="1"/>
  <c r="L185" i="236"/>
  <c r="G184" i="207"/>
  <c r="L183" i="207"/>
  <c r="M45" i="233"/>
  <c r="M197" i="236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L188" i="236" l="1"/>
  <c r="L187" i="236"/>
  <c r="G185" i="207"/>
  <c r="L184" i="207"/>
  <c r="I24" i="239"/>
  <c r="N45" i="233"/>
  <c r="M199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O45" i="233" l="1"/>
  <c r="L190" i="236"/>
  <c r="L189" i="236"/>
  <c r="G186" i="207"/>
  <c r="L185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P45" i="233" l="1"/>
  <c r="D40" i="232" s="1"/>
  <c r="G40" i="232" s="1"/>
  <c r="L191" i="236"/>
  <c r="L192" i="236"/>
  <c r="G187" i="207"/>
  <c r="L186" i="207"/>
  <c r="Q45" i="233" l="1"/>
  <c r="I40" i="232" s="1"/>
  <c r="L40" i="232" s="1"/>
  <c r="L193" i="236"/>
  <c r="L194" i="236"/>
  <c r="G188" i="207"/>
  <c r="L187" i="207"/>
  <c r="N29" i="42"/>
  <c r="P29" i="42"/>
  <c r="L195" i="236" l="1"/>
  <c r="L196" i="236"/>
  <c r="G189" i="207"/>
  <c r="L188" i="207"/>
  <c r="R34" i="41"/>
  <c r="L197" i="236" l="1"/>
  <c r="G190" i="207"/>
  <c r="L189" i="207"/>
  <c r="R35" i="41"/>
  <c r="L199" i="236" l="1"/>
  <c r="G191" i="207"/>
  <c r="L190" i="207"/>
  <c r="R33" i="41"/>
  <c r="F119" i="236"/>
  <c r="D122" i="236"/>
  <c r="G192" i="207" l="1"/>
  <c r="L191" i="207"/>
  <c r="K122" i="236"/>
  <c r="N119" i="236"/>
  <c r="N122" i="236" s="1"/>
  <c r="F122" i="236"/>
  <c r="I119" i="236"/>
  <c r="I122" i="236" s="1"/>
  <c r="G193" i="207" l="1"/>
  <c r="G195" i="207" s="1"/>
  <c r="L192" i="207"/>
  <c r="R36" i="41"/>
  <c r="R22" i="41"/>
  <c r="I195" i="207" l="1"/>
  <c r="L195" i="207"/>
  <c r="N195" i="207" s="1"/>
  <c r="G194" i="207"/>
  <c r="L193" i="207"/>
  <c r="N22" i="42"/>
  <c r="N31" i="42" s="1"/>
  <c r="N41" i="42" s="1"/>
  <c r="N44" i="42" s="1"/>
  <c r="G196" i="207" l="1"/>
  <c r="L194" i="207"/>
  <c r="F120" i="209"/>
  <c r="I120" i="209" s="1"/>
  <c r="N120" i="209"/>
  <c r="G200" i="207" l="1"/>
  <c r="L200" i="207" s="1"/>
  <c r="L196" i="207"/>
  <c r="D120" i="237" l="1"/>
  <c r="D122" i="209"/>
  <c r="F119" i="209"/>
  <c r="K122" i="209" l="1"/>
  <c r="N119" i="209"/>
  <c r="N122" i="209" s="1"/>
  <c r="I119" i="209"/>
  <c r="I122" i="209" s="1"/>
  <c r="F122" i="209"/>
  <c r="J27" i="42" l="1"/>
  <c r="D26" i="46"/>
  <c r="D20" i="47" l="1"/>
  <c r="F75" i="207" l="1"/>
  <c r="I75" i="207" s="1"/>
  <c r="F88" i="207"/>
  <c r="I88" i="207" s="1"/>
  <c r="F104" i="207" l="1"/>
  <c r="I104" i="207" s="1"/>
  <c r="F90" i="207"/>
  <c r="I90" i="207" s="1"/>
  <c r="F74" i="207"/>
  <c r="I74" i="207" s="1"/>
  <c r="F95" i="207"/>
  <c r="I95" i="207" s="1"/>
  <c r="F97" i="207"/>
  <c r="I97" i="207" s="1"/>
  <c r="F30" i="207"/>
  <c r="I30" i="207" s="1"/>
  <c r="F23" i="207"/>
  <c r="I23" i="207" s="1"/>
  <c r="F100" i="207"/>
  <c r="I100" i="207" s="1"/>
  <c r="F22" i="207"/>
  <c r="I22" i="207" s="1"/>
  <c r="F160" i="207"/>
  <c r="I160" i="207" s="1"/>
  <c r="F72" i="207"/>
  <c r="I72" i="207" s="1"/>
  <c r="N88" i="207"/>
  <c r="F92" i="207"/>
  <c r="I92" i="207" s="1"/>
  <c r="N75" i="207" l="1"/>
  <c r="F17" i="207"/>
  <c r="I17" i="207" s="1"/>
  <c r="F73" i="207"/>
  <c r="I73" i="207" s="1"/>
  <c r="F105" i="207"/>
  <c r="I105" i="207" s="1"/>
  <c r="F81" i="207"/>
  <c r="I81" i="207" s="1"/>
  <c r="F151" i="207"/>
  <c r="I151" i="207" s="1"/>
  <c r="F94" i="207"/>
  <c r="I94" i="207" s="1"/>
  <c r="F91" i="207"/>
  <c r="I91" i="207" s="1"/>
  <c r="N160" i="207"/>
  <c r="N30" i="207"/>
  <c r="N104" i="207"/>
  <c r="N22" i="207"/>
  <c r="N23" i="207"/>
  <c r="N97" i="207"/>
  <c r="N90" i="207"/>
  <c r="F99" i="207"/>
  <c r="I99" i="207" s="1"/>
  <c r="N100" i="207"/>
  <c r="N95" i="207"/>
  <c r="F76" i="207"/>
  <c r="I76" i="207" s="1"/>
  <c r="F96" i="207"/>
  <c r="I96" i="207" s="1"/>
  <c r="F93" i="207"/>
  <c r="I93" i="207" s="1"/>
  <c r="F98" i="207"/>
  <c r="I98" i="207" s="1"/>
  <c r="F78" i="207"/>
  <c r="I78" i="207" s="1"/>
  <c r="F80" i="207"/>
  <c r="I80" i="207" s="1"/>
  <c r="F103" i="207"/>
  <c r="I103" i="207" s="1"/>
  <c r="F101" i="207"/>
  <c r="I101" i="207" s="1"/>
  <c r="F24" i="207"/>
  <c r="I24" i="207" s="1"/>
  <c r="F71" i="207"/>
  <c r="I71" i="207" s="1"/>
  <c r="F154" i="207"/>
  <c r="I154" i="207" s="1"/>
  <c r="N92" i="207"/>
  <c r="F77" i="207"/>
  <c r="I77" i="207" s="1"/>
  <c r="N74" i="207" l="1"/>
  <c r="N72" i="207"/>
  <c r="F147" i="207"/>
  <c r="F29" i="207"/>
  <c r="N17" i="207"/>
  <c r="N151" i="207"/>
  <c r="N105" i="207"/>
  <c r="N101" i="207"/>
  <c r="N94" i="207"/>
  <c r="N91" i="207"/>
  <c r="N98" i="207"/>
  <c r="N93" i="207"/>
  <c r="N103" i="207"/>
  <c r="N96" i="207"/>
  <c r="N99" i="207"/>
  <c r="N24" i="207"/>
  <c r="F89" i="207"/>
  <c r="I89" i="207" s="1"/>
  <c r="F51" i="207"/>
  <c r="I51" i="207" s="1"/>
  <c r="F56" i="207"/>
  <c r="I56" i="207" s="1"/>
  <c r="F39" i="207"/>
  <c r="I39" i="207" s="1"/>
  <c r="F87" i="207"/>
  <c r="I87" i="207" s="1"/>
  <c r="F68" i="207"/>
  <c r="I68" i="207" s="1"/>
  <c r="F31" i="207"/>
  <c r="I31" i="207" s="1"/>
  <c r="F64" i="207"/>
  <c r="I64" i="207" s="1"/>
  <c r="N154" i="207"/>
  <c r="N87" i="207"/>
  <c r="N77" i="207" l="1"/>
  <c r="N78" i="207"/>
  <c r="N71" i="207"/>
  <c r="N80" i="207"/>
  <c r="N73" i="207"/>
  <c r="N81" i="207"/>
  <c r="N76" i="207"/>
  <c r="N147" i="207"/>
  <c r="I29" i="207"/>
  <c r="F16" i="207"/>
  <c r="D19" i="207"/>
  <c r="N29" i="207"/>
  <c r="I147" i="207"/>
  <c r="N51" i="207"/>
  <c r="N56" i="207"/>
  <c r="N89" i="207"/>
  <c r="N39" i="207"/>
  <c r="F52" i="207"/>
  <c r="I52" i="207" s="1"/>
  <c r="F34" i="207"/>
  <c r="I34" i="207" s="1"/>
  <c r="F44" i="207"/>
  <c r="I44" i="207" s="1"/>
  <c r="F63" i="207"/>
  <c r="I63" i="207" s="1"/>
  <c r="F42" i="207"/>
  <c r="I42" i="207" s="1"/>
  <c r="F35" i="207"/>
  <c r="I35" i="207" s="1"/>
  <c r="F67" i="207"/>
  <c r="I67" i="207" s="1"/>
  <c r="N31" i="207"/>
  <c r="F55" i="207"/>
  <c r="I55" i="207" s="1"/>
  <c r="N64" i="207" l="1"/>
  <c r="N68" i="207"/>
  <c r="F116" i="207"/>
  <c r="I16" i="207"/>
  <c r="I19" i="207" s="1"/>
  <c r="F19" i="207"/>
  <c r="K19" i="207"/>
  <c r="N16" i="207"/>
  <c r="N19" i="207" s="1"/>
  <c r="N35" i="207"/>
  <c r="N42" i="207"/>
  <c r="F70" i="207"/>
  <c r="I70" i="207" s="1"/>
  <c r="F157" i="207"/>
  <c r="I157" i="207" s="1"/>
  <c r="F156" i="207"/>
  <c r="I156" i="207" s="1"/>
  <c r="N52" i="207"/>
  <c r="N34" i="207"/>
  <c r="N44" i="207"/>
  <c r="F37" i="207"/>
  <c r="I37" i="207" s="1"/>
  <c r="F38" i="207"/>
  <c r="I38" i="207" s="1"/>
  <c r="F43" i="207"/>
  <c r="I43" i="207" s="1"/>
  <c r="N55" i="207"/>
  <c r="F66" i="207"/>
  <c r="I66" i="207" s="1"/>
  <c r="F158" i="207"/>
  <c r="I158" i="207" s="1"/>
  <c r="N63" i="207" l="1"/>
  <c r="N70" i="207"/>
  <c r="N67" i="207"/>
  <c r="F50" i="207"/>
  <c r="I116" i="207"/>
  <c r="N37" i="207"/>
  <c r="N157" i="207"/>
  <c r="F153" i="207"/>
  <c r="I153" i="207" s="1"/>
  <c r="F162" i="207"/>
  <c r="I162" i="207" s="1"/>
  <c r="N156" i="207"/>
  <c r="F69" i="207"/>
  <c r="I69" i="207" s="1"/>
  <c r="F152" i="207"/>
  <c r="I152" i="207" s="1"/>
  <c r="F41" i="207"/>
  <c r="I41" i="207" s="1"/>
  <c r="N38" i="207"/>
  <c r="N158" i="207"/>
  <c r="F79" i="207"/>
  <c r="I79" i="207" s="1"/>
  <c r="F54" i="207"/>
  <c r="I54" i="207" s="1"/>
  <c r="N43" i="207"/>
  <c r="F57" i="207"/>
  <c r="I57" i="207" s="1"/>
  <c r="F33" i="207"/>
  <c r="I33" i="207" s="1"/>
  <c r="F155" i="207"/>
  <c r="I155" i="207" s="1"/>
  <c r="F161" i="207"/>
  <c r="I161" i="207" s="1"/>
  <c r="N69" i="207" l="1"/>
  <c r="N66" i="207"/>
  <c r="F32" i="207"/>
  <c r="F117" i="207"/>
  <c r="D119" i="207"/>
  <c r="F148" i="207"/>
  <c r="N50" i="207"/>
  <c r="F62" i="207"/>
  <c r="I50" i="207"/>
  <c r="D26" i="207"/>
  <c r="N162" i="207"/>
  <c r="N153" i="207"/>
  <c r="N41" i="207"/>
  <c r="N152" i="207"/>
  <c r="N155" i="207"/>
  <c r="N33" i="207"/>
  <c r="N57" i="207"/>
  <c r="N161" i="207"/>
  <c r="F45" i="207"/>
  <c r="I45" i="207" s="1"/>
  <c r="N54" i="207"/>
  <c r="F40" i="207"/>
  <c r="I40" i="207" s="1"/>
  <c r="F36" i="207"/>
  <c r="I36" i="207" s="1"/>
  <c r="F65" i="207"/>
  <c r="I65" i="207" s="1"/>
  <c r="F149" i="207"/>
  <c r="I149" i="207" s="1"/>
  <c r="F150" i="207"/>
  <c r="I150" i="207" s="1"/>
  <c r="N79" i="207" l="1"/>
  <c r="N148" i="207"/>
  <c r="I26" i="207"/>
  <c r="H18" i="10" s="1"/>
  <c r="F26" i="207"/>
  <c r="D83" i="207"/>
  <c r="N119" i="207"/>
  <c r="K119" i="207"/>
  <c r="F83" i="207"/>
  <c r="I62" i="207"/>
  <c r="I83" i="207" s="1"/>
  <c r="H21" i="10" s="1"/>
  <c r="I148" i="207"/>
  <c r="N32" i="207"/>
  <c r="D47" i="207"/>
  <c r="N26" i="207"/>
  <c r="K26" i="207"/>
  <c r="N62" i="207"/>
  <c r="F86" i="207"/>
  <c r="F53" i="207"/>
  <c r="D59" i="207"/>
  <c r="I117" i="207"/>
  <c r="I119" i="207" s="1"/>
  <c r="F119" i="207"/>
  <c r="I32" i="207"/>
  <c r="I47" i="207" s="1"/>
  <c r="H19" i="10" s="1"/>
  <c r="F47" i="207"/>
  <c r="F159" i="207"/>
  <c r="I159" i="207" s="1"/>
  <c r="N149" i="207"/>
  <c r="N36" i="207"/>
  <c r="N45" i="207"/>
  <c r="N40" i="207"/>
  <c r="N150" i="207"/>
  <c r="F102" i="207"/>
  <c r="I102" i="207" s="1"/>
  <c r="N65" i="207" l="1"/>
  <c r="N83" i="207" s="1"/>
  <c r="I164" i="207"/>
  <c r="I166" i="207" s="1"/>
  <c r="N86" i="207"/>
  <c r="H17" i="10"/>
  <c r="K83" i="207"/>
  <c r="N47" i="207"/>
  <c r="D164" i="207"/>
  <c r="D166" i="207" s="1"/>
  <c r="I53" i="207"/>
  <c r="I59" i="207" s="1"/>
  <c r="H20" i="10" s="1"/>
  <c r="F59" i="207"/>
  <c r="F164" i="207"/>
  <c r="F166" i="207" s="1"/>
  <c r="N53" i="207"/>
  <c r="N59" i="207" s="1"/>
  <c r="K59" i="207"/>
  <c r="D107" i="207"/>
  <c r="D109" i="207" s="1"/>
  <c r="F107" i="207"/>
  <c r="I86" i="207"/>
  <c r="I107" i="207" s="1"/>
  <c r="K47" i="207"/>
  <c r="N159" i="207"/>
  <c r="N164" i="207" s="1"/>
  <c r="N166" i="207" s="1"/>
  <c r="F109" i="207" l="1"/>
  <c r="I109" i="207"/>
  <c r="K164" i="207"/>
  <c r="K166" i="207" s="1"/>
  <c r="N102" i="207" l="1"/>
  <c r="N107" i="207" s="1"/>
  <c r="N109" i="207" s="1"/>
  <c r="K107" i="207"/>
  <c r="K109" i="207" s="1"/>
  <c r="F116" i="213" l="1"/>
  <c r="N116" i="213" l="1"/>
  <c r="I116" i="213"/>
  <c r="F160" i="213"/>
  <c r="I160" i="213" s="1"/>
  <c r="N160" i="213" l="1"/>
  <c r="F151" i="213" l="1"/>
  <c r="I151" i="213" s="1"/>
  <c r="N151" i="213"/>
  <c r="F154" i="213" l="1"/>
  <c r="I154" i="213" s="1"/>
  <c r="N154" i="213"/>
  <c r="F147" i="213" l="1"/>
  <c r="I147" i="213" l="1"/>
  <c r="N147" i="213"/>
  <c r="F150" i="213" l="1"/>
  <c r="I150" i="213" s="1"/>
  <c r="F156" i="213" l="1"/>
  <c r="I156" i="213" s="1"/>
  <c r="F157" i="213"/>
  <c r="I157" i="213" s="1"/>
  <c r="N150" i="213"/>
  <c r="N157" i="213" l="1"/>
  <c r="N156" i="213"/>
  <c r="F158" i="213"/>
  <c r="I158" i="213" s="1"/>
  <c r="F155" i="213"/>
  <c r="I155" i="213" s="1"/>
  <c r="F152" i="213"/>
  <c r="I152" i="213" s="1"/>
  <c r="F117" i="213" l="1"/>
  <c r="N155" i="213"/>
  <c r="N158" i="213"/>
  <c r="F149" i="213"/>
  <c r="I149" i="213" s="1"/>
  <c r="N152" i="213"/>
  <c r="N117" i="213" l="1"/>
  <c r="N119" i="213" s="1"/>
  <c r="K119" i="213"/>
  <c r="I117" i="213"/>
  <c r="I119" i="213" s="1"/>
  <c r="F119" i="213"/>
  <c r="N149" i="213"/>
  <c r="F162" i="213" l="1"/>
  <c r="I162" i="213" s="1"/>
  <c r="F161" i="213"/>
  <c r="I161" i="213" s="1"/>
  <c r="F148" i="213" l="1"/>
  <c r="N162" i="213"/>
  <c r="F153" i="213"/>
  <c r="I153" i="213" s="1"/>
  <c r="N161" i="213"/>
  <c r="F159" i="213"/>
  <c r="I159" i="213" s="1"/>
  <c r="D164" i="213" l="1"/>
  <c r="D166" i="213" s="1"/>
  <c r="N148" i="213"/>
  <c r="I148" i="213"/>
  <c r="I164" i="213" s="1"/>
  <c r="F164" i="213"/>
  <c r="F166" i="213" s="1"/>
  <c r="N153" i="213"/>
  <c r="N159" i="213"/>
  <c r="I166" i="213" l="1"/>
  <c r="K164" i="213"/>
  <c r="K166" i="213" s="1"/>
  <c r="N164" i="213"/>
  <c r="N166" i="213" s="1"/>
  <c r="F223" i="207" l="1"/>
  <c r="I223" i="207" s="1"/>
  <c r="F224" i="207"/>
  <c r="I224" i="207" s="1"/>
  <c r="F210" i="207"/>
  <c r="I210" i="207" s="1"/>
  <c r="F214" i="207"/>
  <c r="I214" i="207" s="1"/>
  <c r="N224" i="207" l="1"/>
  <c r="N223" i="207"/>
  <c r="N214" i="207"/>
  <c r="N210" i="207"/>
  <c r="F208" i="207" l="1"/>
  <c r="I208" i="207" s="1"/>
  <c r="N208" i="207" l="1"/>
  <c r="F213" i="207"/>
  <c r="I213" i="207" s="1"/>
  <c r="F205" i="207" l="1"/>
  <c r="I205" i="207" s="1"/>
  <c r="F215" i="207" l="1"/>
  <c r="I215" i="207" s="1"/>
  <c r="N205" i="207"/>
  <c r="N213" i="207"/>
  <c r="F222" i="207"/>
  <c r="I222" i="207" s="1"/>
  <c r="F206" i="207"/>
  <c r="I206" i="207" s="1"/>
  <c r="F207" i="207"/>
  <c r="I207" i="207" s="1"/>
  <c r="F209" i="207"/>
  <c r="I209" i="207" s="1"/>
  <c r="N215" i="207" l="1"/>
  <c r="N207" i="207" l="1"/>
  <c r="N222" i="207"/>
  <c r="N209" i="207"/>
  <c r="N206" i="207"/>
  <c r="F224" i="213" l="1"/>
  <c r="I224" i="213" s="1"/>
  <c r="N224" i="213" l="1"/>
  <c r="F214" i="213" l="1"/>
  <c r="I214" i="213" s="1"/>
  <c r="N214" i="213" l="1"/>
  <c r="F210" i="213"/>
  <c r="I210" i="213" s="1"/>
  <c r="N210" i="213" l="1"/>
  <c r="F205" i="213"/>
  <c r="I205" i="213" s="1"/>
  <c r="N205" i="213" l="1"/>
  <c r="F208" i="213" l="1"/>
  <c r="I208" i="213" s="1"/>
  <c r="F223" i="213"/>
  <c r="I223" i="213" s="1"/>
  <c r="N208" i="213" l="1"/>
  <c r="N223" i="213"/>
  <c r="F215" i="213" l="1"/>
  <c r="I215" i="213" s="1"/>
  <c r="N215" i="213" l="1"/>
  <c r="F213" i="213" l="1"/>
  <c r="I213" i="213" s="1"/>
  <c r="N213" i="213" l="1"/>
  <c r="F222" i="213"/>
  <c r="I222" i="213" s="1"/>
  <c r="N222" i="213" l="1"/>
  <c r="F209" i="213" l="1"/>
  <c r="I209" i="213" s="1"/>
  <c r="F207" i="213"/>
  <c r="I207" i="213" s="1"/>
  <c r="F206" i="213" l="1"/>
  <c r="N209" i="213"/>
  <c r="N207" i="213"/>
  <c r="N206" i="213" l="1"/>
  <c r="I206" i="213"/>
  <c r="F181" i="207" l="1"/>
  <c r="I181" i="207" s="1"/>
  <c r="F186" i="207"/>
  <c r="I186" i="207" s="1"/>
  <c r="N186" i="207" l="1"/>
  <c r="N181" i="207"/>
  <c r="F194" i="207"/>
  <c r="I194" i="207" s="1"/>
  <c r="F175" i="207"/>
  <c r="I175" i="207" s="1"/>
  <c r="F188" i="207"/>
  <c r="I188" i="207" s="1"/>
  <c r="F174" i="207"/>
  <c r="I174" i="207" s="1"/>
  <c r="F193" i="207"/>
  <c r="I193" i="207" s="1"/>
  <c r="F189" i="207"/>
  <c r="I189" i="207" s="1"/>
  <c r="F183" i="207"/>
  <c r="I183" i="207" s="1"/>
  <c r="F173" i="207" l="1"/>
  <c r="F185" i="207"/>
  <c r="I185" i="207" s="1"/>
  <c r="F177" i="207"/>
  <c r="I177" i="207" s="1"/>
  <c r="F182" i="207"/>
  <c r="I182" i="207" s="1"/>
  <c r="F180" i="207"/>
  <c r="I180" i="207" s="1"/>
  <c r="F196" i="207"/>
  <c r="I196" i="207" s="1"/>
  <c r="F176" i="207"/>
  <c r="I176" i="207" s="1"/>
  <c r="N183" i="207"/>
  <c r="N175" i="207"/>
  <c r="N194" i="207"/>
  <c r="F187" i="207"/>
  <c r="I187" i="207" s="1"/>
  <c r="N193" i="207"/>
  <c r="N188" i="207"/>
  <c r="N182" i="207"/>
  <c r="F192" i="207"/>
  <c r="I192" i="207" s="1"/>
  <c r="N174" i="207"/>
  <c r="F190" i="207"/>
  <c r="I190" i="207" s="1"/>
  <c r="F191" i="207"/>
  <c r="I191" i="207" s="1"/>
  <c r="F179" i="207"/>
  <c r="I179" i="207" s="1"/>
  <c r="N177" i="207"/>
  <c r="F184" i="207"/>
  <c r="I184" i="207" s="1"/>
  <c r="F178" i="207"/>
  <c r="I178" i="207" s="1"/>
  <c r="N189" i="207"/>
  <c r="D198" i="207" l="1"/>
  <c r="N173" i="207"/>
  <c r="I173" i="207"/>
  <c r="I198" i="207" s="1"/>
  <c r="F198" i="207"/>
  <c r="N180" i="207"/>
  <c r="N176" i="207"/>
  <c r="N196" i="207"/>
  <c r="N185" i="207"/>
  <c r="N187" i="207"/>
  <c r="N178" i="207"/>
  <c r="N179" i="207"/>
  <c r="N184" i="207"/>
  <c r="N191" i="207"/>
  <c r="N190" i="207"/>
  <c r="N192" i="207"/>
  <c r="K198" i="207" l="1"/>
  <c r="N198" i="207"/>
  <c r="F173" i="213" l="1"/>
  <c r="F181" i="213"/>
  <c r="I181" i="213" s="1"/>
  <c r="F175" i="213"/>
  <c r="I175" i="213" s="1"/>
  <c r="F174" i="213"/>
  <c r="I174" i="213" s="1"/>
  <c r="N173" i="213" l="1"/>
  <c r="I173" i="213"/>
  <c r="F179" i="213"/>
  <c r="I179" i="213" s="1"/>
  <c r="F184" i="213"/>
  <c r="I184" i="213" s="1"/>
  <c r="N174" i="213"/>
  <c r="N175" i="213"/>
  <c r="N181" i="213"/>
  <c r="F180" i="213"/>
  <c r="I180" i="213" s="1"/>
  <c r="F190" i="213"/>
  <c r="I190" i="213" s="1"/>
  <c r="N184" i="213" l="1"/>
  <c r="N179" i="213"/>
  <c r="F193" i="213"/>
  <c r="I193" i="213" s="1"/>
  <c r="N190" i="213"/>
  <c r="N180" i="213"/>
  <c r="F183" i="213"/>
  <c r="I183" i="213" s="1"/>
  <c r="F176" i="213" l="1"/>
  <c r="N193" i="213"/>
  <c r="F186" i="213"/>
  <c r="I186" i="213" s="1"/>
  <c r="F194" i="213"/>
  <c r="I194" i="213" s="1"/>
  <c r="N183" i="213"/>
  <c r="F188" i="213"/>
  <c r="I188" i="213" s="1"/>
  <c r="F177" i="213"/>
  <c r="I177" i="213" s="1"/>
  <c r="N176" i="213" l="1"/>
  <c r="I176" i="213"/>
  <c r="N194" i="213"/>
  <c r="N186" i="213"/>
  <c r="F189" i="213"/>
  <c r="I189" i="213" s="1"/>
  <c r="N177" i="213"/>
  <c r="F182" i="213"/>
  <c r="I182" i="213" s="1"/>
  <c r="N188" i="213"/>
  <c r="F192" i="213"/>
  <c r="I192" i="213" s="1"/>
  <c r="F178" i="213"/>
  <c r="I178" i="213" s="1"/>
  <c r="F185" i="213" l="1"/>
  <c r="I185" i="213" s="1"/>
  <c r="F191" i="213"/>
  <c r="I191" i="213" s="1"/>
  <c r="N189" i="213"/>
  <c r="N178" i="213"/>
  <c r="N192" i="213"/>
  <c r="N182" i="213"/>
  <c r="N191" i="213" l="1"/>
  <c r="N185" i="213"/>
  <c r="F187" i="213" l="1"/>
  <c r="D198" i="213"/>
  <c r="N187" i="213" l="1"/>
  <c r="N198" i="213" s="1"/>
  <c r="K198" i="213"/>
  <c r="I187" i="213"/>
  <c r="I198" i="213" s="1"/>
  <c r="F198" i="213"/>
  <c r="F220" i="207" l="1"/>
  <c r="I220" i="207" s="1"/>
  <c r="F216" i="207" l="1"/>
  <c r="I216" i="207" s="1"/>
  <c r="N220" i="207"/>
  <c r="N216" i="207" l="1"/>
  <c r="F218" i="207"/>
  <c r="I218" i="207" s="1"/>
  <c r="N218" i="207" l="1"/>
  <c r="F217" i="207" l="1"/>
  <c r="I217" i="207" s="1"/>
  <c r="F221" i="207"/>
  <c r="I221" i="207" s="1"/>
  <c r="F212" i="207" l="1"/>
  <c r="N221" i="207"/>
  <c r="N217" i="207"/>
  <c r="F219" i="207"/>
  <c r="I219" i="207" s="1"/>
  <c r="D226" i="207" l="1"/>
  <c r="N212" i="207"/>
  <c r="F226" i="207"/>
  <c r="F230" i="207" s="1"/>
  <c r="I212" i="207"/>
  <c r="I226" i="207" s="1"/>
  <c r="I230" i="207" s="1"/>
  <c r="N219" i="207"/>
  <c r="N226" i="207" l="1"/>
  <c r="N230" i="207" s="1"/>
  <c r="F15" i="3" s="1"/>
  <c r="H22" i="10"/>
  <c r="H25" i="10" s="1"/>
  <c r="D15" i="3"/>
  <c r="D230" i="207"/>
  <c r="K226" i="207"/>
  <c r="K230" i="207" l="1"/>
  <c r="F220" i="213"/>
  <c r="I220" i="213" s="1"/>
  <c r="F218" i="213"/>
  <c r="I218" i="213" s="1"/>
  <c r="N218" i="213" l="1"/>
  <c r="N220" i="213"/>
  <c r="F217" i="213" l="1"/>
  <c r="I217" i="213" s="1"/>
  <c r="F216" i="213"/>
  <c r="I216" i="213" s="1"/>
  <c r="N217" i="213" l="1"/>
  <c r="N216" i="213"/>
  <c r="F219" i="213" l="1"/>
  <c r="I219" i="213" s="1"/>
  <c r="F212" i="213" l="1"/>
  <c r="N219" i="213"/>
  <c r="N212" i="213" l="1"/>
  <c r="I212" i="213"/>
  <c r="F221" i="213" l="1"/>
  <c r="D226" i="213"/>
  <c r="I221" i="213" l="1"/>
  <c r="I226" i="213" s="1"/>
  <c r="F226" i="213"/>
  <c r="N221" i="213"/>
  <c r="N226" i="213" s="1"/>
  <c r="K226" i="213"/>
  <c r="F226" i="236" l="1"/>
  <c r="I226" i="236" s="1"/>
  <c r="N226" i="236" l="1"/>
  <c r="N166" i="236"/>
  <c r="F226" i="209" l="1"/>
  <c r="I226" i="209" s="1"/>
  <c r="N226" i="209" l="1"/>
  <c r="F199" i="236"/>
  <c r="I199" i="236" s="1"/>
  <c r="N199" i="236" l="1"/>
  <c r="N166" i="209" l="1"/>
  <c r="F199" i="209"/>
  <c r="I199" i="209" s="1"/>
  <c r="N199" i="209" l="1"/>
  <c r="F207" i="236" l="1"/>
  <c r="I207" i="236" s="1"/>
  <c r="N207" i="236" l="1"/>
  <c r="F206" i="236" l="1"/>
  <c r="N206" i="236" l="1"/>
  <c r="I206" i="236"/>
  <c r="H118" i="237" l="1"/>
  <c r="H117" i="237"/>
  <c r="H128" i="237"/>
  <c r="H133" i="237"/>
  <c r="H130" i="237"/>
  <c r="H127" i="237"/>
  <c r="H141" i="237"/>
  <c r="H124" i="237"/>
  <c r="H125" i="237"/>
  <c r="H131" i="237"/>
  <c r="H143" i="237"/>
  <c r="H135" i="237"/>
  <c r="H142" i="237"/>
  <c r="H138" i="237"/>
  <c r="H129" i="237"/>
  <c r="H136" i="237"/>
  <c r="H123" i="237"/>
  <c r="H140" i="237"/>
  <c r="H139" i="237"/>
  <c r="H132" i="237"/>
  <c r="H137" i="237"/>
  <c r="H134" i="237"/>
  <c r="H126" i="237"/>
  <c r="H120" i="237" l="1"/>
  <c r="H145" i="237"/>
  <c r="H106" i="237" l="1"/>
  <c r="D34" i="231" l="1"/>
  <c r="G34" i="231" s="1"/>
  <c r="Q34" i="230" l="1"/>
  <c r="I34" i="231" s="1"/>
  <c r="L34" i="231" s="1"/>
  <c r="D32" i="232"/>
  <c r="G32" i="232" s="1"/>
  <c r="M36" i="233"/>
  <c r="D34" i="232"/>
  <c r="G34" i="232" s="1"/>
  <c r="F36" i="233" l="1"/>
  <c r="H36" i="233"/>
  <c r="Q34" i="233"/>
  <c r="I34" i="232" s="1"/>
  <c r="L34" i="232" s="1"/>
  <c r="J36" i="233"/>
  <c r="N36" i="233"/>
  <c r="E36" i="233"/>
  <c r="K36" i="233"/>
  <c r="Q32" i="233"/>
  <c r="I32" i="232" s="1"/>
  <c r="L32" i="232" s="1"/>
  <c r="D30" i="232"/>
  <c r="P36" i="233"/>
  <c r="L36" i="233"/>
  <c r="G36" i="233"/>
  <c r="I36" i="233"/>
  <c r="D36" i="233"/>
  <c r="Q30" i="233"/>
  <c r="I30" i="232" s="1"/>
  <c r="O36" i="233"/>
  <c r="Q36" i="233" l="1"/>
  <c r="G30" i="232"/>
  <c r="G36" i="232" s="1"/>
  <c r="D36" i="232"/>
  <c r="I36" i="232"/>
  <c r="L30" i="232"/>
  <c r="L36" i="232" s="1"/>
  <c r="D19" i="233" l="1"/>
  <c r="D47" i="233"/>
  <c r="E47" i="233"/>
  <c r="E19" i="233"/>
  <c r="F47" i="233" l="1"/>
  <c r="F19" i="233"/>
  <c r="G47" i="233" l="1"/>
  <c r="G19" i="233"/>
  <c r="H47" i="233" l="1"/>
  <c r="H19" i="233"/>
  <c r="I47" i="233" l="1"/>
  <c r="I19" i="233"/>
  <c r="J47" i="233" l="1"/>
  <c r="J19" i="233"/>
  <c r="K47" i="233" l="1"/>
  <c r="K19" i="233"/>
  <c r="L47" i="233" l="1"/>
  <c r="L19" i="233"/>
  <c r="M47" i="233" l="1"/>
  <c r="M19" i="233"/>
  <c r="N47" i="233" l="1"/>
  <c r="N19" i="233"/>
  <c r="D17" i="232" l="1"/>
  <c r="G17" i="232" s="1"/>
  <c r="Q17" i="233"/>
  <c r="I17" i="232" s="1"/>
  <c r="L17" i="232" s="1"/>
  <c r="D13" i="232"/>
  <c r="Q13" i="233"/>
  <c r="I13" i="232" s="1"/>
  <c r="D44" i="232"/>
  <c r="G44" i="232" s="1"/>
  <c r="Q43" i="233"/>
  <c r="I44" i="232" s="1"/>
  <c r="L44" i="232" s="1"/>
  <c r="D38" i="232"/>
  <c r="Q39" i="233"/>
  <c r="I38" i="232" s="1"/>
  <c r="O47" i="233"/>
  <c r="O19" i="233"/>
  <c r="L13" i="232" l="1"/>
  <c r="L38" i="232"/>
  <c r="G13" i="232"/>
  <c r="G38" i="232"/>
  <c r="D15" i="232" l="1"/>
  <c r="Q15" i="233"/>
  <c r="I15" i="232" s="1"/>
  <c r="P19" i="233"/>
  <c r="D42" i="232"/>
  <c r="Q41" i="233"/>
  <c r="I42" i="232" s="1"/>
  <c r="P47" i="233"/>
  <c r="L42" i="232" l="1"/>
  <c r="L46" i="232" s="1"/>
  <c r="I46" i="232"/>
  <c r="G42" i="232"/>
  <c r="G46" i="232" s="1"/>
  <c r="D46" i="232"/>
  <c r="L15" i="232"/>
  <c r="L19" i="232" s="1"/>
  <c r="I19" i="232"/>
  <c r="Q19" i="233"/>
  <c r="G15" i="232"/>
  <c r="G19" i="232" s="1"/>
  <c r="D19" i="232"/>
  <c r="Q47" i="233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07" i="51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H205" i="237" l="1"/>
  <c r="F207" i="209" l="1"/>
  <c r="I207" i="209" s="1"/>
  <c r="N207" i="209"/>
  <c r="F206" i="209" l="1"/>
  <c r="H204" i="237" l="1"/>
  <c r="I206" i="209"/>
  <c r="N206" i="209" l="1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G70" i="171" s="1"/>
  <c r="I47" i="171"/>
  <c r="I71" i="171" s="1"/>
  <c r="F34" i="171"/>
  <c r="F70" i="171" s="1"/>
  <c r="H47" i="171"/>
  <c r="H71" i="171" s="1"/>
  <c r="D47" i="171"/>
  <c r="D71" i="171" s="1"/>
  <c r="F62" i="171"/>
  <c r="F72" i="171" s="1"/>
  <c r="G24" i="171"/>
  <c r="I34" i="171"/>
  <c r="I70" i="171" s="1"/>
  <c r="G47" i="171"/>
  <c r="G71" i="171" s="1"/>
  <c r="I62" i="171"/>
  <c r="I72" i="171" s="1"/>
  <c r="E62" i="171"/>
  <c r="E72" i="171" s="1"/>
  <c r="F24" i="171"/>
  <c r="E34" i="171"/>
  <c r="E70" i="171" s="1"/>
  <c r="O32" i="171"/>
  <c r="H34" i="171"/>
  <c r="H70" i="171" s="1"/>
  <c r="D34" i="171"/>
  <c r="D70" i="171" s="1"/>
  <c r="F47" i="171"/>
  <c r="F71" i="171" s="1"/>
  <c r="H62" i="171"/>
  <c r="H72" i="171" s="1"/>
  <c r="D62" i="171"/>
  <c r="D72" i="171" s="1"/>
  <c r="I24" i="171"/>
  <c r="J16" i="44" s="1"/>
  <c r="E24" i="171"/>
  <c r="E47" i="171"/>
  <c r="E71" i="171" s="1"/>
  <c r="G62" i="171"/>
  <c r="G72" i="171" s="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71" i="171" s="1"/>
  <c r="C34" i="171"/>
  <c r="C70" i="171" s="1"/>
  <c r="C62" i="171"/>
  <c r="C72" i="171" s="1"/>
  <c r="O14" i="238" l="1"/>
  <c r="L29" i="36" s="1"/>
  <c r="O13" i="171"/>
  <c r="D29" i="36" s="1"/>
  <c r="H29" i="36" s="1"/>
  <c r="O15" i="238"/>
  <c r="L30" i="36" s="1"/>
  <c r="O14" i="171"/>
  <c r="D30" i="36" s="1"/>
  <c r="H30" i="36" s="1"/>
  <c r="O13" i="238"/>
  <c r="L28" i="36" s="1"/>
  <c r="O12" i="171"/>
  <c r="D28" i="36" s="1"/>
  <c r="L31" i="36" l="1"/>
  <c r="O43" i="35" s="1"/>
  <c r="J47" i="171"/>
  <c r="H28" i="36"/>
  <c r="J28" i="36" s="1"/>
  <c r="D31" i="36"/>
  <c r="J29" i="36"/>
  <c r="J34" i="171"/>
  <c r="J30" i="36"/>
  <c r="K34" i="171"/>
  <c r="L34" i="171"/>
  <c r="L62" i="171"/>
  <c r="K62" i="171"/>
  <c r="J62" i="171"/>
  <c r="O45" i="171"/>
  <c r="M34" i="171" l="1"/>
  <c r="M39" i="171" s="1"/>
  <c r="M62" i="171"/>
  <c r="M67" i="171" s="1"/>
  <c r="M22" i="171" s="1"/>
  <c r="O59" i="171"/>
  <c r="J39" i="171"/>
  <c r="J52" i="171"/>
  <c r="O30" i="171"/>
  <c r="H31" i="36"/>
  <c r="J31" i="36" s="1"/>
  <c r="M43" i="35"/>
  <c r="L67" i="171"/>
  <c r="L22" i="171" s="1"/>
  <c r="K39" i="171"/>
  <c r="L39" i="171"/>
  <c r="K47" i="171"/>
  <c r="K67" i="171"/>
  <c r="K22" i="171" s="1"/>
  <c r="J67" i="171"/>
  <c r="M47" i="171"/>
  <c r="L47" i="171"/>
  <c r="N47" i="171"/>
  <c r="O44" i="238" l="1"/>
  <c r="O45" i="238"/>
  <c r="O44" i="171"/>
  <c r="O43" i="171"/>
  <c r="O42" i="171"/>
  <c r="L43" i="35"/>
  <c r="N43" i="35"/>
  <c r="O29" i="238"/>
  <c r="O28" i="171"/>
  <c r="N62" i="171"/>
  <c r="O55" i="171"/>
  <c r="D46" i="238"/>
  <c r="C48" i="238"/>
  <c r="C53" i="238" s="1"/>
  <c r="C21" i="238" s="1"/>
  <c r="O30" i="238"/>
  <c r="O29" i="171"/>
  <c r="J21" i="171"/>
  <c r="J70" i="171"/>
  <c r="O58" i="238"/>
  <c r="O57" i="171"/>
  <c r="J20" i="171"/>
  <c r="J71" i="171"/>
  <c r="O57" i="238"/>
  <c r="O56" i="171"/>
  <c r="K72" i="171"/>
  <c r="O27" i="171"/>
  <c r="N34" i="171"/>
  <c r="K52" i="171"/>
  <c r="O47" i="171"/>
  <c r="L52" i="171"/>
  <c r="M21" i="171"/>
  <c r="M70" i="171"/>
  <c r="O43" i="238"/>
  <c r="K21" i="171"/>
  <c r="K70" i="171"/>
  <c r="M72" i="171"/>
  <c r="L72" i="171"/>
  <c r="N52" i="171"/>
  <c r="M52" i="171"/>
  <c r="J22" i="171"/>
  <c r="J72" i="171"/>
  <c r="L70" i="171"/>
  <c r="L21" i="171"/>
  <c r="E46" i="238" l="1"/>
  <c r="D48" i="238"/>
  <c r="D53" i="238" s="1"/>
  <c r="D21" i="238" s="1"/>
  <c r="C35" i="238"/>
  <c r="N39" i="171"/>
  <c r="O34" i="171"/>
  <c r="O56" i="238"/>
  <c r="D60" i="238"/>
  <c r="C63" i="238"/>
  <c r="O28" i="238"/>
  <c r="N67" i="171"/>
  <c r="O62" i="171"/>
  <c r="M71" i="171"/>
  <c r="M20" i="171"/>
  <c r="M24" i="171" s="1"/>
  <c r="N16" i="44" s="1"/>
  <c r="J24" i="171"/>
  <c r="K16" i="44" s="1"/>
  <c r="N20" i="171"/>
  <c r="N71" i="171"/>
  <c r="L20" i="171"/>
  <c r="L24" i="171" s="1"/>
  <c r="M16" i="44" s="1"/>
  <c r="L71" i="171"/>
  <c r="K20" i="171"/>
  <c r="K71" i="171"/>
  <c r="O52" i="171"/>
  <c r="E60" i="238" l="1"/>
  <c r="D63" i="238"/>
  <c r="D68" i="238" s="1"/>
  <c r="D23" i="238" s="1"/>
  <c r="C40" i="238"/>
  <c r="D35" i="238"/>
  <c r="D40" i="238" s="1"/>
  <c r="D22" i="238" s="1"/>
  <c r="O39" i="171"/>
  <c r="N21" i="171"/>
  <c r="O21" i="171" s="1"/>
  <c r="N70" i="171"/>
  <c r="N22" i="171"/>
  <c r="O22" i="171" s="1"/>
  <c r="N72" i="171"/>
  <c r="O67" i="171"/>
  <c r="C68" i="238"/>
  <c r="F46" i="238"/>
  <c r="E48" i="238"/>
  <c r="K24" i="171"/>
  <c r="L16" i="44" s="1"/>
  <c r="O20" i="171"/>
  <c r="E35" i="238" l="1"/>
  <c r="F60" i="238"/>
  <c r="E63" i="238"/>
  <c r="E53" i="238"/>
  <c r="C23" i="238"/>
  <c r="N24" i="171"/>
  <c r="O16" i="44" s="1"/>
  <c r="C22" i="238"/>
  <c r="G46" i="238"/>
  <c r="F48" i="238"/>
  <c r="F53" i="238" s="1"/>
  <c r="F21" i="238" s="1"/>
  <c r="H46" i="238" l="1"/>
  <c r="G48" i="238"/>
  <c r="G53" i="238" s="1"/>
  <c r="G21" i="238" s="1"/>
  <c r="E68" i="238"/>
  <c r="E21" i="238"/>
  <c r="F35" i="238"/>
  <c r="F40" i="238" s="1"/>
  <c r="F22" i="238" s="1"/>
  <c r="O24" i="171"/>
  <c r="P16" i="44"/>
  <c r="D19" i="48" s="1"/>
  <c r="G60" i="238"/>
  <c r="F63" i="238"/>
  <c r="F68" i="238" s="1"/>
  <c r="F23" i="238" s="1"/>
  <c r="E40" i="238"/>
  <c r="D176" i="45" l="1"/>
  <c r="D27" i="46" s="1"/>
  <c r="D168" i="51"/>
  <c r="E22" i="238"/>
  <c r="H60" i="238"/>
  <c r="G63" i="238"/>
  <c r="G35" i="238"/>
  <c r="G40" i="238" s="1"/>
  <c r="G22" i="238" s="1"/>
  <c r="E23" i="238"/>
  <c r="I46" i="238"/>
  <c r="H48" i="238"/>
  <c r="H53" i="238" s="1"/>
  <c r="J28" i="42" l="1"/>
  <c r="J46" i="238"/>
  <c r="I48" i="238"/>
  <c r="I53" i="238" s="1"/>
  <c r="I21" i="238" s="1"/>
  <c r="H35" i="238"/>
  <c r="G68" i="238"/>
  <c r="I60" i="238"/>
  <c r="H63" i="238"/>
  <c r="H68" i="238" s="1"/>
  <c r="H23" i="238" s="1"/>
  <c r="H21" i="238"/>
  <c r="D21" i="47"/>
  <c r="I35" i="238" l="1"/>
  <c r="I40" i="238" s="1"/>
  <c r="I22" i="238" s="1"/>
  <c r="G23" i="238"/>
  <c r="K46" i="238"/>
  <c r="J48" i="238"/>
  <c r="J60" i="238"/>
  <c r="I63" i="238"/>
  <c r="I68" i="238" s="1"/>
  <c r="I23" i="238" s="1"/>
  <c r="H40" i="238"/>
  <c r="K60" i="238" l="1"/>
  <c r="J63" i="238"/>
  <c r="L46" i="238"/>
  <c r="K48" i="238"/>
  <c r="K53" i="238" s="1"/>
  <c r="K21" i="238" s="1"/>
  <c r="J35" i="238"/>
  <c r="H22" i="238"/>
  <c r="J53" i="238"/>
  <c r="K35" i="238" l="1"/>
  <c r="K40" i="238" s="1"/>
  <c r="K22" i="238" s="1"/>
  <c r="L60" i="238"/>
  <c r="K63" i="238"/>
  <c r="K68" i="238" s="1"/>
  <c r="K23" i="238" s="1"/>
  <c r="J21" i="238"/>
  <c r="M46" i="238"/>
  <c r="L48" i="238"/>
  <c r="L53" i="238" s="1"/>
  <c r="L21" i="238" s="1"/>
  <c r="J40" i="238"/>
  <c r="J68" i="238"/>
  <c r="J22" i="238" l="1"/>
  <c r="N46" i="238"/>
  <c r="M48" i="238"/>
  <c r="M53" i="238" s="1"/>
  <c r="M21" i="238" s="1"/>
  <c r="M60" i="238"/>
  <c r="L63" i="238"/>
  <c r="L68" i="238" s="1"/>
  <c r="L23" i="238" s="1"/>
  <c r="J23" i="238"/>
  <c r="L35" i="238"/>
  <c r="L40" i="238" s="1"/>
  <c r="L22" i="238" s="1"/>
  <c r="N48" i="238" l="1"/>
  <c r="N53" i="238" s="1"/>
  <c r="O46" i="238"/>
  <c r="N60" i="238"/>
  <c r="M63" i="238"/>
  <c r="M68" i="238" s="1"/>
  <c r="N35" i="238"/>
  <c r="M35" i="238"/>
  <c r="M40" i="238" s="1"/>
  <c r="N63" i="238" l="1"/>
  <c r="N68" i="238" s="1"/>
  <c r="N23" i="238" s="1"/>
  <c r="O60" i="238"/>
  <c r="O48" i="238"/>
  <c r="M22" i="238"/>
  <c r="N21" i="238"/>
  <c r="O53" i="238"/>
  <c r="N40" i="238"/>
  <c r="N22" i="238" s="1"/>
  <c r="O35" i="238"/>
  <c r="M23" i="238"/>
  <c r="O63" i="238" l="1"/>
  <c r="O68" i="238"/>
  <c r="O22" i="238"/>
  <c r="O40" i="238"/>
  <c r="O21" i="238"/>
  <c r="O23" i="238"/>
  <c r="F111" i="213" l="1"/>
  <c r="I111" i="213" s="1"/>
  <c r="F111" i="207"/>
  <c r="I111" i="207" s="1"/>
  <c r="F168" i="213"/>
  <c r="I168" i="213" s="1"/>
  <c r="F168" i="207"/>
  <c r="I168" i="207" s="1"/>
  <c r="F228" i="213" l="1"/>
  <c r="I228" i="213" s="1"/>
  <c r="F228" i="207"/>
  <c r="I228" i="207" s="1"/>
  <c r="F200" i="207" l="1"/>
  <c r="D232" i="207"/>
  <c r="F200" i="213"/>
  <c r="D232" i="213"/>
  <c r="I200" i="207" l="1"/>
  <c r="I232" i="207" s="1"/>
  <c r="D16" i="3" s="1"/>
  <c r="F232" i="207"/>
  <c r="I200" i="213"/>
  <c r="I232" i="213" s="1"/>
  <c r="D16" i="137" s="1"/>
  <c r="F232" i="213"/>
  <c r="H29" i="10" l="1"/>
  <c r="H31" i="10" s="1"/>
  <c r="G29" i="10"/>
  <c r="G31" i="10" s="1"/>
  <c r="N111" i="207" l="1"/>
  <c r="N168" i="207"/>
  <c r="N111" i="213"/>
  <c r="N168" i="213"/>
  <c r="N200" i="213" l="1"/>
  <c r="N200" i="207"/>
  <c r="N228" i="207" l="1"/>
  <c r="N232" i="207" s="1"/>
  <c r="F16" i="3" s="1"/>
  <c r="K232" i="207"/>
  <c r="N228" i="213" l="1"/>
  <c r="N232" i="213" s="1"/>
  <c r="F16" i="137" s="1"/>
  <c r="K232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1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69" i="50"/>
  <c r="D28" i="79"/>
  <c r="E20" i="238"/>
  <c r="F20" i="238" l="1"/>
  <c r="K14" i="46"/>
  <c r="O14" i="46" l="1"/>
  <c r="F15" i="47" s="1"/>
  <c r="G20" i="238"/>
  <c r="G34" i="1" l="1"/>
  <c r="N34" i="1" s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0" i="50"/>
  <c r="D71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5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1" i="42" s="1"/>
  <c r="P44" i="42" l="1"/>
  <c r="H50" i="192" l="1"/>
  <c r="G50" i="192"/>
  <c r="F50" i="192"/>
  <c r="E50" i="192"/>
  <c r="H52" i="192" l="1"/>
  <c r="H53" i="192" s="1"/>
  <c r="E52" i="192"/>
  <c r="E53" i="192" s="1"/>
  <c r="I50" i="192"/>
  <c r="F52" i="192"/>
  <c r="F53" i="192" s="1"/>
  <c r="G52" i="192"/>
  <c r="G53" i="192" s="1"/>
  <c r="D50" i="192"/>
  <c r="I52" i="192" l="1"/>
  <c r="I53" i="192" s="1"/>
  <c r="D52" i="192"/>
  <c r="J52" i="192"/>
  <c r="J54" i="192" s="1"/>
  <c r="D53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F106" i="209" l="1"/>
  <c r="I106" i="209" s="1"/>
  <c r="F106" i="236"/>
  <c r="I106" i="236" s="1"/>
  <c r="N106" i="236" l="1"/>
  <c r="N106" i="209" l="1"/>
  <c r="F216" i="236" l="1"/>
  <c r="I216" i="236" s="1"/>
  <c r="F214" i="236"/>
  <c r="I214" i="236" s="1"/>
  <c r="F208" i="236" l="1"/>
  <c r="I208" i="236" s="1"/>
  <c r="N208" i="236"/>
  <c r="N219" i="236"/>
  <c r="F219" i="236"/>
  <c r="I219" i="236" s="1"/>
  <c r="N216" i="236"/>
  <c r="N214" i="236"/>
  <c r="F215" i="236"/>
  <c r="I215" i="236" s="1"/>
  <c r="F220" i="236" l="1"/>
  <c r="I220" i="236" s="1"/>
  <c r="N220" i="236"/>
  <c r="F223" i="236"/>
  <c r="I223" i="236" s="1"/>
  <c r="N223" i="236"/>
  <c r="F212" i="236"/>
  <c r="I212" i="236" s="1"/>
  <c r="N212" i="236"/>
  <c r="F213" i="236"/>
  <c r="I213" i="236" s="1"/>
  <c r="F224" i="236"/>
  <c r="I224" i="236" s="1"/>
  <c r="N218" i="236"/>
  <c r="F218" i="236"/>
  <c r="I218" i="236" s="1"/>
  <c r="N215" i="236"/>
  <c r="F210" i="236"/>
  <c r="I210" i="236" s="1"/>
  <c r="F217" i="236"/>
  <c r="I217" i="236" s="1"/>
  <c r="F211" i="236" l="1"/>
  <c r="I211" i="236" s="1"/>
  <c r="N211" i="236"/>
  <c r="F222" i="236"/>
  <c r="I222" i="236" s="1"/>
  <c r="N222" i="236"/>
  <c r="N213" i="236"/>
  <c r="N224" i="236"/>
  <c r="N217" i="236"/>
  <c r="N210" i="236"/>
  <c r="F225" i="236" l="1"/>
  <c r="I225" i="236" s="1"/>
  <c r="N225" i="236"/>
  <c r="F209" i="236"/>
  <c r="N209" i="236"/>
  <c r="I209" i="236" l="1"/>
  <c r="F221" i="236" l="1"/>
  <c r="D228" i="236"/>
  <c r="I221" i="236" l="1"/>
  <c r="I228" i="236" s="1"/>
  <c r="F228" i="236"/>
  <c r="N221" i="236" l="1"/>
  <c r="N228" i="236" s="1"/>
  <c r="K228" i="236"/>
  <c r="H221" i="237" l="1"/>
  <c r="H206" i="237" l="1"/>
  <c r="F223" i="209"/>
  <c r="I223" i="209" s="1"/>
  <c r="N223" i="209"/>
  <c r="H212" i="237" l="1"/>
  <c r="H214" i="237"/>
  <c r="F220" i="209"/>
  <c r="I220" i="209" s="1"/>
  <c r="H218" i="237"/>
  <c r="F214" i="209"/>
  <c r="I214" i="209" s="1"/>
  <c r="F216" i="209"/>
  <c r="I216" i="209" s="1"/>
  <c r="H207" i="237" l="1"/>
  <c r="H217" i="237"/>
  <c r="N208" i="209"/>
  <c r="F208" i="209"/>
  <c r="N216" i="209"/>
  <c r="N214" i="209"/>
  <c r="N220" i="209"/>
  <c r="F209" i="209"/>
  <c r="I209" i="209" s="1"/>
  <c r="H216" i="237" l="1"/>
  <c r="H208" i="237"/>
  <c r="H210" i="237"/>
  <c r="H215" i="237"/>
  <c r="H220" i="237"/>
  <c r="H209" i="237"/>
  <c r="F222" i="209"/>
  <c r="I222" i="209" s="1"/>
  <c r="F211" i="209"/>
  <c r="I211" i="209" s="1"/>
  <c r="N219" i="209"/>
  <c r="F219" i="209"/>
  <c r="I219" i="209" s="1"/>
  <c r="I208" i="209"/>
  <c r="N211" i="209"/>
  <c r="N222" i="209"/>
  <c r="F218" i="209"/>
  <c r="I218" i="209" s="1"/>
  <c r="H223" i="237" l="1"/>
  <c r="N212" i="209"/>
  <c r="F212" i="209"/>
  <c r="I212" i="209" s="1"/>
  <c r="N209" i="209"/>
  <c r="F217" i="209"/>
  <c r="I217" i="209" s="1"/>
  <c r="N217" i="209"/>
  <c r="N210" i="209"/>
  <c r="N218" i="209"/>
  <c r="F225" i="209"/>
  <c r="I225" i="209" s="1"/>
  <c r="H213" i="237" l="1"/>
  <c r="F210" i="209"/>
  <c r="N225" i="209"/>
  <c r="F213" i="209"/>
  <c r="I213" i="209" s="1"/>
  <c r="F215" i="209"/>
  <c r="I215" i="209" s="1"/>
  <c r="H222" i="237" l="1"/>
  <c r="I210" i="209"/>
  <c r="H211" i="237"/>
  <c r="N215" i="209"/>
  <c r="N213" i="209" l="1"/>
  <c r="F224" i="209"/>
  <c r="I224" i="209" s="1"/>
  <c r="N224" i="209"/>
  <c r="F221" i="209" l="1"/>
  <c r="D228" i="209"/>
  <c r="H219" i="237"/>
  <c r="H226" i="237" s="1"/>
  <c r="D226" i="237"/>
  <c r="N221" i="209" l="1"/>
  <c r="N228" i="209" s="1"/>
  <c r="K228" i="209"/>
  <c r="I221" i="209"/>
  <c r="I228" i="209" s="1"/>
  <c r="F228" i="209"/>
  <c r="F150" i="236" l="1"/>
  <c r="I150" i="236" s="1"/>
  <c r="N150" i="236"/>
  <c r="F159" i="236"/>
  <c r="I159" i="236" s="1"/>
  <c r="F157" i="236"/>
  <c r="I157" i="236" s="1"/>
  <c r="F152" i="236"/>
  <c r="I152" i="236" s="1"/>
  <c r="F160" i="236"/>
  <c r="I160" i="236" s="1"/>
  <c r="F164" i="236"/>
  <c r="I164" i="236" s="1"/>
  <c r="F162" i="236"/>
  <c r="I162" i="236" s="1"/>
  <c r="N162" i="236"/>
  <c r="N157" i="236"/>
  <c r="N160" i="236"/>
  <c r="N164" i="236"/>
  <c r="F154" i="236"/>
  <c r="I154" i="236" s="1"/>
  <c r="N152" i="236"/>
  <c r="N163" i="236" l="1"/>
  <c r="F163" i="236"/>
  <c r="I163" i="236" s="1"/>
  <c r="F151" i="236"/>
  <c r="I151" i="236" s="1"/>
  <c r="N151" i="236"/>
  <c r="N159" i="236"/>
  <c r="F153" i="236"/>
  <c r="I153" i="236" s="1"/>
  <c r="F165" i="236"/>
  <c r="I165" i="236" s="1"/>
  <c r="N161" i="236"/>
  <c r="F161" i="236"/>
  <c r="I161" i="236" s="1"/>
  <c r="F158" i="236"/>
  <c r="I158" i="236" s="1"/>
  <c r="N165" i="236"/>
  <c r="N154" i="236"/>
  <c r="F156" i="236" l="1"/>
  <c r="I156" i="236" s="1"/>
  <c r="N156" i="236"/>
  <c r="N155" i="236"/>
  <c r="F155" i="236"/>
  <c r="I155" i="236" s="1"/>
  <c r="N153" i="236"/>
  <c r="N158" i="236"/>
  <c r="N168" i="236" l="1"/>
  <c r="N170" i="236" s="1"/>
  <c r="I168" i="236"/>
  <c r="I170" i="236" s="1"/>
  <c r="F168" i="236"/>
  <c r="F170" i="236" s="1"/>
  <c r="D168" i="236"/>
  <c r="D170" i="236" s="1"/>
  <c r="K168" i="236"/>
  <c r="K170" i="236" s="1"/>
  <c r="F159" i="209" l="1"/>
  <c r="I159" i="209" s="1"/>
  <c r="H157" i="237"/>
  <c r="H155" i="237" l="1"/>
  <c r="H148" i="237"/>
  <c r="H159" i="237"/>
  <c r="N159" i="209"/>
  <c r="F161" i="209"/>
  <c r="I161" i="209" s="1"/>
  <c r="F157" i="209" l="1"/>
  <c r="I157" i="209" s="1"/>
  <c r="N157" i="209"/>
  <c r="N161" i="209"/>
  <c r="H162" i="237" l="1"/>
  <c r="H150" i="237"/>
  <c r="F150" i="209"/>
  <c r="N150" i="209"/>
  <c r="H160" i="237" l="1"/>
  <c r="F164" i="209"/>
  <c r="I164" i="209" s="1"/>
  <c r="H152" i="237"/>
  <c r="H154" i="237"/>
  <c r="H158" i="237"/>
  <c r="I150" i="209"/>
  <c r="F152" i="209"/>
  <c r="I152" i="209" s="1"/>
  <c r="N164" i="209"/>
  <c r="F154" i="209"/>
  <c r="I154" i="209" s="1"/>
  <c r="H151" i="237" l="1"/>
  <c r="H161" i="237"/>
  <c r="F162" i="209"/>
  <c r="I162" i="209" s="1"/>
  <c r="F160" i="209"/>
  <c r="I160" i="209" s="1"/>
  <c r="F156" i="209"/>
  <c r="I156" i="209" s="1"/>
  <c r="N152" i="209"/>
  <c r="H156" i="237"/>
  <c r="N154" i="209"/>
  <c r="H153" i="237"/>
  <c r="N162" i="209"/>
  <c r="N160" i="209"/>
  <c r="F163" i="209"/>
  <c r="I163" i="209" s="1"/>
  <c r="H149" i="237" l="1"/>
  <c r="N158" i="209"/>
  <c r="F158" i="209"/>
  <c r="I158" i="209" s="1"/>
  <c r="F155" i="209"/>
  <c r="I155" i="209" s="1"/>
  <c r="N156" i="209"/>
  <c r="N163" i="209"/>
  <c r="N155" i="209"/>
  <c r="N151" i="209" l="1"/>
  <c r="F151" i="209"/>
  <c r="F153" i="209"/>
  <c r="I153" i="209" s="1"/>
  <c r="N153" i="209"/>
  <c r="H163" i="237" l="1"/>
  <c r="H166" i="237" s="1"/>
  <c r="H168" i="237" s="1"/>
  <c r="D166" i="237"/>
  <c r="D168" i="237" s="1"/>
  <c r="I151" i="209"/>
  <c r="N165" i="209"/>
  <c r="N168" i="209" s="1"/>
  <c r="N170" i="209" s="1"/>
  <c r="F165" i="209" l="1"/>
  <c r="D168" i="209"/>
  <c r="D170" i="209" s="1"/>
  <c r="K168" i="209"/>
  <c r="K170" i="209" s="1"/>
  <c r="I165" i="209" l="1"/>
  <c r="I168" i="209" s="1"/>
  <c r="I170" i="209" s="1"/>
  <c r="F168" i="209"/>
  <c r="F170" i="209" s="1"/>
  <c r="F194" i="236" l="1"/>
  <c r="I194" i="236" s="1"/>
  <c r="F193" i="236" l="1"/>
  <c r="I193" i="236" s="1"/>
  <c r="N193" i="236"/>
  <c r="F195" i="236"/>
  <c r="I195" i="236" s="1"/>
  <c r="F196" i="236"/>
  <c r="I196" i="236" s="1"/>
  <c r="N196" i="236"/>
  <c r="N195" i="236"/>
  <c r="N194" i="236"/>
  <c r="H194" i="237" l="1"/>
  <c r="F196" i="209"/>
  <c r="I196" i="209" s="1"/>
  <c r="H192" i="237" l="1"/>
  <c r="N196" i="209"/>
  <c r="H191" i="237" l="1"/>
  <c r="N194" i="209"/>
  <c r="F194" i="209"/>
  <c r="I194" i="209" s="1"/>
  <c r="F193" i="209"/>
  <c r="I193" i="209" s="1"/>
  <c r="N193" i="209" l="1"/>
  <c r="H193" i="237" l="1"/>
  <c r="F195" i="209" l="1"/>
  <c r="I195" i="209" s="1"/>
  <c r="N195" i="209"/>
  <c r="F180" i="236" l="1"/>
  <c r="I180" i="236" s="1"/>
  <c r="N180" i="236"/>
  <c r="F185" i="236" l="1"/>
  <c r="I185" i="236" s="1"/>
  <c r="N190" i="236" l="1"/>
  <c r="F182" i="236"/>
  <c r="I182" i="236" s="1"/>
  <c r="N182" i="236"/>
  <c r="F181" i="236"/>
  <c r="I181" i="236" s="1"/>
  <c r="N181" i="236"/>
  <c r="N179" i="236"/>
  <c r="F179" i="236"/>
  <c r="I179" i="236" s="1"/>
  <c r="N188" i="236"/>
  <c r="F188" i="236"/>
  <c r="I188" i="236" s="1"/>
  <c r="N197" i="236"/>
  <c r="F197" i="236"/>
  <c r="I197" i="236" s="1"/>
  <c r="F192" i="236"/>
  <c r="I192" i="236" s="1"/>
  <c r="N192" i="236"/>
  <c r="F190" i="236"/>
  <c r="I190" i="236" s="1"/>
  <c r="F177" i="236"/>
  <c r="I177" i="236" s="1"/>
  <c r="F187" i="236"/>
  <c r="I187" i="236" s="1"/>
  <c r="N178" i="236"/>
  <c r="F178" i="236"/>
  <c r="I178" i="236" s="1"/>
  <c r="N183" i="236"/>
  <c r="F183" i="236"/>
  <c r="I183" i="236" s="1"/>
  <c r="N176" i="236"/>
  <c r="F176" i="236"/>
  <c r="I176" i="236" s="1"/>
  <c r="F184" i="236"/>
  <c r="I184" i="236" s="1"/>
  <c r="F186" i="236"/>
  <c r="I186" i="236" s="1"/>
  <c r="N185" i="236"/>
  <c r="N177" i="236"/>
  <c r="N187" i="236"/>
  <c r="N184" i="236"/>
  <c r="N186" i="236" l="1"/>
  <c r="F189" i="236"/>
  <c r="I189" i="236" s="1"/>
  <c r="N189" i="236" l="1"/>
  <c r="N191" i="236" l="1"/>
  <c r="F191" i="236"/>
  <c r="I191" i="236" s="1"/>
  <c r="H186" i="237" l="1"/>
  <c r="F188" i="209" l="1"/>
  <c r="I188" i="209" s="1"/>
  <c r="N188" i="209"/>
  <c r="H188" i="237"/>
  <c r="H189" i="237"/>
  <c r="H175" i="237" l="1"/>
  <c r="H187" i="237"/>
  <c r="F186" i="209"/>
  <c r="I186" i="209" s="1"/>
  <c r="F190" i="209"/>
  <c r="I190" i="209" s="1"/>
  <c r="F191" i="209"/>
  <c r="I191" i="209" s="1"/>
  <c r="F180" i="209"/>
  <c r="I180" i="209" s="1"/>
  <c r="H178" i="237"/>
  <c r="N191" i="209"/>
  <c r="H195" i="237"/>
  <c r="N190" i="209"/>
  <c r="F182" i="209"/>
  <c r="I182" i="209" s="1"/>
  <c r="H180" i="237"/>
  <c r="F177" i="209"/>
  <c r="I177" i="209" s="1"/>
  <c r="H185" i="237" l="1"/>
  <c r="H183" i="237"/>
  <c r="H177" i="237"/>
  <c r="N186" i="209"/>
  <c r="H184" i="237"/>
  <c r="N189" i="209"/>
  <c r="F189" i="209"/>
  <c r="I189" i="209" s="1"/>
  <c r="F197" i="209"/>
  <c r="I197" i="209" s="1"/>
  <c r="N182" i="209"/>
  <c r="N177" i="209"/>
  <c r="H174" i="237"/>
  <c r="N197" i="209"/>
  <c r="N180" i="209"/>
  <c r="F187" i="209"/>
  <c r="I187" i="209" s="1"/>
  <c r="F179" i="209"/>
  <c r="I179" i="209" s="1"/>
  <c r="F185" i="209" l="1"/>
  <c r="I185" i="209" s="1"/>
  <c r="F176" i="209"/>
  <c r="I176" i="209" s="1"/>
  <c r="N179" i="209"/>
  <c r="N176" i="209"/>
  <c r="N187" i="209"/>
  <c r="H176" i="237" l="1"/>
  <c r="N185" i="209"/>
  <c r="H179" i="237"/>
  <c r="H190" i="237"/>
  <c r="F181" i="209" l="1"/>
  <c r="I181" i="209" s="1"/>
  <c r="N178" i="209"/>
  <c r="F178" i="209"/>
  <c r="I178" i="209" s="1"/>
  <c r="F192" i="209"/>
  <c r="I192" i="209" s="1"/>
  <c r="N181" i="209"/>
  <c r="N192" i="209"/>
  <c r="H181" i="237" l="1"/>
  <c r="H182" i="237"/>
  <c r="F184" i="209" l="1"/>
  <c r="I184" i="209" s="1"/>
  <c r="N184" i="209"/>
  <c r="F183" i="209" l="1"/>
  <c r="I183" i="209" s="1"/>
  <c r="N183" i="209"/>
  <c r="F16" i="236" l="1"/>
  <c r="N16" i="236" l="1"/>
  <c r="I16" i="236"/>
  <c r="F91" i="236" l="1"/>
  <c r="I91" i="236" s="1"/>
  <c r="N91" i="236"/>
  <c r="F64" i="236"/>
  <c r="I64" i="236" s="1"/>
  <c r="F87" i="236"/>
  <c r="I87" i="236" s="1"/>
  <c r="F52" i="236"/>
  <c r="I52" i="236" s="1"/>
  <c r="F105" i="236"/>
  <c r="I105" i="236" s="1"/>
  <c r="N105" i="236"/>
  <c r="F42" i="236"/>
  <c r="I42" i="236" s="1"/>
  <c r="N42" i="236"/>
  <c r="F23" i="236"/>
  <c r="I23" i="236" s="1"/>
  <c r="F33" i="236"/>
  <c r="I33" i="236" s="1"/>
  <c r="F54" i="236"/>
  <c r="I54" i="236" s="1"/>
  <c r="F63" i="236"/>
  <c r="I63" i="236" s="1"/>
  <c r="N63" i="236"/>
  <c r="F41" i="236"/>
  <c r="I41" i="236" s="1"/>
  <c r="N41" i="236"/>
  <c r="F36" i="236"/>
  <c r="I36" i="236" s="1"/>
  <c r="N36" i="236"/>
  <c r="F44" i="236"/>
  <c r="I44" i="236" s="1"/>
  <c r="N44" i="236"/>
  <c r="F96" i="236"/>
  <c r="I96" i="236" s="1"/>
  <c r="N78" i="236"/>
  <c r="F78" i="236"/>
  <c r="I78" i="236" s="1"/>
  <c r="F43" i="236"/>
  <c r="I43" i="236" s="1"/>
  <c r="N43" i="236"/>
  <c r="N99" i="236"/>
  <c r="F99" i="236"/>
  <c r="I99" i="236" s="1"/>
  <c r="F55" i="236"/>
  <c r="I55" i="236" s="1"/>
  <c r="N55" i="236"/>
  <c r="F89" i="236"/>
  <c r="I89" i="236" s="1"/>
  <c r="N89" i="236"/>
  <c r="F97" i="236"/>
  <c r="I97" i="236" s="1"/>
  <c r="N97" i="236"/>
  <c r="F39" i="236"/>
  <c r="I39" i="236" s="1"/>
  <c r="F66" i="236"/>
  <c r="I66" i="236" s="1"/>
  <c r="F76" i="236"/>
  <c r="I76" i="236" s="1"/>
  <c r="N76" i="236"/>
  <c r="F65" i="236"/>
  <c r="I65" i="236" s="1"/>
  <c r="N65" i="236"/>
  <c r="F75" i="236"/>
  <c r="I75" i="236" s="1"/>
  <c r="F31" i="236"/>
  <c r="I31" i="236" s="1"/>
  <c r="N31" i="236"/>
  <c r="F72" i="236"/>
  <c r="I72" i="236" s="1"/>
  <c r="N72" i="236"/>
  <c r="F50" i="236"/>
  <c r="N37" i="236"/>
  <c r="F37" i="236"/>
  <c r="I37" i="236" s="1"/>
  <c r="F80" i="236"/>
  <c r="I80" i="236" s="1"/>
  <c r="N80" i="236"/>
  <c r="F57" i="236"/>
  <c r="I57" i="236" s="1"/>
  <c r="F34" i="236"/>
  <c r="I34" i="236" s="1"/>
  <c r="F30" i="236"/>
  <c r="I30" i="236" s="1"/>
  <c r="F102" i="236"/>
  <c r="I102" i="236" s="1"/>
  <c r="F101" i="236"/>
  <c r="I101" i="236" s="1"/>
  <c r="F45" i="236"/>
  <c r="I45" i="236" s="1"/>
  <c r="N45" i="236"/>
  <c r="F95" i="236"/>
  <c r="I95" i="236" s="1"/>
  <c r="N95" i="236"/>
  <c r="F92" i="236"/>
  <c r="I92" i="236" s="1"/>
  <c r="F38" i="236"/>
  <c r="I38" i="236" s="1"/>
  <c r="F35" i="236"/>
  <c r="I35" i="236" s="1"/>
  <c r="F86" i="236"/>
  <c r="F53" i="236"/>
  <c r="I53" i="236" s="1"/>
  <c r="F24" i="236"/>
  <c r="I24" i="236" s="1"/>
  <c r="N74" i="236"/>
  <c r="N33" i="236"/>
  <c r="N23" i="236"/>
  <c r="N53" i="236"/>
  <c r="F74" i="236"/>
  <c r="I74" i="236" s="1"/>
  <c r="N30" i="236"/>
  <c r="N75" i="236"/>
  <c r="N87" i="236"/>
  <c r="N24" i="236"/>
  <c r="N92" i="236"/>
  <c r="N54" i="236"/>
  <c r="N64" i="236"/>
  <c r="N96" i="236"/>
  <c r="N93" i="236" l="1"/>
  <c r="F88" i="236"/>
  <c r="I88" i="236" s="1"/>
  <c r="N88" i="236"/>
  <c r="N94" i="236"/>
  <c r="F94" i="236"/>
  <c r="I94" i="236" s="1"/>
  <c r="F79" i="236"/>
  <c r="I79" i="236" s="1"/>
  <c r="N79" i="236"/>
  <c r="N29" i="236"/>
  <c r="F32" i="236"/>
  <c r="I32" i="236" s="1"/>
  <c r="N32" i="236"/>
  <c r="F67" i="236"/>
  <c r="I67" i="236" s="1"/>
  <c r="N67" i="236"/>
  <c r="F98" i="236"/>
  <c r="I98" i="236" s="1"/>
  <c r="N98" i="236"/>
  <c r="F104" i="236"/>
  <c r="I104" i="236" s="1"/>
  <c r="N104" i="236"/>
  <c r="F51" i="236"/>
  <c r="I51" i="236" s="1"/>
  <c r="N51" i="236"/>
  <c r="F100" i="236"/>
  <c r="I100" i="236" s="1"/>
  <c r="N100" i="236"/>
  <c r="F40" i="236"/>
  <c r="I40" i="236" s="1"/>
  <c r="N40" i="236"/>
  <c r="F56" i="236"/>
  <c r="I56" i="236" s="1"/>
  <c r="N56" i="236"/>
  <c r="F69" i="236"/>
  <c r="I69" i="236" s="1"/>
  <c r="N69" i="236"/>
  <c r="F68" i="236"/>
  <c r="I68" i="236" s="1"/>
  <c r="N68" i="236"/>
  <c r="F77" i="236"/>
  <c r="I77" i="236" s="1"/>
  <c r="N77" i="236"/>
  <c r="F73" i="236"/>
  <c r="I73" i="236" s="1"/>
  <c r="N73" i="236"/>
  <c r="N90" i="236"/>
  <c r="F90" i="236"/>
  <c r="I90" i="236" s="1"/>
  <c r="N34" i="236"/>
  <c r="N57" i="236"/>
  <c r="N86" i="236"/>
  <c r="N35" i="236"/>
  <c r="N38" i="236"/>
  <c r="N66" i="236"/>
  <c r="N39" i="236"/>
  <c r="F81" i="236"/>
  <c r="I81" i="236" s="1"/>
  <c r="N52" i="236"/>
  <c r="N102" i="236"/>
  <c r="N101" i="236"/>
  <c r="I86" i="236"/>
  <c r="I50" i="236"/>
  <c r="F62" i="236"/>
  <c r="N50" i="236"/>
  <c r="N62" i="236"/>
  <c r="N81" i="236"/>
  <c r="D59" i="236" l="1"/>
  <c r="I59" i="236"/>
  <c r="N47" i="236"/>
  <c r="F103" i="236"/>
  <c r="I103" i="236" s="1"/>
  <c r="N103" i="236"/>
  <c r="N110" i="236" s="1"/>
  <c r="N59" i="236"/>
  <c r="D47" i="236"/>
  <c r="F29" i="236"/>
  <c r="K47" i="236"/>
  <c r="K59" i="236"/>
  <c r="F59" i="236"/>
  <c r="I62" i="236"/>
  <c r="F93" i="236"/>
  <c r="D110" i="236" l="1"/>
  <c r="I29" i="236"/>
  <c r="I47" i="236" s="1"/>
  <c r="F47" i="236"/>
  <c r="K110" i="236"/>
  <c r="F22" i="236"/>
  <c r="D26" i="236"/>
  <c r="N22" i="236"/>
  <c r="N26" i="236" s="1"/>
  <c r="K26" i="236"/>
  <c r="I93" i="236"/>
  <c r="I110" i="236" s="1"/>
  <c r="F110" i="236"/>
  <c r="F71" i="236" l="1"/>
  <c r="I71" i="236" s="1"/>
  <c r="N71" i="236"/>
  <c r="I22" i="236"/>
  <c r="I26" i="236" s="1"/>
  <c r="F26" i="236"/>
  <c r="N70" i="236" l="1"/>
  <c r="N83" i="236" s="1"/>
  <c r="K83" i="236"/>
  <c r="F70" i="236"/>
  <c r="D83" i="236"/>
  <c r="I70" i="236" l="1"/>
  <c r="I83" i="236" s="1"/>
  <c r="F83" i="236"/>
  <c r="F17" i="236" l="1"/>
  <c r="D19" i="236"/>
  <c r="D112" i="236" s="1"/>
  <c r="I17" i="236" l="1"/>
  <c r="I19" i="236" s="1"/>
  <c r="I112" i="236" s="1"/>
  <c r="F19" i="236"/>
  <c r="F112" i="236" s="1"/>
  <c r="N17" i="236" l="1"/>
  <c r="N19" i="236" s="1"/>
  <c r="N112" i="236" s="1"/>
  <c r="K19" i="236"/>
  <c r="K112" i="236" s="1"/>
  <c r="F175" i="236" l="1"/>
  <c r="D201" i="236"/>
  <c r="D230" i="236" l="1"/>
  <c r="F201" i="236"/>
  <c r="F230" i="236" s="1"/>
  <c r="I175" i="236"/>
  <c r="I201" i="236" s="1"/>
  <c r="I230" i="236" s="1"/>
  <c r="D17" i="3" s="1"/>
  <c r="N175" i="236" l="1"/>
  <c r="N201" i="236" s="1"/>
  <c r="N230" i="236" s="1"/>
  <c r="F17" i="3" s="1"/>
  <c r="K201" i="236"/>
  <c r="H26" i="10"/>
  <c r="H27" i="10" s="1"/>
  <c r="D19" i="3"/>
  <c r="H33" i="10" l="1"/>
  <c r="K230" i="236"/>
  <c r="F19" i="3"/>
  <c r="F175" i="209" l="1"/>
  <c r="D201" i="209"/>
  <c r="I175" i="209" l="1"/>
  <c r="I201" i="209" s="1"/>
  <c r="F201" i="209"/>
  <c r="D199" i="237"/>
  <c r="H173" i="237"/>
  <c r="H199" i="237" s="1"/>
  <c r="N175" i="209" l="1"/>
  <c r="N201" i="209" s="1"/>
  <c r="K201" i="209"/>
  <c r="F16" i="213" l="1"/>
  <c r="N16" i="213" l="1"/>
  <c r="I16" i="213"/>
  <c r="F16" i="209" l="1"/>
  <c r="H16" i="237"/>
  <c r="N16" i="209" l="1"/>
  <c r="I16" i="209"/>
  <c r="F55" i="213" l="1"/>
  <c r="I55" i="213" s="1"/>
  <c r="F51" i="213"/>
  <c r="I51" i="213" s="1"/>
  <c r="F95" i="213" l="1"/>
  <c r="I95" i="213" s="1"/>
  <c r="F103" i="213"/>
  <c r="I103" i="213" s="1"/>
  <c r="F89" i="213"/>
  <c r="I89" i="213" s="1"/>
  <c r="F37" i="213"/>
  <c r="I37" i="213" s="1"/>
  <c r="F31" i="213"/>
  <c r="I31" i="213" s="1"/>
  <c r="F99" i="213"/>
  <c r="I99" i="213" s="1"/>
  <c r="F40" i="213"/>
  <c r="I40" i="213" s="1"/>
  <c r="F97" i="213"/>
  <c r="I97" i="213" s="1"/>
  <c r="F56" i="213"/>
  <c r="I56" i="213" s="1"/>
  <c r="F76" i="213"/>
  <c r="I76" i="213" s="1"/>
  <c r="F80" i="213"/>
  <c r="I80" i="213" s="1"/>
  <c r="F91" i="213"/>
  <c r="I91" i="213" s="1"/>
  <c r="F45" i="213"/>
  <c r="I45" i="213" s="1"/>
  <c r="F63" i="213"/>
  <c r="I63" i="213" s="1"/>
  <c r="F72" i="213"/>
  <c r="I72" i="213" s="1"/>
  <c r="F78" i="213"/>
  <c r="I78" i="213" s="1"/>
  <c r="F70" i="213"/>
  <c r="I70" i="213" s="1"/>
  <c r="F42" i="213"/>
  <c r="I42" i="213" s="1"/>
  <c r="F44" i="213"/>
  <c r="I44" i="213" s="1"/>
  <c r="F41" i="213"/>
  <c r="I41" i="213" s="1"/>
  <c r="F36" i="213"/>
  <c r="I36" i="213" s="1"/>
  <c r="F65" i="213"/>
  <c r="I65" i="213" s="1"/>
  <c r="N51" i="213"/>
  <c r="F52" i="213"/>
  <c r="I52" i="213" s="1"/>
  <c r="F74" i="213"/>
  <c r="I74" i="213" s="1"/>
  <c r="N55" i="213"/>
  <c r="F43" i="213"/>
  <c r="I43" i="213" s="1"/>
  <c r="F105" i="213"/>
  <c r="I105" i="213" s="1"/>
  <c r="F71" i="213"/>
  <c r="I71" i="213" s="1"/>
  <c r="F17" i="213" l="1"/>
  <c r="D19" i="213"/>
  <c r="N71" i="213"/>
  <c r="N52" i="213"/>
  <c r="F38" i="213"/>
  <c r="I38" i="213" s="1"/>
  <c r="N36" i="213"/>
  <c r="F93" i="213"/>
  <c r="I93" i="213" s="1"/>
  <c r="N63" i="213"/>
  <c r="F54" i="213"/>
  <c r="I54" i="213" s="1"/>
  <c r="N76" i="213"/>
  <c r="N97" i="213"/>
  <c r="F77" i="213"/>
  <c r="I77" i="213" s="1"/>
  <c r="F87" i="213"/>
  <c r="I87" i="213" s="1"/>
  <c r="N37" i="213"/>
  <c r="F23" i="213"/>
  <c r="I23" i="213" s="1"/>
  <c r="F94" i="213"/>
  <c r="I94" i="213" s="1"/>
  <c r="F24" i="213"/>
  <c r="I24" i="213" s="1"/>
  <c r="F73" i="213"/>
  <c r="I73" i="213" s="1"/>
  <c r="F53" i="213"/>
  <c r="I53" i="213" s="1"/>
  <c r="N43" i="213"/>
  <c r="F35" i="213"/>
  <c r="I35" i="213" s="1"/>
  <c r="F81" i="213"/>
  <c r="I81" i="213" s="1"/>
  <c r="F98" i="213"/>
  <c r="I98" i="213" s="1"/>
  <c r="F68" i="213"/>
  <c r="I68" i="213" s="1"/>
  <c r="N44" i="213"/>
  <c r="F90" i="213"/>
  <c r="I90" i="213" s="1"/>
  <c r="F69" i="213"/>
  <c r="I69" i="213" s="1"/>
  <c r="F39" i="213"/>
  <c r="I39" i="213" s="1"/>
  <c r="F96" i="213"/>
  <c r="I96" i="213" s="1"/>
  <c r="N56" i="213"/>
  <c r="F33" i="213"/>
  <c r="I33" i="213" s="1"/>
  <c r="N99" i="213"/>
  <c r="F67" i="213"/>
  <c r="I67" i="213" s="1"/>
  <c r="F102" i="213"/>
  <c r="I102" i="213" s="1"/>
  <c r="F92" i="213"/>
  <c r="I92" i="213" s="1"/>
  <c r="N74" i="213"/>
  <c r="F34" i="213"/>
  <c r="I34" i="213" s="1"/>
  <c r="N41" i="213"/>
  <c r="F88" i="213"/>
  <c r="I88" i="213" s="1"/>
  <c r="N42" i="213"/>
  <c r="F79" i="213"/>
  <c r="I79" i="213" s="1"/>
  <c r="N70" i="213"/>
  <c r="N78" i="213"/>
  <c r="F104" i="213"/>
  <c r="I104" i="213" s="1"/>
  <c r="N45" i="213"/>
  <c r="N91" i="213"/>
  <c r="N80" i="213"/>
  <c r="N40" i="213"/>
  <c r="F75" i="213"/>
  <c r="I75" i="213" s="1"/>
  <c r="F57" i="213"/>
  <c r="I57" i="213" s="1"/>
  <c r="N103" i="213"/>
  <c r="N95" i="213"/>
  <c r="F30" i="213"/>
  <c r="I30" i="213" s="1"/>
  <c r="N105" i="213"/>
  <c r="F100" i="213"/>
  <c r="I100" i="213" s="1"/>
  <c r="N65" i="213"/>
  <c r="N72" i="213"/>
  <c r="F66" i="213"/>
  <c r="I66" i="213" s="1"/>
  <c r="N31" i="213"/>
  <c r="F64" i="213"/>
  <c r="I64" i="213" s="1"/>
  <c r="N89" i="213"/>
  <c r="F101" i="213"/>
  <c r="I101" i="213" s="1"/>
  <c r="F32" i="213"/>
  <c r="I32" i="213" s="1"/>
  <c r="F22" i="213" l="1"/>
  <c r="D26" i="213"/>
  <c r="D83" i="213"/>
  <c r="F62" i="213"/>
  <c r="F86" i="213"/>
  <c r="D107" i="213"/>
  <c r="F50" i="213"/>
  <c r="D59" i="213"/>
  <c r="N17" i="213"/>
  <c r="N19" i="213" s="1"/>
  <c r="K19" i="213"/>
  <c r="F29" i="213"/>
  <c r="D47" i="213"/>
  <c r="I17" i="213"/>
  <c r="I19" i="213" s="1"/>
  <c r="F19" i="213"/>
  <c r="F36" i="209"/>
  <c r="I36" i="209" s="1"/>
  <c r="H41" i="237"/>
  <c r="H55" i="237"/>
  <c r="H91" i="237"/>
  <c r="H72" i="237"/>
  <c r="H89" i="237"/>
  <c r="H80" i="237"/>
  <c r="H24" i="237"/>
  <c r="H99" i="237"/>
  <c r="H78" i="237"/>
  <c r="F52" i="209"/>
  <c r="I52" i="209" s="1"/>
  <c r="H76" i="237"/>
  <c r="F63" i="209"/>
  <c r="I63" i="209" s="1"/>
  <c r="F24" i="209"/>
  <c r="I24" i="209" s="1"/>
  <c r="F91" i="209"/>
  <c r="I91" i="209" s="1"/>
  <c r="N32" i="213"/>
  <c r="N75" i="213"/>
  <c r="N79" i="213"/>
  <c r="N34" i="213"/>
  <c r="N33" i="213"/>
  <c r="N96" i="213"/>
  <c r="N69" i="213"/>
  <c r="N73" i="213"/>
  <c r="N94" i="213"/>
  <c r="N77" i="213"/>
  <c r="N54" i="213"/>
  <c r="N93" i="213"/>
  <c r="N64" i="213"/>
  <c r="N92" i="213"/>
  <c r="N67" i="213"/>
  <c r="N24" i="213"/>
  <c r="F89" i="209"/>
  <c r="I89" i="209" s="1"/>
  <c r="N101" i="213"/>
  <c r="N30" i="213"/>
  <c r="N104" i="213"/>
  <c r="N39" i="213"/>
  <c r="N90" i="213"/>
  <c r="N68" i="213"/>
  <c r="N81" i="213"/>
  <c r="N23" i="213"/>
  <c r="N87" i="213"/>
  <c r="N66" i="213"/>
  <c r="N100" i="213"/>
  <c r="N57" i="213"/>
  <c r="N88" i="213"/>
  <c r="N102" i="213"/>
  <c r="N98" i="213"/>
  <c r="N35" i="213"/>
  <c r="N53" i="213"/>
  <c r="F80" i="209"/>
  <c r="I80" i="209" s="1"/>
  <c r="N38" i="213"/>
  <c r="F99" i="209"/>
  <c r="I99" i="209" s="1"/>
  <c r="F41" i="209"/>
  <c r="I41" i="209" s="1"/>
  <c r="D109" i="213" l="1"/>
  <c r="H35" i="237"/>
  <c r="N29" i="213"/>
  <c r="N47" i="213" s="1"/>
  <c r="K47" i="213"/>
  <c r="I29" i="213"/>
  <c r="I47" i="213" s="1"/>
  <c r="G19" i="10" s="1"/>
  <c r="F47" i="213"/>
  <c r="I50" i="213"/>
  <c r="I59" i="213" s="1"/>
  <c r="G20" i="10" s="1"/>
  <c r="F59" i="213"/>
  <c r="K83" i="213"/>
  <c r="N62" i="213"/>
  <c r="N83" i="213" s="1"/>
  <c r="F76" i="209"/>
  <c r="I76" i="209" s="1"/>
  <c r="H52" i="237"/>
  <c r="G17" i="10"/>
  <c r="N22" i="213"/>
  <c r="N26" i="213" s="1"/>
  <c r="K26" i="213"/>
  <c r="I86" i="213"/>
  <c r="I107" i="213" s="1"/>
  <c r="G22" i="10" s="1"/>
  <c r="F107" i="213"/>
  <c r="N50" i="213"/>
  <c r="N59" i="213" s="1"/>
  <c r="K59" i="213"/>
  <c r="N86" i="213"/>
  <c r="N107" i="213" s="1"/>
  <c r="K107" i="213"/>
  <c r="I62" i="213"/>
  <c r="I83" i="213" s="1"/>
  <c r="G21" i="10" s="1"/>
  <c r="F83" i="213"/>
  <c r="I22" i="213"/>
  <c r="I26" i="213" s="1"/>
  <c r="G18" i="10" s="1"/>
  <c r="F26" i="213"/>
  <c r="F78" i="209"/>
  <c r="I78" i="209" s="1"/>
  <c r="F72" i="209"/>
  <c r="I72" i="209" s="1"/>
  <c r="N76" i="209"/>
  <c r="H104" i="237"/>
  <c r="H73" i="237"/>
  <c r="H53" i="237"/>
  <c r="F79" i="209"/>
  <c r="I79" i="209" s="1"/>
  <c r="H45" i="237"/>
  <c r="H92" i="237"/>
  <c r="H40" i="237"/>
  <c r="H68" i="237"/>
  <c r="H64" i="237"/>
  <c r="H42" i="237"/>
  <c r="H96" i="237"/>
  <c r="H54" i="237"/>
  <c r="H69" i="237"/>
  <c r="H37" i="237"/>
  <c r="H66" i="237"/>
  <c r="H34" i="237"/>
  <c r="F100" i="209"/>
  <c r="I100" i="209" s="1"/>
  <c r="H98" i="237"/>
  <c r="H74" i="237"/>
  <c r="H87" i="237"/>
  <c r="F38" i="209"/>
  <c r="I38" i="209" s="1"/>
  <c r="F97" i="209"/>
  <c r="I97" i="209" s="1"/>
  <c r="H36" i="237"/>
  <c r="F55" i="209"/>
  <c r="I55" i="209" s="1"/>
  <c r="N63" i="209"/>
  <c r="H63" i="237"/>
  <c r="F95" i="209"/>
  <c r="I95" i="209" s="1"/>
  <c r="F65" i="209"/>
  <c r="I65" i="209" s="1"/>
  <c r="F44" i="209"/>
  <c r="I44" i="209" s="1"/>
  <c r="F43" i="209"/>
  <c r="I43" i="209" s="1"/>
  <c r="N36" i="209"/>
  <c r="N52" i="209"/>
  <c r="N91" i="209"/>
  <c r="N24" i="209"/>
  <c r="F66" i="209"/>
  <c r="I66" i="209" s="1"/>
  <c r="F98" i="209"/>
  <c r="I98" i="209" s="1"/>
  <c r="F37" i="209"/>
  <c r="I37" i="209" s="1"/>
  <c r="N38" i="209"/>
  <c r="N98" i="209"/>
  <c r="N41" i="209"/>
  <c r="N57" i="209"/>
  <c r="F104" i="209"/>
  <c r="I104" i="209" s="1"/>
  <c r="N78" i="209"/>
  <c r="N89" i="209"/>
  <c r="F34" i="209"/>
  <c r="I34" i="209" s="1"/>
  <c r="N80" i="209"/>
  <c r="N99" i="209"/>
  <c r="F96" i="209"/>
  <c r="I96" i="209" s="1"/>
  <c r="N72" i="209"/>
  <c r="D230" i="213" l="1"/>
  <c r="H62" i="237"/>
  <c r="C25" i="238"/>
  <c r="I109" i="213"/>
  <c r="I230" i="213" s="1"/>
  <c r="D15" i="137" s="1"/>
  <c r="F57" i="209"/>
  <c r="I57" i="209" s="1"/>
  <c r="F109" i="213"/>
  <c r="F230" i="213" s="1"/>
  <c r="N109" i="213"/>
  <c r="N230" i="213" s="1"/>
  <c r="F15" i="137" s="1"/>
  <c r="F62" i="209"/>
  <c r="F86" i="209"/>
  <c r="H50" i="237"/>
  <c r="G25" i="10"/>
  <c r="K109" i="213"/>
  <c r="F74" i="209"/>
  <c r="I74" i="209" s="1"/>
  <c r="F68" i="209"/>
  <c r="I68" i="209" s="1"/>
  <c r="H57" i="237"/>
  <c r="F40" i="209"/>
  <c r="I40" i="209" s="1"/>
  <c r="F87" i="209"/>
  <c r="I87" i="209" s="1"/>
  <c r="F54" i="209"/>
  <c r="I54" i="209" s="1"/>
  <c r="H23" i="237"/>
  <c r="H30" i="237"/>
  <c r="H39" i="237"/>
  <c r="H101" i="237"/>
  <c r="F31" i="209"/>
  <c r="I31" i="209" s="1"/>
  <c r="H105" i="237"/>
  <c r="H33" i="237"/>
  <c r="H77" i="237"/>
  <c r="H75" i="237"/>
  <c r="H67" i="237"/>
  <c r="H102" i="237"/>
  <c r="N43" i="209"/>
  <c r="N65" i="209"/>
  <c r="N97" i="209"/>
  <c r="F56" i="209"/>
  <c r="I56" i="209" s="1"/>
  <c r="F64" i="209"/>
  <c r="I64" i="209" s="1"/>
  <c r="N55" i="209"/>
  <c r="H43" i="237"/>
  <c r="H65" i="237"/>
  <c r="H97" i="237"/>
  <c r="H100" i="237"/>
  <c r="F88" i="209"/>
  <c r="I88" i="209" s="1"/>
  <c r="F90" i="209"/>
  <c r="I90" i="209" s="1"/>
  <c r="F94" i="209"/>
  <c r="I94" i="209" s="1"/>
  <c r="H79" i="237"/>
  <c r="N44" i="209"/>
  <c r="N95" i="209"/>
  <c r="F51" i="209"/>
  <c r="I51" i="209" s="1"/>
  <c r="F53" i="209"/>
  <c r="I53" i="209" s="1"/>
  <c r="H44" i="237"/>
  <c r="H95" i="237"/>
  <c r="H38" i="237"/>
  <c r="F32" i="209"/>
  <c r="I32" i="209" s="1"/>
  <c r="F81" i="209"/>
  <c r="I81" i="209" s="1"/>
  <c r="N66" i="209"/>
  <c r="F39" i="209"/>
  <c r="I39" i="209" s="1"/>
  <c r="N42" i="209"/>
  <c r="N54" i="209"/>
  <c r="F30" i="209"/>
  <c r="I30" i="209" s="1"/>
  <c r="N92" i="209"/>
  <c r="N37" i="209"/>
  <c r="N100" i="209"/>
  <c r="N68" i="209"/>
  <c r="N45" i="209"/>
  <c r="N87" i="209"/>
  <c r="N34" i="209"/>
  <c r="F102" i="209"/>
  <c r="I102" i="209" s="1"/>
  <c r="F101" i="209"/>
  <c r="I101" i="209" s="1"/>
  <c r="N40" i="209"/>
  <c r="N104" i="209"/>
  <c r="F23" i="209"/>
  <c r="I23" i="209" s="1"/>
  <c r="N96" i="209"/>
  <c r="N79" i="209"/>
  <c r="F67" i="209"/>
  <c r="I67" i="209" s="1"/>
  <c r="F33" i="209"/>
  <c r="I33" i="209" s="1"/>
  <c r="N62" i="209" l="1"/>
  <c r="F69" i="209"/>
  <c r="I69" i="209" s="1"/>
  <c r="H86" i="237"/>
  <c r="F45" i="209"/>
  <c r="I45" i="209" s="1"/>
  <c r="D16" i="222"/>
  <c r="N50" i="209"/>
  <c r="F92" i="209"/>
  <c r="I92" i="209" s="1"/>
  <c r="N86" i="209"/>
  <c r="F50" i="209"/>
  <c r="D59" i="209"/>
  <c r="I62" i="209"/>
  <c r="D25" i="238"/>
  <c r="E16" i="222" s="1"/>
  <c r="N73" i="209"/>
  <c r="F73" i="209"/>
  <c r="I73" i="209" s="1"/>
  <c r="F29" i="209"/>
  <c r="F42" i="209"/>
  <c r="I42" i="209" s="1"/>
  <c r="K230" i="213"/>
  <c r="F35" i="209"/>
  <c r="I35" i="209" s="1"/>
  <c r="N35" i="209"/>
  <c r="I86" i="209"/>
  <c r="F77" i="209"/>
  <c r="I77" i="209" s="1"/>
  <c r="F75" i="209"/>
  <c r="I75" i="209" s="1"/>
  <c r="H56" i="237"/>
  <c r="H31" i="237"/>
  <c r="N74" i="209"/>
  <c r="F105" i="209"/>
  <c r="I105" i="209" s="1"/>
  <c r="N81" i="209"/>
  <c r="N94" i="209"/>
  <c r="H81" i="237"/>
  <c r="N51" i="209"/>
  <c r="H94" i="237"/>
  <c r="N56" i="209"/>
  <c r="H93" i="237"/>
  <c r="N32" i="209"/>
  <c r="N90" i="209"/>
  <c r="N88" i="209"/>
  <c r="N53" i="209"/>
  <c r="N64" i="209"/>
  <c r="N69" i="209"/>
  <c r="H32" i="237"/>
  <c r="H90" i="237"/>
  <c r="H88" i="237"/>
  <c r="N39" i="209"/>
  <c r="N30" i="209"/>
  <c r="N101" i="209"/>
  <c r="N33" i="209"/>
  <c r="N105" i="209"/>
  <c r="F93" i="209"/>
  <c r="I93" i="209" s="1"/>
  <c r="N67" i="209"/>
  <c r="N102" i="209"/>
  <c r="N31" i="209"/>
  <c r="N23" i="209"/>
  <c r="N77" i="209"/>
  <c r="N75" i="209"/>
  <c r="D47" i="209" l="1"/>
  <c r="H29" i="237"/>
  <c r="H47" i="237" s="1"/>
  <c r="D47" i="237"/>
  <c r="E25" i="238"/>
  <c r="F16" i="222" s="1"/>
  <c r="N59" i="209"/>
  <c r="H51" i="237"/>
  <c r="H59" i="237" s="1"/>
  <c r="D59" i="237"/>
  <c r="I29" i="209"/>
  <c r="I47" i="209" s="1"/>
  <c r="F47" i="209"/>
  <c r="F59" i="209"/>
  <c r="I50" i="209"/>
  <c r="I59" i="209" s="1"/>
  <c r="N29" i="209"/>
  <c r="N47" i="209" s="1"/>
  <c r="K47" i="209"/>
  <c r="K59" i="209"/>
  <c r="F103" i="209"/>
  <c r="I103" i="209" s="1"/>
  <c r="I110" i="209" s="1"/>
  <c r="N93" i="209"/>
  <c r="D110" i="209" l="1"/>
  <c r="F110" i="209"/>
  <c r="H22" i="237"/>
  <c r="H26" i="237" s="1"/>
  <c r="D26" i="237"/>
  <c r="F25" i="238"/>
  <c r="N103" i="209"/>
  <c r="N110" i="209" s="1"/>
  <c r="F71" i="209"/>
  <c r="I71" i="209" s="1"/>
  <c r="K110" i="209" l="1"/>
  <c r="G16" i="222"/>
  <c r="G25" i="238"/>
  <c r="H16" i="222" s="1"/>
  <c r="F70" i="209"/>
  <c r="D83" i="209"/>
  <c r="H103" i="237"/>
  <c r="H108" i="237" s="1"/>
  <c r="D108" i="237"/>
  <c r="H71" i="237"/>
  <c r="N71" i="209"/>
  <c r="N70" i="209" l="1"/>
  <c r="N83" i="209" s="1"/>
  <c r="K83" i="209"/>
  <c r="I70" i="209"/>
  <c r="I83" i="209" s="1"/>
  <c r="F83" i="209"/>
  <c r="H70" i="237"/>
  <c r="H83" i="237" s="1"/>
  <c r="D83" i="237"/>
  <c r="H25" i="238"/>
  <c r="I16" i="222" s="1"/>
  <c r="D26" i="209"/>
  <c r="F22" i="209"/>
  <c r="N22" i="209"/>
  <c r="N26" i="209" s="1"/>
  <c r="K26" i="209"/>
  <c r="I25" i="238" l="1"/>
  <c r="J16" i="222" s="1"/>
  <c r="I22" i="209"/>
  <c r="I26" i="209" s="1"/>
  <c r="F26" i="209"/>
  <c r="J25" i="238" l="1"/>
  <c r="K16" i="222" s="1"/>
  <c r="K25" i="238" l="1"/>
  <c r="L16" i="222" s="1"/>
  <c r="L25" i="238" l="1"/>
  <c r="M16" i="222" s="1"/>
  <c r="N25" i="238" l="1"/>
  <c r="M25" i="238"/>
  <c r="N16" i="222" s="1"/>
  <c r="O16" i="222" l="1"/>
  <c r="P16" i="222" s="1"/>
  <c r="O25" i="238"/>
  <c r="D18" i="48" l="1"/>
  <c r="D20" i="48" s="1"/>
  <c r="D172" i="79"/>
  <c r="L28" i="42" l="1"/>
  <c r="K27" i="46"/>
  <c r="D21" i="48"/>
  <c r="H168" i="51"/>
  <c r="F27" i="46" l="1"/>
  <c r="O27" i="46"/>
  <c r="F21" i="47" s="1"/>
  <c r="H170" i="51"/>
  <c r="H172" i="51" s="1"/>
  <c r="P168" i="51"/>
  <c r="P170" i="51" s="1"/>
  <c r="P172" i="51" s="1"/>
  <c r="F17" i="209" l="1"/>
  <c r="D19" i="209"/>
  <c r="D112" i="209" s="1"/>
  <c r="H17" i="237"/>
  <c r="H19" i="237" s="1"/>
  <c r="H110" i="237" s="1"/>
  <c r="H228" i="237" s="1"/>
  <c r="D19" i="237"/>
  <c r="D110" i="237" s="1"/>
  <c r="D228" i="237" l="1"/>
  <c r="G14" i="222"/>
  <c r="L14" i="222"/>
  <c r="N14" i="222"/>
  <c r="J14" i="222"/>
  <c r="E14" i="222"/>
  <c r="D14" i="222"/>
  <c r="M14" i="222"/>
  <c r="K14" i="222"/>
  <c r="F14" i="222"/>
  <c r="H14" i="222"/>
  <c r="O14" i="222"/>
  <c r="I14" i="222"/>
  <c r="D230" i="209"/>
  <c r="N17" i="209"/>
  <c r="N19" i="209" s="1"/>
  <c r="N112" i="209" s="1"/>
  <c r="N230" i="209" s="1"/>
  <c r="F17" i="137" s="1"/>
  <c r="K19" i="209"/>
  <c r="K112" i="209" s="1"/>
  <c r="I17" i="209"/>
  <c r="I19" i="209" s="1"/>
  <c r="I112" i="209" s="1"/>
  <c r="I230" i="209" s="1"/>
  <c r="D17" i="137" s="1"/>
  <c r="F19" i="209"/>
  <c r="F112" i="209" s="1"/>
  <c r="F230" i="209" s="1"/>
  <c r="G26" i="10" l="1"/>
  <c r="G27" i="10" s="1"/>
  <c r="G33" i="10" s="1"/>
  <c r="D19" i="137"/>
  <c r="P14" i="222"/>
  <c r="K230" i="209"/>
  <c r="F19" i="137"/>
  <c r="D171" i="79" l="1"/>
  <c r="D13" i="48"/>
  <c r="D15" i="48" s="1"/>
  <c r="F155" i="51" l="1"/>
  <c r="D16" i="48"/>
  <c r="O26" i="46"/>
  <c r="K26" i="46"/>
  <c r="M26" i="46" l="1"/>
  <c r="F20" i="47"/>
  <c r="F159" i="51"/>
  <c r="P155" i="51"/>
  <c r="L27" i="42"/>
  <c r="F26" i="46"/>
  <c r="J20" i="47" l="1"/>
  <c r="F161" i="51"/>
  <c r="F163" i="51" s="1"/>
  <c r="P159" i="51"/>
  <c r="P161" i="51" s="1"/>
  <c r="P163" i="51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6" i="50"/>
  <c r="D67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H16" i="5" l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42" i="202"/>
  <c r="T42" i="202" l="1"/>
  <c r="G71" i="10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I24" i="95" s="1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M20" i="95"/>
  <c r="G45" i="10"/>
  <c r="N46" i="202"/>
  <c r="R21" i="202"/>
  <c r="R29" i="202" s="1"/>
  <c r="V21" i="202"/>
  <c r="N19" i="202"/>
  <c r="N21" i="202" s="1"/>
  <c r="M22" i="95"/>
  <c r="M24" i="95"/>
  <c r="M26" i="95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N22" i="1" s="1"/>
  <c r="I27" i="4"/>
  <c r="I28" i="95"/>
  <c r="D45" i="231" l="1"/>
  <c r="G45" i="231" s="1"/>
  <c r="D43" i="231"/>
  <c r="G43" i="231" s="1"/>
  <c r="J19" i="230"/>
  <c r="D32" i="231"/>
  <c r="G32" i="231" s="1"/>
  <c r="D15" i="231"/>
  <c r="G15" i="231" s="1"/>
  <c r="L47" i="230" l="1"/>
  <c r="N47" i="230"/>
  <c r="D39" i="231"/>
  <c r="P47" i="230"/>
  <c r="Q41" i="230"/>
  <c r="I43" i="231" s="1"/>
  <c r="L43" i="231" s="1"/>
  <c r="I47" i="230"/>
  <c r="Q39" i="230"/>
  <c r="I39" i="231" s="1"/>
  <c r="K47" i="230"/>
  <c r="Q43" i="230"/>
  <c r="I45" i="231" s="1"/>
  <c r="L45" i="231" s="1"/>
  <c r="M47" i="230"/>
  <c r="J47" i="230"/>
  <c r="O47" i="230"/>
  <c r="I19" i="230"/>
  <c r="Q15" i="230"/>
  <c r="I15" i="231" s="1"/>
  <c r="L15" i="231" s="1"/>
  <c r="K19" i="230"/>
  <c r="Q32" i="230"/>
  <c r="I32" i="231" s="1"/>
  <c r="L32" i="231" s="1"/>
  <c r="I36" i="230"/>
  <c r="J36" i="230"/>
  <c r="K36" i="230"/>
  <c r="Q47" i="230" l="1"/>
  <c r="L39" i="231"/>
  <c r="L47" i="231" s="1"/>
  <c r="I47" i="231"/>
  <c r="G39" i="231"/>
  <c r="G47" i="231" s="1"/>
  <c r="D47" i="231"/>
  <c r="L36" i="230"/>
  <c r="M19" i="230" l="1"/>
  <c r="L19" i="230"/>
  <c r="M36" i="230"/>
  <c r="N19" i="230" l="1"/>
  <c r="D13" i="231" l="1"/>
  <c r="N36" i="230"/>
  <c r="O36" i="230"/>
  <c r="G13" i="231" l="1"/>
  <c r="O19" i="230"/>
  <c r="Q13" i="230"/>
  <c r="I13" i="231" s="1"/>
  <c r="L13" i="231" l="1"/>
  <c r="D17" i="231"/>
  <c r="Q17" i="230"/>
  <c r="I17" i="231" s="1"/>
  <c r="L17" i="231" s="1"/>
  <c r="P19" i="230"/>
  <c r="P36" i="230"/>
  <c r="D30" i="231"/>
  <c r="Q30" i="230"/>
  <c r="I30" i="231" s="1"/>
  <c r="I19" i="231" l="1"/>
  <c r="Q19" i="230"/>
  <c r="G17" i="231"/>
  <c r="G19" i="231" s="1"/>
  <c r="D19" i="231"/>
  <c r="L19" i="231"/>
  <c r="D36" i="231"/>
  <c r="G30" i="231"/>
  <c r="G36" i="231" s="1"/>
  <c r="I36" i="231"/>
  <c r="L30" i="231"/>
  <c r="L36" i="231" s="1"/>
  <c r="Q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E49" i="233" s="1"/>
  <c r="D28" i="233"/>
  <c r="D49" i="233" l="1"/>
  <c r="F28" i="233" l="1"/>
  <c r="G28" i="233"/>
  <c r="G49" i="233" s="1"/>
  <c r="H28" i="233" l="1"/>
  <c r="H49" i="233" s="1"/>
  <c r="F49" i="233"/>
  <c r="I28" i="233" l="1"/>
  <c r="I49" i="233" s="1"/>
  <c r="K28" i="233" l="1"/>
  <c r="K49" i="233" s="1"/>
  <c r="J28" i="233"/>
  <c r="D24" i="232"/>
  <c r="G24" i="232" s="1"/>
  <c r="Q24" i="233"/>
  <c r="I24" i="232" s="1"/>
  <c r="L24" i="232" s="1"/>
  <c r="J49" i="233" l="1"/>
  <c r="L28" i="233"/>
  <c r="L49" i="233" s="1"/>
  <c r="M28" i="233" l="1"/>
  <c r="M49" i="233" s="1"/>
  <c r="N28" i="233" l="1"/>
  <c r="N49" i="233" s="1"/>
  <c r="D26" i="232"/>
  <c r="G26" i="232" s="1"/>
  <c r="Q26" i="233"/>
  <c r="I26" i="232" s="1"/>
  <c r="L26" i="232" s="1"/>
  <c r="O28" i="233" l="1"/>
  <c r="O49" i="233" s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O49" i="230"/>
  <c r="K49" i="230"/>
  <c r="H49" i="230"/>
  <c r="Q22" i="230"/>
  <c r="I22" i="231" s="1"/>
  <c r="D28" i="230"/>
  <c r="N49" i="230"/>
  <c r="J49" i="230"/>
  <c r="G49" i="230"/>
  <c r="M49" i="230"/>
  <c r="I49" i="230"/>
  <c r="P28" i="233"/>
  <c r="D22" i="232"/>
  <c r="Q22" i="233"/>
  <c r="I22" i="232" s="1"/>
  <c r="F49" i="230"/>
  <c r="P28" i="230"/>
  <c r="D22" i="231"/>
  <c r="L49" i="230"/>
  <c r="D28" i="231" l="1"/>
  <c r="D49" i="231" s="1"/>
  <c r="G22" i="231"/>
  <c r="G28" i="231" s="1"/>
  <c r="G49" i="231" s="1"/>
  <c r="D25" i="3" s="1"/>
  <c r="L22" i="232"/>
  <c r="L28" i="232" s="1"/>
  <c r="L49" i="232" s="1"/>
  <c r="I28" i="232"/>
  <c r="I49" i="232" s="1"/>
  <c r="P49" i="230"/>
  <c r="D28" i="232"/>
  <c r="D49" i="232" s="1"/>
  <c r="G22" i="232"/>
  <c r="G28" i="232" s="1"/>
  <c r="G49" i="232" s="1"/>
  <c r="D25" i="137" s="1"/>
  <c r="Q28" i="230"/>
  <c r="D49" i="230"/>
  <c r="P49" i="233"/>
  <c r="Q28" i="233"/>
  <c r="L22" i="231"/>
  <c r="L28" i="231" s="1"/>
  <c r="L49" i="231" s="1"/>
  <c r="I28" i="231"/>
  <c r="I49" i="231" s="1"/>
  <c r="F25" i="3" l="1"/>
  <c r="I79" i="232"/>
  <c r="I72" i="232"/>
  <c r="L53" i="232"/>
  <c r="F25" i="137" s="1"/>
  <c r="I81" i="232"/>
  <c r="I83" i="232" s="1"/>
  <c r="Q49" i="230"/>
  <c r="Q49" i="233"/>
  <c r="I75" i="232" l="1"/>
  <c r="I85" i="232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P48" i="192"/>
  <c r="F21" i="105"/>
  <c r="F23" i="105" s="1"/>
  <c r="E22" i="102"/>
  <c r="E24" i="102" s="1"/>
  <c r="P46" i="228"/>
  <c r="P89" i="51"/>
  <c r="C24" i="102" l="1"/>
  <c r="D25" i="36"/>
  <c r="H25" i="36" s="1"/>
  <c r="L35" i="35"/>
  <c r="M39" i="35"/>
  <c r="D23" i="36"/>
  <c r="H23" i="36" s="1"/>
  <c r="D20" i="36"/>
  <c r="H20" i="36" s="1"/>
  <c r="D22" i="36"/>
  <c r="H22" i="36" s="1"/>
  <c r="D21" i="36"/>
  <c r="H21" i="36" s="1"/>
  <c r="H17" i="36"/>
  <c r="D33" i="36"/>
  <c r="H33" i="36" s="1"/>
  <c r="E17" i="102"/>
  <c r="E19" i="102" s="1"/>
  <c r="C19" i="102"/>
  <c r="M46" i="35"/>
  <c r="L42" i="35"/>
  <c r="H146" i="51"/>
  <c r="H148" i="51" s="1"/>
  <c r="P28" i="192"/>
  <c r="P24" i="192"/>
  <c r="L25" i="35"/>
  <c r="M28" i="35"/>
  <c r="I17" i="102"/>
  <c r="I19" i="102" s="1"/>
  <c r="G19" i="102"/>
  <c r="D23" i="105"/>
  <c r="P25" i="192"/>
  <c r="P38" i="192"/>
  <c r="D56" i="100" s="1"/>
  <c r="F56" i="100" s="1"/>
  <c r="P21" i="192"/>
  <c r="P18" i="192"/>
  <c r="P36" i="192"/>
  <c r="D28" i="100" s="1"/>
  <c r="D29" i="100" s="1"/>
  <c r="P39" i="192"/>
  <c r="D57" i="100" s="1"/>
  <c r="F57" i="100" s="1"/>
  <c r="P37" i="192"/>
  <c r="D55" i="100" s="1"/>
  <c r="P32" i="192"/>
  <c r="P45" i="192"/>
  <c r="P30" i="192"/>
  <c r="P22" i="192"/>
  <c r="P33" i="192"/>
  <c r="P19" i="228"/>
  <c r="P25" i="228"/>
  <c r="P32" i="228"/>
  <c r="P47" i="192"/>
  <c r="N42" i="192"/>
  <c r="N50" i="192" s="1"/>
  <c r="D40" i="228"/>
  <c r="P29" i="192"/>
  <c r="P36" i="228"/>
  <c r="H56" i="100" s="1"/>
  <c r="J56" i="100" s="1"/>
  <c r="K42" i="192"/>
  <c r="K50" i="192" s="1"/>
  <c r="P17" i="192"/>
  <c r="P34" i="228"/>
  <c r="H28" i="100" s="1"/>
  <c r="G24" i="102"/>
  <c r="I22" i="102"/>
  <c r="I24" i="102" s="1"/>
  <c r="P31" i="192"/>
  <c r="P31" i="228"/>
  <c r="P41" i="228"/>
  <c r="M42" i="192"/>
  <c r="M50" i="192" s="1"/>
  <c r="L42" i="192"/>
  <c r="P23" i="192"/>
  <c r="P35" i="192"/>
  <c r="P26" i="192"/>
  <c r="P37" i="228"/>
  <c r="H57" i="100" s="1"/>
  <c r="J57" i="100" s="1"/>
  <c r="P43" i="192"/>
  <c r="P41" i="192"/>
  <c r="P46" i="192"/>
  <c r="P17" i="228"/>
  <c r="P20" i="192"/>
  <c r="P45" i="228"/>
  <c r="P34" i="192"/>
  <c r="O42" i="192"/>
  <c r="P19" i="192"/>
  <c r="P20" i="228"/>
  <c r="P40" i="192"/>
  <c r="P44" i="192"/>
  <c r="P27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P25" i="193" l="1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0" i="192"/>
  <c r="L52" i="192"/>
  <c r="L54" i="192" s="1"/>
  <c r="D48" i="228"/>
  <c r="D50" i="228"/>
  <c r="J28" i="100"/>
  <c r="J29" i="100" s="1"/>
  <c r="H29" i="100"/>
  <c r="K52" i="192"/>
  <c r="N52" i="192"/>
  <c r="N54" i="192" s="1"/>
  <c r="O50" i="192"/>
  <c r="O52" i="192"/>
  <c r="O54" i="192" s="1"/>
  <c r="M52" i="192"/>
  <c r="M54" i="192" s="1"/>
  <c r="P42" i="192"/>
  <c r="D59" i="100"/>
  <c r="F55" i="100"/>
  <c r="F59" i="100" s="1"/>
  <c r="P18" i="227" l="1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0" i="192"/>
  <c r="E40" i="228"/>
  <c r="D52" i="228"/>
  <c r="K54" i="192"/>
  <c r="P52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0" i="228"/>
  <c r="P54" i="192"/>
  <c r="E50" i="228"/>
  <c r="E48" i="228"/>
  <c r="P53" i="192" l="1"/>
  <c r="F22" i="227"/>
  <c r="D32" i="227"/>
  <c r="D30" i="227"/>
  <c r="P32" i="193"/>
  <c r="K34" i="193"/>
  <c r="F50" i="228"/>
  <c r="F52" i="228" s="1"/>
  <c r="F48" i="228"/>
  <c r="G40" i="228"/>
  <c r="E52" i="228"/>
  <c r="P16" i="228" l="1"/>
  <c r="P23" i="228"/>
  <c r="P34" i="193"/>
  <c r="P33" i="193" s="1"/>
  <c r="D34" i="227"/>
  <c r="F30" i="227"/>
  <c r="F32" i="227"/>
  <c r="F34" i="227" s="1"/>
  <c r="P28" i="228"/>
  <c r="G22" i="227"/>
  <c r="H40" i="228"/>
  <c r="J21" i="105"/>
  <c r="J23" i="105" s="1"/>
  <c r="H23" i="105"/>
  <c r="G50" i="228"/>
  <c r="G48" i="228"/>
  <c r="P38" i="228"/>
  <c r="P33" i="228"/>
  <c r="P35" i="228"/>
  <c r="H55" i="100" s="1"/>
  <c r="P30" i="228"/>
  <c r="P21" i="228"/>
  <c r="P29" i="228"/>
  <c r="P18" i="228"/>
  <c r="P27" i="228"/>
  <c r="P22" i="228"/>
  <c r="H22" i="227"/>
  <c r="H32" i="227" l="1"/>
  <c r="H34" i="227" s="1"/>
  <c r="H30" i="227"/>
  <c r="D15" i="49"/>
  <c r="G32" i="227"/>
  <c r="G34" i="227" s="1"/>
  <c r="G30" i="227"/>
  <c r="P26" i="228"/>
  <c r="P39" i="228"/>
  <c r="P15" i="228"/>
  <c r="G52" i="228"/>
  <c r="H50" i="228"/>
  <c r="H52" i="228" s="1"/>
  <c r="H48" i="228"/>
  <c r="H59" i="100"/>
  <c r="J55" i="100"/>
  <c r="J59" i="100" s="1"/>
  <c r="I40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2" i="228"/>
  <c r="J40" i="228"/>
  <c r="I50" i="228"/>
  <c r="I52" i="228" s="1"/>
  <c r="I48" i="228"/>
  <c r="P24" i="228"/>
  <c r="P71" i="51"/>
  <c r="P88" i="51"/>
  <c r="P104" i="51"/>
  <c r="P87" i="51"/>
  <c r="P85" i="51"/>
  <c r="P86" i="51"/>
  <c r="P90" i="51"/>
  <c r="P84" i="51" l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N26" i="35"/>
  <c r="O25" i="35"/>
  <c r="O24" i="35" s="1"/>
  <c r="N24" i="35" s="1"/>
  <c r="I34" i="227"/>
  <c r="K40" i="228"/>
  <c r="J50" i="228"/>
  <c r="J52" i="228" s="1"/>
  <c r="J48" i="228"/>
  <c r="P16" i="227"/>
  <c r="F34" i="250"/>
  <c r="P27" i="227"/>
  <c r="P15" i="227"/>
  <c r="P21" i="227"/>
  <c r="P19" i="227"/>
  <c r="P17" i="227"/>
  <c r="P20" i="227"/>
  <c r="L40" i="228" l="1"/>
  <c r="L48" i="228" s="1"/>
  <c r="P14" i="227"/>
  <c r="K50" i="228"/>
  <c r="K52" i="228" s="1"/>
  <c r="N25" i="35"/>
  <c r="O28" i="35"/>
  <c r="J32" i="227"/>
  <c r="J30" i="227"/>
  <c r="K22" i="227"/>
  <c r="K48" i="228"/>
  <c r="L20" i="36"/>
  <c r="J20" i="36" s="1"/>
  <c r="L21" i="36"/>
  <c r="J21" i="36" s="1"/>
  <c r="L23" i="36"/>
  <c r="J23" i="36" s="1"/>
  <c r="L22" i="36"/>
  <c r="J22" i="36" s="1"/>
  <c r="J17" i="36"/>
  <c r="F37" i="250"/>
  <c r="F33" i="250"/>
  <c r="L50" i="228" l="1"/>
  <c r="L52" i="228" s="1"/>
  <c r="L22" i="227"/>
  <c r="N36" i="35"/>
  <c r="O35" i="35"/>
  <c r="K32" i="227"/>
  <c r="K34" i="227" s="1"/>
  <c r="K30" i="227"/>
  <c r="J34" i="227"/>
  <c r="M40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3" i="228"/>
  <c r="O40" i="228"/>
  <c r="P44" i="228"/>
  <c r="N40" i="228"/>
  <c r="M50" i="228"/>
  <c r="M52" i="228" s="1"/>
  <c r="M48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0" i="228"/>
  <c r="N52" i="228" s="1"/>
  <c r="N48" i="228"/>
  <c r="O50" i="228"/>
  <c r="O48" i="228"/>
  <c r="P40" i="228"/>
  <c r="P48" i="228" s="1"/>
  <c r="P30" i="227" l="1"/>
  <c r="P138" i="51"/>
  <c r="F142" i="51"/>
  <c r="N32" i="227"/>
  <c r="N30" i="227"/>
  <c r="O52" i="228"/>
  <c r="P50" i="228"/>
  <c r="N34" i="227" l="1"/>
  <c r="P34" i="227" s="1"/>
  <c r="P32" i="227"/>
  <c r="P52" i="228"/>
  <c r="P33" i="227" l="1"/>
  <c r="P51" i="228"/>
  <c r="I27" i="102" l="1"/>
  <c r="E28" i="102" l="1"/>
  <c r="E29" i="102" s="1"/>
  <c r="J27" i="190"/>
  <c r="P30" i="226"/>
  <c r="P32" i="190"/>
  <c r="C29" i="102" l="1"/>
  <c r="J36" i="190"/>
  <c r="J38" i="190" s="1"/>
  <c r="J40" i="190" s="1"/>
  <c r="P35" i="190"/>
  <c r="I28" i="102"/>
  <c r="I29" i="102" s="1"/>
  <c r="G29" i="102"/>
  <c r="P20" i="190"/>
  <c r="P34" i="190"/>
  <c r="P23" i="190"/>
  <c r="P32" i="226"/>
  <c r="P22" i="226"/>
  <c r="H63" i="100" s="1"/>
  <c r="P18" i="226"/>
  <c r="P24" i="190"/>
  <c r="P21" i="226"/>
  <c r="H35" i="100" s="1"/>
  <c r="P33" i="226"/>
  <c r="P26" i="226"/>
  <c r="P28" i="190"/>
  <c r="J99" i="44" l="1"/>
  <c r="D35" i="100"/>
  <c r="F35" i="100" s="1"/>
  <c r="F36" i="100" s="1"/>
  <c r="D63" i="100"/>
  <c r="H66" i="100"/>
  <c r="J63" i="100"/>
  <c r="J66" i="100" s="1"/>
  <c r="J35" i="100"/>
  <c r="J36" i="100" s="1"/>
  <c r="H36" i="100"/>
  <c r="J110" i="44" l="1"/>
  <c r="D36" i="100"/>
  <c r="D66" i="100"/>
  <c r="F63" i="100"/>
  <c r="F66" i="100" s="1"/>
  <c r="P29" i="190" l="1"/>
  <c r="P27" i="226"/>
  <c r="P19" i="190" l="1"/>
  <c r="P30" i="190" l="1"/>
  <c r="P17" i="226"/>
  <c r="P22" i="190"/>
  <c r="P18" i="190"/>
  <c r="D28" i="105" l="1"/>
  <c r="D35" i="105" s="1"/>
  <c r="F26" i="105"/>
  <c r="F28" i="105" s="1"/>
  <c r="F35" i="105" s="1"/>
  <c r="P20" i="226"/>
  <c r="P16" i="226"/>
  <c r="P31" i="190"/>
  <c r="H28" i="105" l="1"/>
  <c r="H35" i="105" s="1"/>
  <c r="J26" i="105"/>
  <c r="J28" i="105" s="1"/>
  <c r="J35" i="105" s="1"/>
  <c r="P28" i="226"/>
  <c r="P29" i="226"/>
  <c r="P21" i="190" l="1"/>
  <c r="P17" i="190"/>
  <c r="N27" i="190"/>
  <c r="P26" i="190"/>
  <c r="O27" i="190"/>
  <c r="O36" i="190" s="1"/>
  <c r="P33" i="190"/>
  <c r="P25" i="190"/>
  <c r="M27" i="190"/>
  <c r="M36" i="190" s="1"/>
  <c r="L27" i="190"/>
  <c r="E25" i="226"/>
  <c r="G25" i="226"/>
  <c r="G34" i="226" s="1"/>
  <c r="P19" i="226" l="1"/>
  <c r="P31" i="226"/>
  <c r="P23" i="226"/>
  <c r="P24" i="226"/>
  <c r="I25" i="226"/>
  <c r="I34" i="226" s="1"/>
  <c r="L36" i="190"/>
  <c r="L38" i="190"/>
  <c r="L40" i="190" s="1"/>
  <c r="L99" i="44" s="1"/>
  <c r="G36" i="226"/>
  <c r="G38" i="226" s="1"/>
  <c r="G99" i="222" s="1"/>
  <c r="N36" i="190"/>
  <c r="N38" i="190"/>
  <c r="N40" i="190" s="1"/>
  <c r="N99" i="44" s="1"/>
  <c r="N25" i="226"/>
  <c r="P15" i="226"/>
  <c r="M25" i="226"/>
  <c r="H25" i="226"/>
  <c r="P16" i="190"/>
  <c r="K27" i="190"/>
  <c r="L25" i="226"/>
  <c r="K25" i="226"/>
  <c r="K34" i="226" s="1"/>
  <c r="E34" i="226"/>
  <c r="E36" i="226"/>
  <c r="E38" i="226" s="1"/>
  <c r="E99" i="222" s="1"/>
  <c r="F25" i="226"/>
  <c r="F34" i="226" s="1"/>
  <c r="M38" i="190"/>
  <c r="M40" i="190" s="1"/>
  <c r="M99" i="44" s="1"/>
  <c r="O38" i="190"/>
  <c r="O40" i="190" s="1"/>
  <c r="O99" i="44" s="1"/>
  <c r="D25" i="226"/>
  <c r="P14" i="226" l="1"/>
  <c r="L36" i="226"/>
  <c r="L38" i="226" s="1"/>
  <c r="L99" i="222" s="1"/>
  <c r="L34" i="226"/>
  <c r="F36" i="226"/>
  <c r="F38" i="226" s="1"/>
  <c r="F99" i="222" s="1"/>
  <c r="H34" i="226"/>
  <c r="H36" i="226"/>
  <c r="H38" i="226" s="1"/>
  <c r="H99" i="222" s="1"/>
  <c r="M34" i="226"/>
  <c r="M36" i="226"/>
  <c r="M38" i="226" s="1"/>
  <c r="M99" i="222" s="1"/>
  <c r="N34" i="226"/>
  <c r="N36" i="226"/>
  <c r="N38" i="226" s="1"/>
  <c r="N99" i="222" s="1"/>
  <c r="I36" i="226"/>
  <c r="I38" i="226" s="1"/>
  <c r="I99" i="222" s="1"/>
  <c r="D36" i="226"/>
  <c r="D38" i="226" s="1"/>
  <c r="J25" i="226"/>
  <c r="J34" i="226" s="1"/>
  <c r="P27" i="190"/>
  <c r="D34" i="226"/>
  <c r="K36" i="226"/>
  <c r="K38" i="226" s="1"/>
  <c r="K99" i="222" s="1"/>
  <c r="K36" i="190"/>
  <c r="O25" i="226"/>
  <c r="O36" i="226" l="1"/>
  <c r="O38" i="226" s="1"/>
  <c r="O99" i="222" s="1"/>
  <c r="K38" i="190"/>
  <c r="F17" i="250"/>
  <c r="P25" i="226"/>
  <c r="P34" i="226" s="1"/>
  <c r="J36" i="226"/>
  <c r="J38" i="226" s="1"/>
  <c r="J99" i="222" s="1"/>
  <c r="F28" i="250"/>
  <c r="D99" i="222"/>
  <c r="F30" i="250"/>
  <c r="F27" i="250"/>
  <c r="O34" i="226"/>
  <c r="F31" i="250"/>
  <c r="F15" i="250"/>
  <c r="P36" i="190"/>
  <c r="P38" i="226" l="1"/>
  <c r="F39" i="250"/>
  <c r="F23" i="250"/>
  <c r="P38" i="190"/>
  <c r="K40" i="190"/>
  <c r="P99" i="222"/>
  <c r="F41" i="250" l="1"/>
  <c r="M25" i="46" s="1"/>
  <c r="L26" i="42"/>
  <c r="D154" i="79"/>
  <c r="P40" i="190"/>
  <c r="K99" i="44"/>
  <c r="P39" i="190" l="1"/>
  <c r="P99" i="44"/>
  <c r="J26" i="42" l="1"/>
  <c r="D158" i="45"/>
  <c r="N121" i="51"/>
  <c r="D121" i="51" l="1"/>
  <c r="P121" i="51"/>
  <c r="N142" i="51"/>
  <c r="N134" i="51"/>
  <c r="D142" i="51" l="1"/>
  <c r="D144" i="51" s="1"/>
  <c r="P61" i="44" l="1"/>
  <c r="D68" i="45" s="1"/>
  <c r="P59" i="44"/>
  <c r="D62" i="45" s="1"/>
  <c r="D64" i="51" s="1"/>
  <c r="P61" i="222"/>
  <c r="D64" i="79" s="1"/>
  <c r="P59" i="222"/>
  <c r="D58" i="79" s="1"/>
  <c r="P30" i="222"/>
  <c r="D33" i="79" s="1"/>
  <c r="P80" i="222"/>
  <c r="P46" i="44"/>
  <c r="P46" i="222"/>
  <c r="D69" i="51"/>
  <c r="P62" i="44"/>
  <c r="P55" i="44"/>
  <c r="P80" i="44"/>
  <c r="P70" i="222"/>
  <c r="D105" i="79" s="1"/>
  <c r="P50" i="44"/>
  <c r="D49" i="45" s="1"/>
  <c r="D54" i="51" s="1"/>
  <c r="P62" i="222"/>
  <c r="D65" i="79" s="1"/>
  <c r="P91" i="44"/>
  <c r="D138" i="45" s="1"/>
  <c r="D110" i="51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66" i="44"/>
  <c r="D79" i="45" s="1"/>
  <c r="D77" i="51" s="1"/>
  <c r="P93" i="44"/>
  <c r="D145" i="45" s="1"/>
  <c r="D114" i="51" s="1"/>
  <c r="P66" i="222"/>
  <c r="D75" i="79" s="1"/>
  <c r="P104" i="222" l="1"/>
  <c r="D159" i="79" s="1"/>
  <c r="P76" i="44"/>
  <c r="D115" i="45" s="1"/>
  <c r="D88" i="51" s="1"/>
  <c r="P84" i="222"/>
  <c r="D122" i="79" s="1"/>
  <c r="P87" i="44"/>
  <c r="D129" i="45" s="1"/>
  <c r="D104" i="51" s="1"/>
  <c r="P104" i="44"/>
  <c r="D163" i="45" s="1"/>
  <c r="D126" i="51" s="1"/>
  <c r="P93" i="222"/>
  <c r="D141" i="79" s="1"/>
  <c r="P103" i="44"/>
  <c r="D162" i="45" s="1"/>
  <c r="D125" i="51" s="1"/>
  <c r="P54" i="44"/>
  <c r="D53" i="45" s="1"/>
  <c r="D58" i="51" s="1"/>
  <c r="P72" i="44"/>
  <c r="D111" i="45" s="1"/>
  <c r="D84" i="51" s="1"/>
  <c r="P88" i="44"/>
  <c r="D130" i="45" s="1"/>
  <c r="D105" i="51" s="1"/>
  <c r="P84" i="44"/>
  <c r="D126" i="45" s="1"/>
  <c r="D101" i="51" s="1"/>
  <c r="P56" i="44"/>
  <c r="D59" i="45" s="1"/>
  <c r="D61" i="51" s="1"/>
  <c r="P106" i="44"/>
  <c r="D165" i="45" s="1"/>
  <c r="D130" i="51" s="1"/>
  <c r="P77" i="44"/>
  <c r="D116" i="45" s="1"/>
  <c r="D89" i="51" s="1"/>
  <c r="P81" i="222"/>
  <c r="D119" i="79" s="1"/>
  <c r="P107" i="44"/>
  <c r="D166" i="45" s="1"/>
  <c r="D131" i="51" s="1"/>
  <c r="P51" i="44"/>
  <c r="D50" i="45" s="1"/>
  <c r="D55" i="51" s="1"/>
  <c r="P64" i="44"/>
  <c r="D71" i="45" s="1"/>
  <c r="D72" i="51" s="1"/>
  <c r="P108" i="44"/>
  <c r="D170" i="45" s="1"/>
  <c r="D132" i="51" s="1"/>
  <c r="P74" i="44"/>
  <c r="D113" i="45" s="1"/>
  <c r="D86" i="51" s="1"/>
  <c r="P49" i="44"/>
  <c r="D48" i="45" s="1"/>
  <c r="D53" i="51" s="1"/>
  <c r="P75" i="44"/>
  <c r="D114" i="45" s="1"/>
  <c r="D87" i="51" s="1"/>
  <c r="P77" i="222"/>
  <c r="D112" i="79" s="1"/>
  <c r="P101" i="44"/>
  <c r="D160" i="45" s="1"/>
  <c r="D123" i="51" s="1"/>
  <c r="P82" i="44"/>
  <c r="D124" i="45" s="1"/>
  <c r="D99" i="51" s="1"/>
  <c r="P89" i="44"/>
  <c r="P71" i="44"/>
  <c r="D110" i="45" s="1"/>
  <c r="D83" i="51" s="1"/>
  <c r="P67" i="44"/>
  <c r="D80" i="45" s="1"/>
  <c r="D78" i="51" s="1"/>
  <c r="P88" i="222"/>
  <c r="D126" i="79" s="1"/>
  <c r="P94" i="44"/>
  <c r="P47" i="44"/>
  <c r="D46" i="45" s="1"/>
  <c r="D51" i="51" s="1"/>
  <c r="D53" i="79"/>
  <c r="P52" i="44"/>
  <c r="D51" i="45" s="1"/>
  <c r="D56" i="51" s="1"/>
  <c r="P29" i="222"/>
  <c r="D109" i="222"/>
  <c r="P95" i="44"/>
  <c r="P96" i="44"/>
  <c r="P53" i="44"/>
  <c r="D52" i="45" s="1"/>
  <c r="D57" i="51" s="1"/>
  <c r="K110" i="44"/>
  <c r="P29" i="44"/>
  <c r="P69" i="44"/>
  <c r="D108" i="45" s="1"/>
  <c r="D81" i="51" s="1"/>
  <c r="D44" i="45"/>
  <c r="P100" i="222"/>
  <c r="D155" i="79" s="1"/>
  <c r="P97" i="44"/>
  <c r="P60" i="44"/>
  <c r="D63" i="45" s="1"/>
  <c r="D66" i="51" s="1"/>
  <c r="P73" i="44"/>
  <c r="D112" i="45" s="1"/>
  <c r="D85" i="51" s="1"/>
  <c r="P48" i="44"/>
  <c r="D47" i="45" s="1"/>
  <c r="D52" i="51" s="1"/>
  <c r="L110" i="44"/>
  <c r="O110" i="44"/>
  <c r="D57" i="45"/>
  <c r="P100" i="44"/>
  <c r="D159" i="45" s="1"/>
  <c r="D122" i="51" s="1"/>
  <c r="P98" i="44"/>
  <c r="D157" i="45" s="1"/>
  <c r="D120" i="51" s="1"/>
  <c r="P102" i="44"/>
  <c r="D161" i="45" s="1"/>
  <c r="D124" i="51" s="1"/>
  <c r="P78" i="44"/>
  <c r="D117" i="45" s="1"/>
  <c r="D90" i="51" s="1"/>
  <c r="P86" i="44"/>
  <c r="D128" i="45" s="1"/>
  <c r="D103" i="51" s="1"/>
  <c r="P58" i="44"/>
  <c r="D61" i="45" s="1"/>
  <c r="D63" i="51" s="1"/>
  <c r="P92" i="44"/>
  <c r="P63" i="44"/>
  <c r="D70" i="45" s="1"/>
  <c r="D71" i="51" s="1"/>
  <c r="P65" i="44"/>
  <c r="P57" i="44"/>
  <c r="D60" i="45" s="1"/>
  <c r="D62" i="51" s="1"/>
  <c r="P95" i="222"/>
  <c r="P54" i="222"/>
  <c r="D49" i="79" s="1"/>
  <c r="P85" i="44"/>
  <c r="D127" i="45" s="1"/>
  <c r="D102" i="51" s="1"/>
  <c r="D122" i="45"/>
  <c r="D118" i="79"/>
  <c r="P90" i="44"/>
  <c r="D137" i="45" s="1"/>
  <c r="D109" i="51" s="1"/>
  <c r="P105" i="44"/>
  <c r="D164" i="45" s="1"/>
  <c r="D127" i="51" s="1"/>
  <c r="P53" i="222"/>
  <c r="D48" i="79" s="1"/>
  <c r="P96" i="222"/>
  <c r="P79" i="222"/>
  <c r="D114" i="79" s="1"/>
  <c r="M110" i="44"/>
  <c r="P68" i="44"/>
  <c r="N110" i="44"/>
  <c r="P79" i="44"/>
  <c r="D118" i="45" s="1"/>
  <c r="D91" i="51" s="1"/>
  <c r="P69" i="222"/>
  <c r="D104" i="79" s="1"/>
  <c r="P85" i="222"/>
  <c r="D123" i="79" s="1"/>
  <c r="P81" i="44"/>
  <c r="D123" i="45" s="1"/>
  <c r="D93" i="51" s="1"/>
  <c r="D69" i="45"/>
  <c r="D40" i="79"/>
  <c r="D171" i="45" l="1"/>
  <c r="D156" i="45"/>
  <c r="D54" i="45"/>
  <c r="D49" i="51"/>
  <c r="E109" i="222"/>
  <c r="D146" i="79"/>
  <c r="H49" i="100"/>
  <c r="J49" i="100" s="1"/>
  <c r="D144" i="45"/>
  <c r="D20" i="100"/>
  <c r="D32" i="79"/>
  <c r="D34" i="79" s="1"/>
  <c r="D36" i="45"/>
  <c r="D38" i="45" s="1"/>
  <c r="D18" i="46" s="1"/>
  <c r="D151" i="45"/>
  <c r="D117" i="51" s="1"/>
  <c r="D50" i="100"/>
  <c r="F50" i="100" s="1"/>
  <c r="D149" i="45"/>
  <c r="D48" i="100"/>
  <c r="D136" i="45"/>
  <c r="D70" i="51"/>
  <c r="D74" i="45"/>
  <c r="D107" i="45"/>
  <c r="H50" i="100"/>
  <c r="J50" i="100" s="1"/>
  <c r="D147" i="79"/>
  <c r="D132" i="45"/>
  <c r="D92" i="51"/>
  <c r="D78" i="45"/>
  <c r="D59" i="51"/>
  <c r="D64" i="45"/>
  <c r="J25" i="42"/>
  <c r="J29" i="42" s="1"/>
  <c r="D49" i="100"/>
  <c r="F49" i="100" s="1"/>
  <c r="D150" i="45"/>
  <c r="D116" i="51" s="1"/>
  <c r="H50" i="10" l="1"/>
  <c r="J31" i="42"/>
  <c r="D76" i="51"/>
  <c r="D82" i="45"/>
  <c r="D153" i="45"/>
  <c r="D115" i="51"/>
  <c r="D16" i="24"/>
  <c r="D113" i="51"/>
  <c r="D146" i="45"/>
  <c r="D119" i="45"/>
  <c r="D80" i="51"/>
  <c r="D19" i="46"/>
  <c r="D18" i="24" s="1"/>
  <c r="H18" i="24" s="1"/>
  <c r="D108" i="51"/>
  <c r="D139" i="45"/>
  <c r="F109" i="222"/>
  <c r="F48" i="100"/>
  <c r="F52" i="100" s="1"/>
  <c r="D52" i="100"/>
  <c r="K18" i="46"/>
  <c r="F20" i="100"/>
  <c r="F22" i="100" s="1"/>
  <c r="D22" i="100"/>
  <c r="D167" i="45"/>
  <c r="D119" i="51"/>
  <c r="D20" i="46" l="1"/>
  <c r="D20" i="24" s="1"/>
  <c r="H20" i="24" s="1"/>
  <c r="D134" i="51"/>
  <c r="D23" i="46"/>
  <c r="D26" i="24" s="1"/>
  <c r="H26" i="24" s="1"/>
  <c r="H16" i="24"/>
  <c r="G109" i="222"/>
  <c r="D25" i="46"/>
  <c r="D30" i="24" s="1"/>
  <c r="H30" i="24" s="1"/>
  <c r="D22" i="46"/>
  <c r="D24" i="24" s="1"/>
  <c r="H24" i="24" s="1"/>
  <c r="D173" i="45"/>
  <c r="D21" i="46"/>
  <c r="D22" i="24" s="1"/>
  <c r="H22" i="24" s="1"/>
  <c r="D24" i="46"/>
  <c r="D28" i="24" s="1"/>
  <c r="H28" i="24" s="1"/>
  <c r="F18" i="46"/>
  <c r="O18" i="46"/>
  <c r="D19" i="47" l="1"/>
  <c r="D16" i="69"/>
  <c r="H109" i="222"/>
  <c r="D32" i="24"/>
  <c r="H32" i="24" s="1"/>
  <c r="E15" i="84"/>
  <c r="I109" i="222" l="1"/>
  <c r="J32" i="24"/>
  <c r="E14" i="31"/>
  <c r="H16" i="69"/>
  <c r="D21" i="3" l="1"/>
  <c r="E22" i="31"/>
  <c r="J109" i="222"/>
  <c r="P51" i="222"/>
  <c r="D46" i="79" s="1"/>
  <c r="P64" i="222"/>
  <c r="D67" i="79" s="1"/>
  <c r="P48" i="222"/>
  <c r="D43" i="79" s="1"/>
  <c r="P60" i="222"/>
  <c r="D59" i="79" s="1"/>
  <c r="P49" i="222"/>
  <c r="D44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5" i="222"/>
  <c r="D160" i="79" s="1"/>
  <c r="P106" i="222"/>
  <c r="D161" i="79" s="1"/>
  <c r="P107" i="222"/>
  <c r="D162" i="79" s="1"/>
  <c r="P86" i="222"/>
  <c r="D124" i="79" s="1"/>
  <c r="P89" i="222"/>
  <c r="P82" i="222"/>
  <c r="P92" i="222"/>
  <c r="P65" i="222"/>
  <c r="P94" i="222"/>
  <c r="P67" i="222"/>
  <c r="D76" i="79" s="1"/>
  <c r="P90" i="222"/>
  <c r="D133" i="79" s="1"/>
  <c r="P98" i="222"/>
  <c r="D153" i="79" s="1"/>
  <c r="P97" i="222"/>
  <c r="P101" i="222" l="1"/>
  <c r="D156" i="79" s="1"/>
  <c r="D55" i="79"/>
  <c r="D60" i="79" s="1"/>
  <c r="D27" i="3"/>
  <c r="F21" i="3"/>
  <c r="H20" i="100"/>
  <c r="D140" i="79"/>
  <c r="D142" i="79" s="1"/>
  <c r="D152" i="79"/>
  <c r="D120" i="79"/>
  <c r="D128" i="79" s="1"/>
  <c r="K109" i="222"/>
  <c r="D132" i="79"/>
  <c r="D135" i="79" s="1"/>
  <c r="D145" i="79"/>
  <c r="D149" i="79" s="1"/>
  <c r="H48" i="100"/>
  <c r="P47" i="222"/>
  <c r="D74" i="79"/>
  <c r="D78" i="79" s="1"/>
  <c r="K24" i="46" l="1"/>
  <c r="H22" i="100"/>
  <c r="J20" i="100"/>
  <c r="J22" i="100" s="1"/>
  <c r="F27" i="3"/>
  <c r="D42" i="79"/>
  <c r="D50" i="79" s="1"/>
  <c r="L109" i="222"/>
  <c r="J48" i="100"/>
  <c r="J52" i="100" s="1"/>
  <c r="H52" i="100"/>
  <c r="K22" i="46"/>
  <c r="K23" i="46"/>
  <c r="O22" i="46" l="1"/>
  <c r="D24" i="69" s="1"/>
  <c r="H24" i="69" s="1"/>
  <c r="F22" i="46"/>
  <c r="O24" i="46"/>
  <c r="D28" i="69" s="1"/>
  <c r="H28" i="69" s="1"/>
  <c r="F24" i="46"/>
  <c r="F23" i="46"/>
  <c r="O23" i="46"/>
  <c r="D26" i="69" s="1"/>
  <c r="H26" i="69" s="1"/>
  <c r="D28" i="47"/>
  <c r="E28" i="84"/>
  <c r="E32" i="84" s="1"/>
  <c r="E16" i="1"/>
  <c r="K19" i="46"/>
  <c r="M109" i="222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8" i="222"/>
  <c r="D166" i="79" s="1"/>
  <c r="D167" i="79" s="1"/>
  <c r="P103" i="222" l="1"/>
  <c r="D158" i="79" s="1"/>
  <c r="P102" i="222"/>
  <c r="P63" i="222"/>
  <c r="O109" i="222"/>
  <c r="O19" i="46"/>
  <c r="F19" i="46"/>
  <c r="E24" i="1"/>
  <c r="D157" i="79"/>
  <c r="P68" i="222"/>
  <c r="J40" i="42"/>
  <c r="E17" i="84"/>
  <c r="E19" i="84" s="1"/>
  <c r="E23" i="84" s="1"/>
  <c r="N109" i="222"/>
  <c r="D163" i="79" l="1"/>
  <c r="K25" i="46" s="1"/>
  <c r="D103" i="79"/>
  <c r="D115" i="79" s="1"/>
  <c r="D18" i="69"/>
  <c r="D66" i="79"/>
  <c r="D70" i="79" s="1"/>
  <c r="J12" i="44"/>
  <c r="N12" i="44"/>
  <c r="D177" i="45"/>
  <c r="K12" i="44"/>
  <c r="O12" i="44"/>
  <c r="D23" i="47"/>
  <c r="M12" i="44"/>
  <c r="L12" i="44"/>
  <c r="H59" i="10"/>
  <c r="J41" i="42"/>
  <c r="D28" i="46" l="1"/>
  <c r="D31" i="46" s="1"/>
  <c r="D33" i="46" s="1"/>
  <c r="N54" i="202" s="1"/>
  <c r="N50" i="202" s="1"/>
  <c r="L50" i="202" s="1"/>
  <c r="D179" i="45"/>
  <c r="K20" i="46"/>
  <c r="D169" i="79"/>
  <c r="H18" i="69"/>
  <c r="D24" i="47"/>
  <c r="J42" i="42"/>
  <c r="H53" i="10" s="1"/>
  <c r="F25" i="46"/>
  <c r="O25" i="46"/>
  <c r="D30" i="69" s="1"/>
  <c r="H30" i="69" s="1"/>
  <c r="P12" i="44"/>
  <c r="K21" i="46"/>
  <c r="J44" i="42" l="1"/>
  <c r="D26" i="47"/>
  <c r="O20" i="46"/>
  <c r="F20" i="46"/>
  <c r="F21" i="46"/>
  <c r="O21" i="46"/>
  <c r="D22" i="69" s="1"/>
  <c r="H22" i="69" s="1"/>
  <c r="P110" i="44"/>
  <c r="H55" i="10"/>
  <c r="D181" i="45"/>
  <c r="H115" i="10" l="1"/>
  <c r="H58" i="10"/>
  <c r="H114" i="10"/>
  <c r="D20" i="69"/>
  <c r="F19" i="47"/>
  <c r="G15" i="84"/>
  <c r="D30" i="47"/>
  <c r="E18" i="1"/>
  <c r="H20" i="69" l="1"/>
  <c r="D32" i="69"/>
  <c r="H32" i="69" s="1"/>
  <c r="F15" i="84"/>
  <c r="E20" i="1"/>
  <c r="E26" i="1"/>
  <c r="L25" i="42"/>
  <c r="L29" i="42" s="1"/>
  <c r="H78" i="10"/>
  <c r="H80" i="10"/>
  <c r="H60" i="10"/>
  <c r="H62" i="10" s="1"/>
  <c r="H79" i="10"/>
  <c r="H77" i="10"/>
  <c r="H82" i="10"/>
  <c r="H76" i="10"/>
  <c r="H64" i="10" l="1"/>
  <c r="H66" i="10"/>
  <c r="E30" i="1"/>
  <c r="L31" i="42"/>
  <c r="G50" i="10"/>
  <c r="E14" i="67"/>
  <c r="D21" i="137" l="1"/>
  <c r="E22" i="67"/>
  <c r="D27" i="137" l="1"/>
  <c r="F21" i="137"/>
  <c r="F27" i="137" l="1"/>
  <c r="F28" i="47" l="1"/>
  <c r="I60" i="232"/>
  <c r="G28" i="84"/>
  <c r="G32" i="84" s="1"/>
  <c r="J28" i="47"/>
  <c r="G16" i="1"/>
  <c r="N16" i="1" s="1"/>
  <c r="G17" i="84" l="1"/>
  <c r="I64" i="232"/>
  <c r="L40" i="42"/>
  <c r="G24" i="1"/>
  <c r="N24" i="1" s="1"/>
  <c r="G59" i="10" l="1"/>
  <c r="L41" i="42"/>
  <c r="I62" i="232"/>
  <c r="I66" i="232" s="1"/>
  <c r="I68" i="232" s="1"/>
  <c r="I70" i="232" s="1"/>
  <c r="K76" i="232" s="1"/>
  <c r="F17" i="84"/>
  <c r="F19" i="84" s="1"/>
  <c r="G19" i="84"/>
  <c r="G23" i="84" s="1"/>
  <c r="F12" i="222" l="1"/>
  <c r="O28" i="46"/>
  <c r="O12" i="222"/>
  <c r="D12" i="222"/>
  <c r="J12" i="222"/>
  <c r="G12" i="222"/>
  <c r="K12" i="222"/>
  <c r="I12" i="222"/>
  <c r="L12" i="222"/>
  <c r="F23" i="47"/>
  <c r="N12" i="222"/>
  <c r="H12" i="222"/>
  <c r="F23" i="84"/>
  <c r="M12" i="222"/>
  <c r="E12" i="222"/>
  <c r="L42" i="42"/>
  <c r="G53" i="10" s="1"/>
  <c r="P12" i="222" l="1"/>
  <c r="F24" i="47"/>
  <c r="L44" i="42"/>
  <c r="O31" i="46"/>
  <c r="O33" i="46" s="1"/>
  <c r="G55" i="10"/>
  <c r="G114" i="10" l="1"/>
  <c r="G115" i="10"/>
  <c r="G58" i="10"/>
  <c r="F26" i="47"/>
  <c r="D173" i="79"/>
  <c r="P109" i="222"/>
  <c r="F30" i="47" l="1"/>
  <c r="G18" i="1"/>
  <c r="N18" i="1" s="1"/>
  <c r="G78" i="10"/>
  <c r="G60" i="10"/>
  <c r="G62" i="10" s="1"/>
  <c r="G80" i="10"/>
  <c r="G79" i="10"/>
  <c r="G77" i="10"/>
  <c r="G82" i="10"/>
  <c r="G76" i="10"/>
  <c r="K28" i="46"/>
  <c r="D175" i="79"/>
  <c r="G64" i="10" l="1"/>
  <c r="G66" i="10"/>
  <c r="G20" i="1"/>
  <c r="N20" i="1" s="1"/>
  <c r="G26" i="1"/>
  <c r="N26" i="1" s="1"/>
  <c r="D177" i="79"/>
  <c r="F28" i="46"/>
  <c r="F31" i="46" s="1"/>
  <c r="F33" i="46" s="1"/>
  <c r="K31" i="46"/>
  <c r="M28" i="46"/>
  <c r="M31" i="46" s="1"/>
  <c r="M33" i="46" s="1"/>
  <c r="V54" i="202" l="1"/>
  <c r="V50" i="202" s="1"/>
  <c r="T50" i="202" s="1"/>
  <c r="K33" i="46"/>
  <c r="G30" i="1"/>
  <c r="N30" i="1" s="1"/>
  <c r="G32" i="1" l="1"/>
  <c r="N32" i="1" s="1"/>
  <c r="G36" i="1" l="1"/>
  <c r="N36" i="1" s="1"/>
  <c r="H15" i="47"/>
  <c r="M37" i="46" l="1"/>
  <c r="J15" i="47"/>
  <c r="H21" i="47"/>
  <c r="J21" i="47" s="1"/>
  <c r="H19" i="47"/>
  <c r="H23" i="47" l="1"/>
  <c r="J23" i="47" s="1"/>
  <c r="J19" i="47"/>
  <c r="J24" i="47" l="1"/>
  <c r="J26" i="47" s="1"/>
  <c r="J30" i="47" s="1"/>
  <c r="H24" i="47"/>
  <c r="H26" i="47" s="1"/>
  <c r="D34" i="49" l="1"/>
  <c r="D35" i="49" l="1"/>
  <c r="L144" i="51"/>
  <c r="L146" i="51" s="1"/>
  <c r="L148" i="51" s="1"/>
  <c r="D28" i="49" l="1"/>
  <c r="L134" i="51"/>
  <c r="L141" i="51" s="1"/>
  <c r="P141" i="51" s="1"/>
  <c r="P110" i="51"/>
  <c r="P134" i="51" s="1"/>
  <c r="D29" i="49" l="1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<sst xmlns="http://schemas.openxmlformats.org/spreadsheetml/2006/main" count="5375" uniqueCount="1649">
  <si>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</si>
  <si>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</si>
  <si>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</si>
  <si>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</si>
  <si>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</si>
  <si>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</si>
  <si>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</si>
  <si>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</si>
  <si>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</si>
  <si>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</si>
  <si>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</si>
  <si>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</si>
  <si>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</si>
  <si>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</si>
  <si>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</si>
  <si>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</si>
  <si>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</si>
  <si>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</si>
  <si>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</si>
  <si>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</si>
  <si>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</si>
  <si>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</si>
  <si>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</si>
  <si>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</si>
  <si>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</si>
  <si>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</si>
  <si>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</si>
  <si>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</si>
  <si>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</si>
  <si>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</si>
  <si>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</si>
  <si>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</si>
  <si>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</si>
  <si>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</si>
  <si>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</si>
  <si>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</si>
  <si>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</si>
  <si>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</si>
  <si>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</si>
  <si>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</si>
  <si>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</si>
  <si>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</si>
  <si>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</si>
  <si>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</si>
  <si>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</si>
  <si>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</si>
  <si>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</si>
  <si>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</si>
  <si>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</si>
  <si>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</si>
  <si>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</si>
  <si>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</si>
  <si>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</si>
  <si>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</si>
  <si>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</si>
  <si>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12</t>
  </si>
  <si>
    <t>13</t>
  </si>
  <si>
    <t>14</t>
  </si>
  <si>
    <t>15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</si>
  <si>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</si>
  <si>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</si>
  <si>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</si>
  <si>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</si>
  <si>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</si>
  <si>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</si>
  <si>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</si>
  <si>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</si>
  <si>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</si>
  <si>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</si>
  <si>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</si>
  <si>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</si>
  <si>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</si>
  <si>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</si>
  <si>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</si>
  <si>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</si>
  <si>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</si>
  <si>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</si>
  <si>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</si>
  <si>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</si>
  <si>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</si>
  <si>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</si>
  <si>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</si>
  <si>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</si>
  <si>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</si>
  <si>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</si>
  <si>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</si>
  <si>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</si>
  <si>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</si>
  <si>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</si>
  <si>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</si>
  <si>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</si>
  <si>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</si>
  <si>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</si>
  <si>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</si>
  <si>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</si>
  <si>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</si>
  <si>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</si>
  <si>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</si>
  <si>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</si>
  <si>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</si>
  <si>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</si>
  <si>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</si>
  <si>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</si>
  <si>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</si>
  <si>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</si>
  <si>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</si>
  <si>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</si>
  <si>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</si>
  <si>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</si>
  <si>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</si>
  <si>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</si>
  <si>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</si>
  <si>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</si>
  <si>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</si>
  <si>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</si>
  <si>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</si>
  <si>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</si>
  <si>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</si>
  <si>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</si>
  <si>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</si>
  <si>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</si>
  <si>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</si>
  <si>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</si>
  <si>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</si>
  <si>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</si>
  <si>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</si>
  <si>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</si>
  <si>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</si>
  <si>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</si>
  <si>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</si>
  <si>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</si>
  <si>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</si>
  <si>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</si>
  <si>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</si>
  <si>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</si>
  <si>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</si>
  <si>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</si>
  <si>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</si>
  <si>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</si>
  <si>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</si>
  <si>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</si>
  <si>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</si>
  <si>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</si>
  <si>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</si>
  <si>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</si>
  <si>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</si>
  <si>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</si>
  <si>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</si>
  <si>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</si>
  <si>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</si>
  <si>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</si>
  <si>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</si>
  <si>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</si>
  <si>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</si>
  <si>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</si>
  <si>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</si>
  <si>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</si>
  <si>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</si>
  <si>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</si>
  <si>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</si>
  <si>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</si>
  <si>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</si>
  <si>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</si>
  <si>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</si>
  <si>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</si>
  <si>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</si>
  <si>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</si>
  <si>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</si>
  <si>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</si>
  <si>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</si>
  <si>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</si>
  <si>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</si>
  <si>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</si>
  <si>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</si>
  <si>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</si>
  <si>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</si>
  <si>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</si>
  <si>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</si>
  <si>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</si>
  <si>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</si>
  <si>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</si>
  <si>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</si>
  <si>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</si>
  <si>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</si>
  <si>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</si>
  <si>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</si>
  <si>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</si>
  <si>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</si>
  <si>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</si>
  <si>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</si>
  <si>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</si>
  <si>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</si>
  <si>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</si>
  <si>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</si>
  <si>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</si>
  <si>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</si>
  <si>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</si>
  <si>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</si>
  <si>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</si>
  <si>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</si>
  <si>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</si>
  <si>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</si>
  <si>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</si>
  <si>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</si>
  <si>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</si>
  <si>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</si>
  <si>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</si>
  <si>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</si>
  <si>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</si>
  <si>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</si>
  <si>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</si>
  <si>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</si>
  <si>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</si>
  <si>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</si>
  <si>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</si>
  <si>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</si>
  <si>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</si>
  <si>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</si>
  <si>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</si>
  <si>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</si>
  <si>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</si>
  <si>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</si>
  <si>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</si>
  <si>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</si>
  <si>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</si>
  <si>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</si>
  <si>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</si>
  <si>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</si>
  <si>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</si>
  <si>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</si>
  <si>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</si>
  <si>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</si>
  <si>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</si>
  <si>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</si>
  <si>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</si>
  <si>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</si>
  <si>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</si>
  <si>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</si>
  <si>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</si>
  <si>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</si>
  <si>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</si>
  <si>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</si>
  <si>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</si>
  <si>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</si>
  <si>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</si>
  <si>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</si>
  <si>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</si>
  <si>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</si>
  <si>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</si>
  <si>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</si>
  <si>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</si>
  <si>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</si>
  <si>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</si>
  <si>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</si>
  <si>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</si>
  <si>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</si>
  <si>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</si>
  <si>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</si>
  <si>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</si>
  <si>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</si>
  <si>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</si>
  <si>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</si>
  <si>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</si>
  <si>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</si>
  <si>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</si>
  <si>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</si>
  <si>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</si>
  <si>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</si>
  <si>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</si>
  <si>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</si>
  <si>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</si>
  <si>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</si>
  <si>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</si>
  <si>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</si>
  <si>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</si>
  <si>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</si>
  <si>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</si>
  <si>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</si>
  <si>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</si>
  <si>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</si>
  <si>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</si>
  <si>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</si>
  <si>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</si>
  <si>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</si>
  <si>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</si>
  <si>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</si>
  <si>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</si>
  <si>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</si>
  <si>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</si>
  <si>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</si>
  <si>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</si>
  <si>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</si>
  <si>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</si>
  <si>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</si>
  <si>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</si>
  <si>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</si>
  <si>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</si>
  <si>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</si>
  <si>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</si>
  <si>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</si>
  <si>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</si>
  <si>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</si>
  <si>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</si>
  <si>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</si>
  <si>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</si>
  <si>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</si>
  <si>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</si>
  <si>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</si>
  <si>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</si>
  <si>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</si>
  <si>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</si>
  <si>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</si>
  <si>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</si>
  <si>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</si>
  <si>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</si>
  <si>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</si>
  <si>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</si>
  <si>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</si>
  <si>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</si>
  <si>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</si>
  <si>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</si>
  <si>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</si>
  <si>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</si>
  <si>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Senior Vice President, Human Resources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</si>
  <si>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</si>
  <si>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</si>
  <si>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</si>
  <si>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</si>
  <si>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</si>
  <si>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</si>
  <si>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</si>
  <si>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</si>
  <si>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</si>
  <si>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</si>
  <si>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</si>
  <si>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</si>
  <si>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</si>
  <si>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</si>
  <si>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</si>
  <si>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</si>
  <si>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</si>
  <si>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</si>
  <si>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</si>
  <si>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</si>
  <si>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</si>
  <si>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</si>
  <si>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</si>
  <si>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</si>
  <si>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Trucks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</si>
  <si>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</si>
  <si>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</si>
  <si>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</si>
  <si>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</si>
  <si>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</si>
  <si>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</si>
  <si>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</si>
  <si>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</si>
  <si>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</si>
  <si>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</si>
  <si>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</si>
  <si>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</si>
  <si>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</si>
  <si>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</si>
  <si>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</si>
  <si>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</si>
  <si>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</si>
  <si>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</si>
  <si>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</si>
  <si>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</si>
  <si>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</si>
  <si>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</si>
  <si>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</si>
  <si>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</si>
  <si>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</si>
  <si>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</si>
  <si>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</si>
  <si>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</si>
  <si>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</si>
  <si>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</si>
  <si>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</si>
  <si>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</si>
  <si>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</si>
  <si>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</si>
  <si>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</si>
  <si>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</si>
  <si>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</si>
  <si>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</si>
  <si>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</si>
  <si>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</si>
  <si>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11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</si>
  <si>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</si>
  <si>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</si>
  <si>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</si>
  <si>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</si>
  <si>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</si>
  <si>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</si>
  <si>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</si>
  <si>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</si>
  <si>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</si>
  <si>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</si>
  <si>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</si>
  <si>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</si>
  <si>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</si>
  <si>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</si>
  <si>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Senior Vice President, Chief Financial Officer</t>
  </si>
  <si>
    <t>Senior Vice President, Utility Operations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</si>
  <si>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</si>
  <si>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</si>
  <si>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</si>
  <si>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</si>
  <si>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</si>
  <si>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</si>
  <si>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</si>
  <si>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</si>
  <si>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</si>
  <si>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</si>
  <si>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</si>
  <si>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</si>
  <si>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</si>
  <si>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</si>
  <si>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</si>
  <si>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</si>
  <si>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</si>
  <si>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</si>
  <si>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</si>
  <si>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</si>
  <si>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</si>
  <si>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</si>
  <si>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</si>
  <si>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</si>
  <si>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</si>
  <si>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</si>
  <si>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</si>
  <si>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</si>
  <si>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</si>
  <si>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</si>
  <si>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</si>
  <si>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</si>
  <si>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</si>
  <si>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</si>
  <si>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</si>
  <si>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</si>
  <si>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</si>
  <si>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</si>
  <si>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</si>
  <si>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</si>
  <si>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</si>
  <si>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</si>
  <si>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</si>
  <si>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</si>
  <si>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</si>
  <si>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</si>
  <si>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</si>
  <si>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</si>
  <si>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</si>
  <si>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</si>
  <si>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</si>
  <si>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</si>
  <si>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</si>
  <si>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</si>
  <si>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</si>
  <si>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</si>
  <si>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</si>
  <si>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</si>
  <si>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</si>
  <si>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</si>
  <si>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</si>
  <si>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</si>
  <si>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</si>
  <si>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</si>
  <si>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</si>
  <si>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</si>
  <si>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</si>
  <si>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</si>
  <si>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</si>
  <si>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</si>
  <si>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</si>
  <si>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Senior Vice President and General Counsel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</si>
  <si>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</si>
  <si>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</si>
  <si>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</si>
  <si>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</si>
  <si>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</si>
  <si>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</si>
  <si>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</si>
  <si>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</si>
  <si>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</si>
  <si>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</si>
  <si>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</si>
  <si>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</si>
  <si>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</si>
  <si>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</si>
  <si>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</si>
  <si>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</si>
  <si>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</si>
  <si>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</si>
  <si>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</si>
  <si>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</si>
  <si>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</si>
  <si>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</si>
  <si>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</si>
  <si>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</si>
  <si>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</si>
  <si>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</si>
  <si>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</si>
  <si>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</si>
  <si>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</si>
  <si>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</si>
  <si>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</si>
  <si>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</si>
  <si>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</si>
  <si>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</si>
  <si>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</si>
  <si>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</si>
  <si>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</si>
  <si>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</si>
  <si>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</si>
  <si>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</si>
  <si>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</si>
  <si>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</si>
  <si>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</si>
  <si>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</si>
  <si>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</si>
  <si>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</si>
  <si>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</si>
  <si>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</si>
  <si>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</si>
  <si>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</si>
  <si>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</si>
  <si>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</si>
  <si>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</si>
  <si>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</si>
  <si>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</si>
  <si>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</si>
  <si>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</si>
  <si>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</si>
  <si>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</si>
  <si>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</si>
  <si>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</si>
  <si>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</si>
  <si>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</si>
  <si>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</si>
  <si>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</si>
  <si>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</si>
  <si>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</si>
  <si>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</si>
  <si>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</si>
  <si>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</si>
  <si>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</si>
  <si>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</si>
  <si>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</si>
  <si>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</si>
  <si>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</si>
  <si>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</si>
  <si>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</si>
  <si>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</si>
  <si>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</si>
  <si>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</si>
  <si>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</si>
  <si>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</si>
  <si>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</si>
  <si>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</si>
  <si>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</si>
  <si>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</si>
  <si>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</si>
  <si>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</si>
  <si>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</si>
  <si>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</si>
  <si>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</si>
  <si>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</si>
  <si>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</si>
  <si>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</si>
  <si>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</si>
  <si>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</si>
  <si>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</si>
  <si>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</si>
  <si>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</si>
  <si>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</si>
  <si>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</si>
  <si>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</si>
  <si>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</si>
  <si>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</si>
  <si>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</si>
  <si>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</si>
  <si>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</si>
  <si>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</si>
  <si>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</si>
  <si>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</si>
  <si>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</si>
  <si>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</si>
  <si>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</si>
  <si>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</si>
  <si>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</si>
  <si>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</si>
  <si>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</si>
  <si>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</si>
  <si>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</si>
  <si>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</si>
  <si>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</si>
  <si>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</si>
  <si>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</si>
  <si>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</si>
  <si>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</si>
  <si>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</si>
  <si>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</si>
  <si>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</si>
  <si>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</si>
  <si>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</si>
  <si>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</si>
  <si>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</si>
  <si>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</si>
  <si>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</si>
  <si>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</si>
  <si>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</si>
  <si>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</si>
  <si>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</si>
  <si>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</si>
  <si>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</si>
  <si>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</si>
  <si>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</si>
  <si>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</si>
  <si>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</si>
  <si>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</si>
  <si>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</si>
  <si>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</si>
  <si>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</si>
  <si>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</si>
  <si>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</si>
  <si>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</si>
  <si>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</si>
  <si>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</si>
  <si>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</si>
  <si>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</si>
  <si>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</si>
  <si>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</si>
  <si>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</si>
  <si>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</si>
  <si>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</si>
  <si>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</si>
  <si>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</si>
  <si>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</si>
  <si>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</si>
  <si>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</si>
  <si>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</si>
  <si>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</si>
  <si>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</si>
  <si>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</si>
  <si>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</si>
  <si>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</si>
  <si>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</si>
  <si>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</si>
  <si>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</si>
  <si>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</si>
  <si>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</si>
  <si>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</si>
  <si>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</si>
  <si>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</si>
  <si>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</si>
  <si>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</si>
  <si>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</si>
  <si>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</si>
  <si>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</si>
  <si>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</si>
  <si>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</si>
  <si>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</si>
  <si>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</si>
  <si>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</si>
  <si>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</si>
  <si>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</si>
  <si>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</si>
  <si>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</si>
  <si>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</si>
  <si>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</si>
  <si>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</si>
  <si>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</si>
  <si>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</si>
  <si>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</si>
  <si>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</si>
  <si>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</si>
  <si>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</si>
  <si>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</si>
  <si>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</si>
  <si>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</si>
  <si>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</si>
  <si>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</si>
  <si>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</si>
  <si>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</si>
  <si>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</si>
  <si>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</si>
  <si>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</si>
  <si>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</si>
  <si>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</si>
  <si>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</si>
  <si>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</si>
  <si>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</si>
  <si>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</si>
  <si>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</si>
  <si>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</si>
  <si>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</si>
  <si>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</si>
  <si>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</si>
  <si>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</si>
  <si>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</si>
  <si>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</si>
  <si>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</si>
  <si>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</si>
  <si>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</si>
  <si>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</si>
  <si>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</si>
  <si>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</si>
  <si>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</si>
  <si>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</si>
  <si>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</si>
  <si>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</si>
  <si>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</si>
  <si>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</si>
  <si>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</si>
  <si>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</si>
  <si>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</si>
  <si>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</si>
  <si>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</si>
  <si>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</si>
  <si>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</si>
  <si>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</si>
  <si>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</si>
  <si>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</si>
  <si>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</si>
  <si>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</si>
  <si>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</si>
  <si>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</si>
  <si>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</si>
  <si>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</si>
  <si>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</si>
  <si>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</si>
  <si>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</si>
  <si>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</si>
  <si>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</si>
  <si>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</si>
  <si>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</si>
  <si>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</si>
  <si>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</si>
  <si>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</si>
  <si>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</si>
  <si>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</si>
  <si>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</si>
  <si>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</si>
  <si>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</si>
  <si>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</si>
  <si>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</si>
  <si>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</si>
  <si>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</si>
  <si>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</si>
  <si>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</si>
  <si>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</si>
  <si>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</si>
  <si>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</si>
  <si>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</si>
  <si>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</si>
  <si>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</si>
  <si>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</si>
  <si>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</si>
  <si>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</si>
  <si>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</si>
  <si>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</si>
  <si>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</si>
  <si>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</si>
  <si>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</si>
  <si>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</si>
  <si>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</si>
  <si>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</si>
  <si>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</si>
  <si>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</si>
  <si>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</si>
  <si>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</si>
  <si>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</si>
  <si>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</si>
  <si>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</si>
  <si>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</si>
  <si>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</si>
  <si>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</si>
  <si>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</si>
  <si>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</si>
  <si>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</si>
  <si>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</si>
  <si>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</si>
  <si>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</si>
  <si>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</si>
  <si>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</si>
  <si>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</si>
  <si>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</si>
  <si>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</si>
  <si>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</si>
  <si>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</si>
  <si>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</si>
  <si>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</si>
  <si>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</si>
  <si>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</si>
  <si>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</si>
  <si>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</si>
  <si>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</si>
  <si>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</si>
  <si>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</si>
  <si>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</si>
  <si>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</si>
  <si>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</si>
  <si>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</si>
  <si>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</si>
  <si>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</si>
  <si>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</si>
  <si>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</si>
  <si>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</si>
  <si>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</si>
  <si>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</si>
  <si>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</si>
  <si>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</si>
  <si>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</si>
  <si>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</si>
  <si>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</si>
  <si>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</si>
  <si>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</si>
  <si>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</si>
  <si>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</si>
  <si>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</si>
  <si>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</si>
  <si>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</si>
  <si>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</si>
  <si>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</si>
  <si>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</si>
  <si>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</si>
  <si>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</si>
  <si>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</si>
  <si>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</si>
  <si>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</si>
  <si>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</si>
  <si>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</si>
  <si>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</si>
  <si>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</si>
  <si>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</si>
  <si>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</si>
  <si>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</si>
  <si>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</si>
  <si>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</si>
  <si>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</si>
  <si>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</si>
  <si>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</si>
  <si>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</si>
  <si>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</si>
  <si>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</si>
  <si>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</si>
  <si>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</si>
  <si>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</si>
  <si>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</si>
  <si>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</si>
  <si>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</si>
  <si>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</si>
  <si>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</si>
  <si>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</si>
  <si>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</si>
  <si>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</si>
  <si>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</si>
  <si>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</si>
  <si>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</si>
  <si>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</si>
  <si>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</si>
  <si>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</si>
  <si>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</si>
  <si>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</si>
  <si>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</si>
  <si>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</si>
  <si>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Communication Equipment - Mobile Radios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</si>
  <si>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</si>
  <si>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</si>
  <si>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</si>
  <si>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</si>
  <si>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</si>
  <si>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</si>
  <si>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</si>
  <si>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</si>
  <si>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</si>
  <si>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</si>
  <si>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</si>
  <si>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</si>
  <si>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</si>
  <si>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</si>
  <si>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</si>
  <si>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</si>
  <si>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</si>
  <si>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</si>
  <si>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</si>
  <si>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</si>
  <si>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</si>
  <si>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</si>
  <si>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</si>
  <si>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</si>
  <si>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</si>
  <si>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</si>
  <si>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</si>
  <si>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</si>
  <si>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</si>
  <si>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</si>
  <si>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</si>
  <si>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</si>
  <si>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</si>
  <si>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</si>
  <si>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</si>
  <si>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</si>
  <si>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</si>
  <si>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</si>
  <si>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</si>
  <si>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</si>
  <si>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</si>
  <si>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</si>
  <si>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</si>
  <si>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</si>
  <si>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</si>
  <si>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</si>
  <si>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</si>
  <si>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</si>
  <si>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</si>
  <si>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</si>
  <si>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</si>
  <si>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</si>
  <si>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</si>
  <si>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</si>
  <si>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</si>
  <si>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</si>
  <si>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</si>
  <si>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</si>
  <si>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</si>
  <si>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</si>
  <si>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</si>
  <si>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</si>
  <si>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</si>
  <si>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</si>
  <si>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</si>
  <si>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</si>
  <si>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</si>
  <si>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</si>
  <si>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</si>
  <si>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</si>
  <si>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</si>
  <si>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</si>
  <si>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</si>
  <si>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</si>
  <si>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</si>
  <si>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</si>
  <si>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</si>
  <si>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</si>
  <si>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</si>
  <si>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</si>
  <si>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</si>
  <si>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</si>
  <si>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</si>
  <si>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</si>
  <si>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</si>
  <si>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</si>
  <si>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</si>
  <si>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</si>
  <si>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</si>
  <si>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</si>
  <si>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</si>
  <si>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</si>
  <si>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</si>
  <si>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</si>
  <si>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</si>
  <si>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</si>
  <si>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</si>
  <si>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</si>
  <si>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</si>
  <si>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</si>
  <si>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</si>
  <si>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</si>
  <si>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</si>
  <si>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</si>
  <si>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</si>
  <si>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</si>
  <si>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</si>
  <si>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</si>
  <si>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</si>
  <si>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</si>
  <si>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</si>
  <si>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</si>
  <si>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</si>
  <si>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</si>
  <si>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</si>
  <si>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</si>
  <si>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</si>
  <si>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</si>
  <si>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</si>
  <si>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</si>
  <si>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</si>
  <si>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</si>
  <si>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</si>
  <si>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</si>
  <si>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</si>
  <si>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</si>
  <si>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</si>
  <si>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</si>
  <si>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</si>
  <si>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</si>
  <si>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</si>
  <si>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</si>
  <si>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</si>
  <si>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</si>
  <si>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</si>
  <si>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</si>
  <si>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</si>
  <si>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</si>
  <si>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</si>
  <si>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</si>
  <si>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</si>
  <si>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</si>
  <si>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</si>
  <si>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</si>
  <si>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</si>
  <si>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</si>
  <si>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</si>
  <si>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</si>
  <si>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</si>
  <si>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</si>
  <si>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</si>
  <si>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</si>
  <si>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</si>
  <si>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</si>
  <si>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</si>
  <si>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</si>
  <si>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</si>
  <si>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</si>
  <si>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</si>
  <si>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</si>
  <si>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</si>
  <si>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</si>
  <si>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</si>
  <si>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</si>
  <si>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</si>
  <si>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</si>
  <si>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</si>
  <si>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</si>
  <si>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</si>
  <si>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</si>
  <si>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</si>
  <si>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</si>
  <si>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</si>
  <si>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</si>
  <si>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</si>
  <si>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</si>
  <si>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</si>
  <si>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</si>
  <si>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</si>
  <si>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</si>
  <si>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</si>
  <si>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</si>
  <si>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</si>
  <si>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</si>
  <si>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</si>
  <si>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</si>
  <si>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</si>
  <si>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</si>
  <si>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</si>
  <si>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</si>
  <si>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</si>
  <si>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</si>
  <si>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</si>
  <si>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</si>
  <si>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</si>
  <si>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</si>
  <si>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</si>
  <si>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</si>
  <si>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</si>
  <si>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</si>
  <si>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</si>
  <si>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</si>
  <si>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</si>
  <si>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</si>
  <si>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</si>
  <si>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</si>
  <si>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</si>
  <si>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</si>
  <si>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</si>
  <si>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</si>
  <si>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</si>
  <si>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</si>
  <si>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</si>
  <si>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</si>
  <si>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</si>
  <si>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</si>
  <si>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</si>
  <si>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</si>
  <si>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</si>
  <si>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</si>
  <si>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</si>
  <si>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</si>
  <si>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</si>
  <si>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</si>
  <si>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</si>
  <si>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</si>
  <si>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</si>
  <si>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</si>
  <si>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</si>
  <si>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</si>
  <si>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</si>
  <si>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</si>
  <si>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</si>
  <si>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</si>
  <si>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</si>
  <si>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</si>
  <si>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</si>
  <si>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</si>
  <si>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</si>
  <si>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</si>
  <si>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</si>
  <si>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</si>
  <si>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</si>
  <si>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</si>
  <si>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</si>
  <si>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</si>
  <si>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</si>
  <si>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</si>
  <si>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</si>
  <si>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</si>
  <si>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</si>
  <si>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</si>
  <si>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</si>
  <si>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</si>
  <si>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</si>
  <si>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</si>
  <si>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</si>
  <si>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</si>
  <si>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</si>
  <si>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</si>
  <si>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</si>
  <si>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</si>
  <si>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</si>
  <si>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</si>
  <si>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</si>
  <si>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</si>
  <si>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</si>
  <si>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</si>
  <si>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</si>
  <si>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</si>
  <si>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</si>
  <si>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</si>
  <si>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</si>
  <si>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</si>
  <si>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</si>
  <si>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</si>
  <si>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</si>
  <si>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</si>
  <si>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</si>
  <si>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</si>
  <si>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</si>
  <si>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</si>
  <si>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</si>
  <si>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</si>
  <si>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</si>
  <si>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</si>
  <si>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</si>
  <si>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</si>
  <si>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</si>
  <si>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</si>
  <si>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</si>
  <si>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</si>
  <si>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</si>
  <si>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</si>
  <si>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</si>
  <si>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</si>
  <si>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</si>
  <si>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</si>
  <si>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</si>
  <si>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</si>
  <si>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</si>
  <si>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</si>
  <si>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</si>
  <si>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</si>
  <si>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</si>
  <si>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</si>
  <si>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</si>
  <si>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</si>
  <si>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</si>
  <si>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</si>
  <si>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</si>
  <si>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</si>
  <si>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</si>
  <si>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</si>
  <si>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</si>
  <si>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</si>
  <si>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</si>
  <si>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</si>
  <si>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</si>
  <si>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</si>
  <si>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</si>
  <si>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</si>
  <si>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</si>
  <si>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</si>
  <si>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</si>
  <si>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</si>
  <si>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</si>
  <si>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</si>
  <si>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</si>
  <si>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</si>
  <si>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</si>
  <si>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</si>
  <si>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</si>
  <si>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</si>
  <si>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</si>
  <si>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</si>
  <si>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</si>
  <si>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</si>
  <si>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</si>
  <si>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</si>
  <si>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</si>
  <si>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</si>
  <si>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</si>
  <si>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</si>
  <si>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</si>
  <si>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</si>
  <si>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</si>
  <si>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</si>
  <si>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</si>
  <si>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</si>
  <si>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</si>
  <si>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</si>
  <si>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</si>
  <si>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</si>
  <si>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</si>
  <si>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</si>
  <si>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</si>
  <si>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</si>
  <si>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</si>
  <si>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</si>
  <si>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</si>
  <si>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</si>
  <si>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</si>
  <si>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</si>
  <si>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</si>
  <si>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</si>
  <si>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</si>
  <si>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</si>
  <si>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</si>
  <si>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</si>
  <si>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</si>
  <si>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</si>
  <si>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</si>
  <si>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</si>
  <si>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</si>
  <si>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</si>
  <si>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</si>
  <si>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</si>
  <si>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</si>
  <si>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</si>
  <si>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</si>
  <si>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</si>
  <si>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</si>
  <si>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</si>
  <si>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</si>
  <si>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</si>
  <si>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</si>
  <si>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</si>
  <si>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</si>
  <si>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</si>
  <si>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</si>
  <si>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</si>
  <si>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</si>
  <si>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</si>
  <si>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</si>
  <si>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</si>
  <si>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CAMPBELLSVILLE-TAYLOR COUNTY CHAMBER OF COMMERCE</t>
  </si>
  <si>
    <t>CAVE CITY CHAMBER OF COMMERCE</t>
  </si>
  <si>
    <t>CRITTENDEN COUNTY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</si>
  <si>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</si>
  <si>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</si>
  <si>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</si>
  <si>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</si>
  <si>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</si>
  <si>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</si>
  <si>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GREENSBURG-GREEN CO. CHAMBER OF COMMERCE</t>
  </si>
  <si>
    <t>HART COUNTY CHAMBER OF COMMERCE</t>
  </si>
  <si>
    <t>HOPKINS COUNTY HOME BUILDERS ASSOCIATION</t>
  </si>
  <si>
    <t>KENTUCKY ASSOCIATION OF MANUFACTURERS</t>
  </si>
  <si>
    <t>KENTUCKY GAS ASSOCIATION</t>
  </si>
  <si>
    <t>LAKE BARKLEY CHAMBER OF COMMERCE</t>
  </si>
  <si>
    <t>LEADERSHIP KENTUCKY</t>
  </si>
  <si>
    <t>LINCOLN COUNTY CHAMBER OF COMMERCE</t>
  </si>
  <si>
    <t>MARION MAIN STREET INC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</si>
  <si>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</si>
  <si>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</si>
  <si>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</si>
  <si>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</si>
  <si>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</si>
  <si>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</si>
  <si>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</si>
  <si>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</si>
  <si>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</si>
  <si>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</si>
  <si>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</si>
  <si>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</si>
  <si>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</si>
  <si>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Danville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</si>
  <si>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</si>
  <si>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</si>
  <si>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</si>
  <si>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</si>
  <si>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</si>
  <si>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</si>
  <si>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</si>
  <si>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</si>
  <si>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</si>
  <si>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</si>
  <si>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</si>
  <si>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</si>
  <si>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</si>
  <si>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</si>
  <si>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</si>
  <si>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</si>
  <si>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>normalized use per customer in the test year, and changes in gas costs between the periods.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</si>
  <si>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</si>
  <si>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</si>
  <si>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</si>
  <si>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</si>
  <si>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</si>
  <si>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</si>
  <si>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</si>
  <si>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</si>
  <si>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</si>
  <si>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changes in demand for existing industries and account for migration to transportation service from </t>
  </si>
  <si>
    <t>sales services.</t>
  </si>
  <si>
    <t>average normalized use per customer in the test year, and changes in gas costs between the periods.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</si>
  <si>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</si>
  <si>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</si>
  <si>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</si>
  <si>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</si>
  <si>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</si>
  <si>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</si>
  <si>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</si>
  <si>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</si>
  <si>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</si>
  <si>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</si>
  <si>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</si>
  <si>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</si>
  <si>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</si>
  <si>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</si>
  <si>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</si>
  <si>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</si>
  <si>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</si>
  <si>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</si>
  <si>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</si>
  <si>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</si>
  <si>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</si>
  <si>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</si>
  <si>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</si>
  <si>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</si>
  <si>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</si>
  <si>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President and CEO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</si>
  <si>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</si>
  <si>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</si>
  <si>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</si>
  <si>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</si>
  <si>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</si>
  <si>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</si>
  <si>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</si>
  <si>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</si>
  <si>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</si>
  <si>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as of September 30, 2016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</si>
  <si>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</si>
  <si>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</si>
  <si>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</si>
  <si>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</si>
  <si>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</si>
  <si>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</si>
  <si>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</si>
  <si>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</si>
  <si>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</si>
  <si>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</si>
  <si>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</si>
  <si>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</si>
  <si>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</si>
  <si>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</si>
  <si>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</si>
  <si>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</si>
  <si>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</si>
  <si>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</si>
  <si>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</si>
  <si>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</si>
  <si>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</si>
  <si>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</si>
  <si>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</si>
  <si>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</si>
  <si>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</si>
  <si>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</si>
  <si>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</si>
  <si>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</si>
  <si>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Waller, Smith</t>
  </si>
  <si>
    <t>Witness: Waller</t>
  </si>
  <si>
    <t>Witness:  Waller, Smith</t>
  </si>
  <si>
    <t>Witness: Schneider, Waller</t>
  </si>
  <si>
    <t>Witness: Schneider, Smith</t>
  </si>
  <si>
    <t>Witness: Schneider, Smith, and Waller</t>
  </si>
  <si>
    <t>OM for KY-2015.xlsx</t>
  </si>
  <si>
    <t>KY Plant Data-2015.xlsx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</si>
  <si>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</si>
  <si>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</si>
  <si>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</si>
  <si>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</si>
  <si>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</si>
  <si>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</si>
  <si>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</si>
  <si>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</si>
  <si>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</si>
  <si>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</si>
  <si>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</si>
  <si>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Thirteen Month Average as of September 30, 2016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</si>
  <si>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</si>
  <si>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</si>
  <si>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</si>
  <si>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</si>
  <si>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</si>
  <si>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</si>
  <si>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</si>
  <si>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</si>
  <si>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</si>
  <si>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</si>
  <si>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</si>
  <si>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</si>
  <si>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</si>
  <si>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</si>
  <si>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</si>
  <si>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</si>
  <si>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</si>
  <si>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</si>
  <si>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</si>
  <si>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</si>
  <si>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</si>
  <si>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</si>
  <si>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</si>
  <si>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</si>
  <si>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</si>
  <si>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</si>
  <si>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</si>
  <si>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</si>
  <si>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</si>
  <si>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</si>
  <si>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div 9 labor analysis-2015.xlsx</t>
  </si>
  <si>
    <t>div 2</t>
  </si>
  <si>
    <t>div 12</t>
  </si>
  <si>
    <t>div 91</t>
  </si>
  <si>
    <t>KY Revenue &amp; Billing Unit Forecast 2015 Case.xlsx</t>
  </si>
  <si>
    <t>Commercial Revenue</t>
  </si>
  <si>
    <t>Industrial Revenue</t>
  </si>
  <si>
    <t>2018</t>
  </si>
  <si>
    <t>Base Period: Twelve Months Ended February 29, 2016</t>
  </si>
  <si>
    <t>Forecasted Test Period: Twelve Months Ended May 31, 2017</t>
  </si>
  <si>
    <t>as of February 29, 2016</t>
  </si>
  <si>
    <t>as of May 31, 2017</t>
  </si>
  <si>
    <t>forecasted</t>
  </si>
  <si>
    <t>4060</t>
  </si>
  <si>
    <t>Field measuring and regulating station expenses</t>
  </si>
  <si>
    <t>39924-Oth Tang Prop - Gen.</t>
  </si>
  <si>
    <t>2010</t>
  </si>
  <si>
    <t>2011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</si>
  <si>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</si>
  <si>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</si>
  <si>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</si>
  <si>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</si>
  <si>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</si>
  <si>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</si>
  <si>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</si>
  <si>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</si>
  <si>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BOWLING GREEN AREA CHAMBER OF COMMERCE</t>
  </si>
  <si>
    <t>BUILDING INDUSTRY ASSOCIATION OF GREATER LOUISVILLE</t>
  </si>
  <si>
    <t>CHAMBER OF COMMERCE</t>
  </si>
  <si>
    <t>CHRISTIAN COUNTY CHAMBER OF COMMERCE</t>
  </si>
  <si>
    <t>GARRARD COUNTY</t>
  </si>
  <si>
    <t>GARRARD COUNTY CHAMBER OF COMMERCE</t>
  </si>
  <si>
    <t>GREATER OWENSBORO ECONOMIC DEVELOPMENT CORP</t>
  </si>
  <si>
    <t>JUNIOR ACHIEVEMENT OF WEST KENTUCKY</t>
  </si>
  <si>
    <t>KENTUCKY CHAMBER</t>
  </si>
  <si>
    <t>KENTUCKY CHAMBER OF COMMERCE EXECUTIVES</t>
  </si>
  <si>
    <t>KENTUCKY LAKE CHAMBER OF COMMERCE</t>
  </si>
  <si>
    <t>KENTUCKY OIL AND GAS ASSOCIATION</t>
  </si>
  <si>
    <t>KIWANIS CLUB</t>
  </si>
  <si>
    <t>KY STATE BOARD FOR LICENSURE FOR PROFESSIONAL ENGINEERS</t>
  </si>
  <si>
    <t>LEADERSHIP SHELBY</t>
  </si>
  <si>
    <t>LOGAN ECONOMIC ALLIANCE FOR DEVELOPMENT</t>
  </si>
  <si>
    <t>MADISONVILLE-HOPKINS COUNTY CHAMBER OF COMMERCE</t>
  </si>
  <si>
    <t>MARION COUNTY CHAMBER OF COMMERCE</t>
  </si>
  <si>
    <t>MAYFIELD/GRAVES COUNTY CHAMBER OF COMMERCE</t>
  </si>
  <si>
    <t>PRINCETON/CALDWELL COUNTY CHAMBER OF COMMERCE</t>
  </si>
  <si>
    <t>ROTARY CLUB INTERNATIONAL</t>
  </si>
  <si>
    <t>SOUTHWESTERN KENTUCKY ECONOMIC DEVELOPMENT COUNCIL</t>
  </si>
  <si>
    <t>SPRINGFIELD-WASHINGTON COUNTY CHAMBER OF COMMERCE</t>
  </si>
  <si>
    <t>TEXAS BOARD OF PROFESSIONAL ENGINEERS -OWENSBORO, KY</t>
  </si>
  <si>
    <t>TRIGG COUNTY CHAMBER OF COMMERCE</t>
  </si>
  <si>
    <t>WARREN COUNTY CLERK</t>
  </si>
  <si>
    <t>Retirement Work in Progress Recon</t>
  </si>
  <si>
    <t>Transmission-Maintenance of me - Non-Inventory Supplies 8650-02005</t>
  </si>
  <si>
    <t>2019</t>
  </si>
  <si>
    <t>Glasgow</t>
  </si>
  <si>
    <t>Oct 16 - May 17</t>
  </si>
  <si>
    <t>Budgeted labor O&amp;M percentage for FY2016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</si>
  <si>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</si>
  <si>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</si>
  <si>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</si>
  <si>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</si>
  <si>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</si>
  <si>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</si>
  <si>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</si>
  <si>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</si>
  <si>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</si>
  <si>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</si>
  <si>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</si>
  <si>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</si>
  <si>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</si>
  <si>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</si>
  <si>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</si>
  <si>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</si>
  <si>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</si>
  <si>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</si>
  <si>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</si>
  <si>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</si>
  <si>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</si>
  <si>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</si>
  <si>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</si>
  <si>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</si>
  <si>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</si>
  <si>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</si>
  <si>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</si>
  <si>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</si>
  <si>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</si>
  <si>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</si>
  <si>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</si>
  <si>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</si>
  <si>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</si>
  <si>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</si>
  <si>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</si>
  <si>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</si>
  <si>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</si>
  <si>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ADIT for KY Fall 2015.xlsx</t>
  </si>
  <si>
    <t>Change in NOLC</t>
  </si>
  <si>
    <t>Jun-16</t>
  </si>
  <si>
    <t>Jul-16</t>
  </si>
  <si>
    <t>Aug-16</t>
  </si>
  <si>
    <t>Oct-16</t>
  </si>
  <si>
    <t>Sep-16</t>
  </si>
  <si>
    <t>Nov-16</t>
  </si>
  <si>
    <t>Dec-16</t>
  </si>
  <si>
    <t>Jan-17</t>
  </si>
  <si>
    <t>Feb-17</t>
  </si>
  <si>
    <t>Mar-17</t>
  </si>
  <si>
    <t>Apr-17</t>
  </si>
  <si>
    <t>May 17</t>
  </si>
  <si>
    <t>May-16</t>
  </si>
  <si>
    <t>Regulated Asset Balance</t>
  </si>
  <si>
    <t>Amortization Expense</t>
  </si>
  <si>
    <t>Rate Case (2 year Amortization)</t>
  </si>
  <si>
    <t>PLR Regulatory Asset</t>
  </si>
  <si>
    <t xml:space="preserve">Two (2) Year Amortization of Rate Case Expenses </t>
  </si>
  <si>
    <t>(13 Month Average)</t>
  </si>
  <si>
    <t>F.6</t>
  </si>
  <si>
    <t>Regulatory Assets</t>
  </si>
  <si>
    <t>misc jurirep BS accts-fall 2015.xlsx</t>
  </si>
  <si>
    <t>ADIT for KY-Fall 2015.xlsx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</si>
  <si>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</si>
  <si>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</si>
  <si>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</si>
  <si>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</si>
  <si>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</si>
  <si>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</si>
  <si>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</si>
  <si>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</si>
  <si>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</si>
  <si>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</si>
  <si>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</si>
  <si>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</si>
  <si>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</si>
  <si>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</si>
  <si>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</si>
  <si>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</si>
  <si>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</si>
  <si>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</si>
  <si>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</si>
  <si>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</si>
  <si>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</si>
  <si>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</si>
  <si>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</si>
  <si>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</si>
  <si>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</si>
  <si>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</si>
  <si>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</si>
  <si>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</si>
  <si>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</si>
  <si>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</si>
  <si>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</si>
  <si>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Kentucky Jurisdiction Case No. 2015-00343</t>
  </si>
  <si>
    <t>KY Plant Data-Fall 2015.xlsx</t>
  </si>
  <si>
    <t>OM for KY-Fall 2015.xlsx</t>
  </si>
  <si>
    <t>Income Statement Activity Mar15-Jul15.xlsx</t>
  </si>
  <si>
    <t>Gas Cost by FERC-Fall 2015.xlsx</t>
  </si>
  <si>
    <t>OM for KY - Fall 2015.xlsx</t>
  </si>
  <si>
    <t>misc Finrep retrievals-fall 2015.xlsx</t>
  </si>
  <si>
    <t>F6 Schedule Rate Case Expenses.xls</t>
  </si>
  <si>
    <t>Copy of Workpaper G.3 -- Executive Compensation.xlsx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</si>
  <si>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</si>
  <si>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</si>
  <si>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</si>
  <si>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</si>
  <si>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</si>
  <si>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Benefits Rates Calc as of 09-08-15.xlsx</t>
  </si>
  <si>
    <t>6.75% Debentures Unsecured due July 2028</t>
  </si>
  <si>
    <t>6.67% MTN A1 due Dec 2025</t>
  </si>
  <si>
    <t>4.95% Sr Note due 10/15/2014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</si>
  <si>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</si>
  <si>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</si>
  <si>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</si>
  <si>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</si>
  <si>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</si>
  <si>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</si>
  <si>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</si>
  <si>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</si>
  <si>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</si>
  <si>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</si>
  <si>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</si>
  <si>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</si>
  <si>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</si>
  <si>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>misc jurirep BS accts-Fall 2015.xlsx</t>
  </si>
  <si>
    <t>Jurirep DTB activity-fall 2015.xlsx</t>
  </si>
  <si>
    <t>Jurirep DTB activity-Fall 2015.xlsx</t>
  </si>
  <si>
    <t xml:space="preserve">Gas Purchase Costs - The purpose of this Adjustment is to reflect the  purchase quantities </t>
  </si>
  <si>
    <t>for sales service.  The Base Period includes -$3.9MM of Unbilled Gas Costs that will zero out by the end</t>
  </si>
  <si>
    <t>is due to the Base Period being a colder than normal period and higher gas cost than the forecast period</t>
  </si>
  <si>
    <t>The difference between the adjusted Base Period Gas Cost of $81MM and the forecast period of $79MM</t>
  </si>
  <si>
    <t>of the base period when replaced by actuals.  This effectively brings the Base Period Gas cost to $81MM.</t>
  </si>
  <si>
    <t>Includes 5 Officers</t>
  </si>
  <si>
    <t>volumes due to colder weather in base period, continued efficiency gains in this market lowering the</t>
  </si>
  <si>
    <t xml:space="preserve">due to colder weather in base period, continued efficiency gains in this market lowering the average </t>
  </si>
  <si>
    <t>due primarily to adjustments to labor capitalization rate and budgeted merit increase versus the base period.</t>
  </si>
  <si>
    <t>SETTLEMENT AUGUST AMOUNT</t>
  </si>
  <si>
    <t>Settlement</t>
  </si>
  <si>
    <t>Difference</t>
  </si>
  <si>
    <t>A2</t>
  </si>
  <si>
    <t>Baa1</t>
  </si>
  <si>
    <t>Baa2</t>
  </si>
  <si>
    <t>Baa3</t>
  </si>
  <si>
    <t>A-</t>
  </si>
  <si>
    <t>BBB+</t>
  </si>
  <si>
    <t>BBB</t>
  </si>
  <si>
    <t>FY15</t>
  </si>
  <si>
    <t>FY16</t>
  </si>
  <si>
    <t xml:space="preserve"> 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</si>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</sst>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color indexed="8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sz val="12"/>
      <color indexed="20"/>
      <name val="Arial MT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color indexed="17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sz val="12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4">
    <xf numFmtId="37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3" fillId="0" borderId="0"/>
    <xf numFmtId="37" fontId="4" fillId="0" borderId="0" applyProtection="0"/>
    <xf numFmtId="0" fontId="27" fillId="0" borderId="0"/>
    <xf numFmtId="0" fontId="27" fillId="0" borderId="0"/>
    <xf numFmtId="40" fontId="34" fillId="2" borderId="0">
      <alignment horizontal="right"/>
    </xf>
    <xf numFmtId="0" fontId="35" fillId="3" borderId="0">
      <alignment horizontal="center"/>
    </xf>
    <xf numFmtId="0" fontId="36" fillId="2" borderId="1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3" fillId="0" borderId="0" applyFont="0" applyFill="0" applyBorder="0" applyAlignment="0" applyProtection="0"/>
    <xf numFmtId="0" fontId="64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4" fillId="0" borderId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" fillId="0" borderId="0"/>
    <xf numFmtId="0" fontId="27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280">
    <xf numFmtId="37" fontId="0" fillId="0" borderId="0" xfId="0"/>
    <xf numFmtId="37" fontId="4" fillId="0" borderId="0" xfId="0" applyFont="1"/>
    <xf numFmtId="37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2" xfId="0" applyFont="1" applyBorder="1" applyAlignment="1" applyProtection="1">
      <alignment horizontal="left"/>
    </xf>
    <xf numFmtId="37" fontId="4" fillId="0" borderId="2" xfId="0" applyFont="1" applyBorder="1"/>
    <xf numFmtId="165" fontId="4" fillId="0" borderId="2" xfId="0" applyNumberFormat="1" applyFont="1" applyBorder="1" applyProtection="1"/>
    <xf numFmtId="165" fontId="4" fillId="0" borderId="0" xfId="0" applyNumberFormat="1" applyFont="1" applyProtection="1"/>
    <xf numFmtId="37" fontId="4" fillId="0" borderId="2" xfId="0" applyFont="1" applyBorder="1" applyAlignment="1" applyProtection="1">
      <alignment horizontal="center"/>
    </xf>
    <xf numFmtId="37" fontId="4" fillId="0" borderId="0" xfId="0" applyNumberFormat="1" applyFont="1" applyProtection="1"/>
    <xf numFmtId="10" fontId="4" fillId="0" borderId="0" xfId="0" applyNumberFormat="1" applyFont="1" applyProtection="1"/>
    <xf numFmtId="37" fontId="5" fillId="0" borderId="0" xfId="0" applyFont="1"/>
    <xf numFmtId="37" fontId="4" fillId="0" borderId="3" xfId="0" applyFont="1" applyBorder="1"/>
    <xf numFmtId="167" fontId="4" fillId="0" borderId="0" xfId="0" applyNumberFormat="1" applyFont="1" applyProtection="1"/>
    <xf numFmtId="168" fontId="4" fillId="0" borderId="0" xfId="0" applyNumberFormat="1" applyFont="1" applyProtection="1"/>
    <xf numFmtId="37" fontId="6" fillId="0" borderId="0" xfId="0" applyFont="1"/>
    <xf numFmtId="37" fontId="6" fillId="0" borderId="0" xfId="0" applyFont="1" applyAlignment="1" applyProtection="1">
      <alignment horizontal="left"/>
    </xf>
    <xf numFmtId="37" fontId="4" fillId="0" borderId="2" xfId="0" applyNumberFormat="1" applyFont="1" applyBorder="1" applyProtection="1"/>
    <xf numFmtId="37" fontId="7" fillId="0" borderId="0" xfId="0" applyNumberFormat="1" applyFont="1" applyProtection="1"/>
    <xf numFmtId="10" fontId="7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4" fillId="0" borderId="0" xfId="0" applyNumberFormat="1" applyFont="1" applyAlignment="1" applyProtection="1">
      <alignment horizontal="right"/>
    </xf>
    <xf numFmtId="173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169" fontId="4" fillId="0" borderId="0" xfId="0" applyNumberFormat="1" applyFont="1" applyProtection="1"/>
    <xf numFmtId="37" fontId="6" fillId="0" borderId="0" xfId="0" applyFont="1" applyAlignment="1" applyProtection="1">
      <alignment horizontal="center"/>
    </xf>
    <xf numFmtId="10" fontId="4" fillId="0" borderId="2" xfId="0" applyNumberFormat="1" applyFont="1" applyBorder="1" applyProtection="1"/>
    <xf numFmtId="174" fontId="4" fillId="0" borderId="0" xfId="0" applyNumberFormat="1" applyFont="1" applyProtection="1"/>
    <xf numFmtId="37" fontId="8" fillId="0" borderId="0" xfId="0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left"/>
    </xf>
    <xf numFmtId="37" fontId="4" fillId="0" borderId="3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4" xfId="0" applyFont="1" applyBorder="1" applyAlignment="1" applyProtection="1">
      <alignment horizontal="center"/>
    </xf>
    <xf numFmtId="37" fontId="8" fillId="0" borderId="3" xfId="0" applyFont="1" applyBorder="1" applyProtection="1">
      <protection locked="0"/>
    </xf>
    <xf numFmtId="172" fontId="8" fillId="0" borderId="0" xfId="0" applyNumberFormat="1" applyFont="1" applyProtection="1">
      <protection locked="0"/>
    </xf>
    <xf numFmtId="5" fontId="4" fillId="0" borderId="0" xfId="0" applyNumberFormat="1" applyFont="1" applyProtection="1"/>
    <xf numFmtId="171" fontId="4" fillId="0" borderId="0" xfId="0" applyNumberFormat="1" applyFont="1" applyProtection="1"/>
    <xf numFmtId="37" fontId="4" fillId="0" borderId="0" xfId="0" applyFont="1" applyAlignment="1">
      <alignment horizontal="centerContinuous"/>
    </xf>
    <xf numFmtId="167" fontId="4" fillId="0" borderId="0" xfId="0" applyNumberFormat="1" applyFont="1" applyAlignment="1" applyProtection="1">
      <alignment horizontal="centerContinuous"/>
    </xf>
    <xf numFmtId="168" fontId="4" fillId="0" borderId="0" xfId="0" applyNumberFormat="1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4" fillId="0" borderId="5" xfId="0" applyFont="1" applyBorder="1" applyAlignment="1" applyProtection="1">
      <alignment horizontal="center"/>
    </xf>
    <xf numFmtId="37" fontId="4" fillId="0" borderId="5" xfId="0" applyFont="1" applyBorder="1"/>
    <xf numFmtId="37" fontId="4" fillId="0" borderId="0" xfId="0" applyFont="1" applyBorder="1" applyAlignment="1" applyProtection="1">
      <alignment horizontal="center"/>
    </xf>
    <xf numFmtId="37" fontId="4" fillId="0" borderId="0" xfId="0" applyFont="1" applyBorder="1"/>
    <xf numFmtId="37" fontId="9" fillId="0" borderId="0" xfId="0" applyFont="1"/>
    <xf numFmtId="37" fontId="9" fillId="0" borderId="0" xfId="0" applyFont="1" applyAlignment="1" applyProtection="1">
      <alignment horizontal="left"/>
    </xf>
    <xf numFmtId="37" fontId="9" fillId="0" borderId="2" xfId="0" applyFont="1" applyBorder="1" applyAlignment="1" applyProtection="1">
      <alignment horizontal="left"/>
    </xf>
    <xf numFmtId="37" fontId="9" fillId="0" borderId="2" xfId="0" applyFont="1" applyBorder="1"/>
    <xf numFmtId="37" fontId="9" fillId="0" borderId="2" xfId="0" applyFont="1" applyBorder="1" applyAlignment="1" applyProtection="1">
      <alignment horizontal="left"/>
      <protection locked="0"/>
    </xf>
    <xf numFmtId="37" fontId="9" fillId="0" borderId="0" xfId="0" applyNumberFormat="1" applyFont="1" applyProtection="1">
      <protection locked="0"/>
    </xf>
    <xf numFmtId="37" fontId="9" fillId="0" borderId="0" xfId="0" applyNumberFormat="1" applyFont="1" applyProtection="1"/>
    <xf numFmtId="37" fontId="4" fillId="0" borderId="0" xfId="0" applyFont="1" applyAlignment="1"/>
    <xf numFmtId="37" fontId="4" fillId="0" borderId="0" xfId="0" applyFont="1" applyAlignment="1" applyProtection="1"/>
    <xf numFmtId="37" fontId="4" fillId="0" borderId="2" xfId="0" applyFont="1" applyBorder="1" applyAlignment="1"/>
    <xf numFmtId="37" fontId="4" fillId="0" borderId="2" xfId="0" applyFont="1" applyBorder="1" applyAlignment="1" applyProtection="1"/>
    <xf numFmtId="37" fontId="6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6" fillId="0" borderId="0" xfId="0" applyFont="1" applyAlignment="1" applyProtection="1">
      <alignment horizontal="left"/>
      <protection locked="0"/>
    </xf>
    <xf numFmtId="37" fontId="4" fillId="0" borderId="5" xfId="0" applyNumberFormat="1" applyFont="1" applyBorder="1" applyProtection="1"/>
    <xf numFmtId="37" fontId="4" fillId="0" borderId="0" xfId="0" applyNumberFormat="1" applyFont="1" applyBorder="1" applyProtection="1"/>
    <xf numFmtId="37" fontId="8" fillId="0" borderId="0" xfId="0" applyFont="1" applyAlignment="1" applyProtection="1">
      <alignment horizontal="centerContinuous"/>
      <protection locked="0"/>
    </xf>
    <xf numFmtId="176" fontId="4" fillId="0" borderId="0" xfId="0" applyNumberFormat="1" applyFont="1" applyProtection="1"/>
    <xf numFmtId="10" fontId="4" fillId="0" borderId="0" xfId="13" applyNumberFormat="1" applyFont="1" applyProtection="1"/>
    <xf numFmtId="10" fontId="4" fillId="0" borderId="2" xfId="13" applyNumberFormat="1" applyFont="1" applyBorder="1" applyProtection="1"/>
    <xf numFmtId="10" fontId="4" fillId="0" borderId="0" xfId="13" applyNumberFormat="1" applyFont="1"/>
    <xf numFmtId="10" fontId="7" fillId="0" borderId="0" xfId="13" applyNumberFormat="1" applyFont="1" applyProtection="1"/>
    <xf numFmtId="37" fontId="4" fillId="0" borderId="0" xfId="0" applyFont="1" applyBorder="1" applyAlignment="1" applyProtection="1">
      <alignment horizontal="left"/>
    </xf>
    <xf numFmtId="37" fontId="4" fillId="0" borderId="0" xfId="0" applyFont="1" applyBorder="1" applyAlignment="1" applyProtection="1"/>
    <xf numFmtId="37" fontId="4" fillId="0" borderId="0" xfId="0" applyFont="1" applyBorder="1" applyAlignment="1"/>
    <xf numFmtId="37" fontId="4" fillId="0" borderId="5" xfId="0" applyFont="1" applyBorder="1" applyAlignment="1" applyProtection="1">
      <alignment horizontal="left"/>
    </xf>
    <xf numFmtId="37" fontId="4" fillId="0" borderId="0" xfId="0" applyNumberFormat="1" applyFont="1" applyProtection="1">
      <protection locked="0"/>
    </xf>
    <xf numFmtId="37" fontId="0" fillId="0" borderId="5" xfId="0" applyBorder="1"/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0" fontId="0" fillId="0" borderId="0" xfId="13" applyNumberFormat="1" applyFont="1"/>
    <xf numFmtId="37" fontId="4" fillId="2" borderId="0" xfId="0" applyFont="1" applyFill="1"/>
    <xf numFmtId="37" fontId="4" fillId="0" borderId="5" xfId="0" applyFont="1" applyBorder="1" applyAlignment="1">
      <alignment horizontal="center"/>
    </xf>
    <xf numFmtId="37" fontId="0" fillId="0" borderId="0" xfId="0" applyBorder="1"/>
    <xf numFmtId="9" fontId="4" fillId="0" borderId="0" xfId="13" applyFont="1"/>
    <xf numFmtId="37" fontId="10" fillId="0" borderId="0" xfId="0" applyFont="1" applyAlignment="1">
      <alignment horizontal="centerContinuous"/>
    </xf>
    <xf numFmtId="37" fontId="0" fillId="0" borderId="5" xfId="0" applyBorder="1" applyAlignment="1">
      <alignment horizontal="center"/>
    </xf>
    <xf numFmtId="37" fontId="4" fillId="0" borderId="7" xfId="0" applyFont="1" applyBorder="1"/>
    <xf numFmtId="37" fontId="10" fillId="0" borderId="5" xfId="0" applyFont="1" applyBorder="1"/>
    <xf numFmtId="37" fontId="9" fillId="0" borderId="5" xfId="0" applyFont="1" applyBorder="1"/>
    <xf numFmtId="37" fontId="13" fillId="0" borderId="0" xfId="0" applyNumberFormat="1" applyFont="1" applyProtection="1"/>
    <xf numFmtId="37" fontId="14" fillId="0" borderId="0" xfId="0" applyFont="1"/>
    <xf numFmtId="37" fontId="14" fillId="0" borderId="0" xfId="0" applyNumberFormat="1" applyFont="1" applyProtection="1"/>
    <xf numFmtId="37" fontId="0" fillId="0" borderId="0" xfId="0" applyBorder="1" applyAlignment="1">
      <alignment horizontal="center"/>
    </xf>
    <xf numFmtId="37" fontId="14" fillId="0" borderId="0" xfId="0" applyFont="1" applyAlignment="1" applyProtection="1">
      <alignment horizontal="centerContinuous"/>
      <protection locked="0"/>
    </xf>
    <xf numFmtId="37" fontId="4" fillId="0" borderId="8" xfId="0" applyFont="1" applyBorder="1"/>
    <xf numFmtId="37" fontId="0" fillId="0" borderId="9" xfId="0" applyBorder="1"/>
    <xf numFmtId="37" fontId="14" fillId="0" borderId="0" xfId="0" applyFont="1" applyAlignment="1" applyProtection="1">
      <alignment horizontal="left"/>
    </xf>
    <xf numFmtId="10" fontId="14" fillId="0" borderId="0" xfId="13" applyNumberFormat="1" applyFont="1" applyAlignment="1" applyProtection="1">
      <alignment horizontal="center"/>
    </xf>
    <xf numFmtId="37" fontId="13" fillId="0" borderId="0" xfId="0" applyNumberFormat="1" applyFont="1" applyFill="1" applyProtection="1"/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Border="1"/>
    <xf numFmtId="37" fontId="4" fillId="0" borderId="0" xfId="0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Protection="1"/>
    <xf numFmtId="37" fontId="10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4" fillId="0" borderId="0" xfId="0" applyFont="1" applyFill="1"/>
    <xf numFmtId="37" fontId="4" fillId="0" borderId="5" xfId="0" applyFont="1" applyFill="1" applyBorder="1"/>
    <xf numFmtId="37" fontId="4" fillId="0" borderId="5" xfId="0" applyNumberFormat="1" applyFont="1" applyFill="1" applyBorder="1" applyProtection="1"/>
    <xf numFmtId="37" fontId="9" fillId="0" borderId="0" xfId="0" applyFont="1" applyFill="1"/>
    <xf numFmtId="37" fontId="14" fillId="0" borderId="0" xfId="0" applyNumberFormat="1" applyFont="1" applyBorder="1" applyProtection="1"/>
    <xf numFmtId="37" fontId="4" fillId="0" borderId="2" xfId="0" applyNumberFormat="1" applyFont="1" applyFill="1" applyBorder="1" applyProtection="1"/>
    <xf numFmtId="37" fontId="14" fillId="0" borderId="0" xfId="0" applyNumberFormat="1" applyFont="1" applyFill="1" applyProtection="1"/>
    <xf numFmtId="37" fontId="14" fillId="0" borderId="0" xfId="0" applyNumberFormat="1" applyFont="1" applyFill="1" applyBorder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4" fillId="0" borderId="0" xfId="0" applyFont="1" applyBorder="1"/>
    <xf numFmtId="37" fontId="0" fillId="0" borderId="5" xfId="0" applyFont="1" applyBorder="1"/>
    <xf numFmtId="37" fontId="14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6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6" xfId="0" applyBorder="1"/>
    <xf numFmtId="37" fontId="0" fillId="0" borderId="0" xfId="0" applyNumberFormat="1" applyFont="1" applyProtection="1"/>
    <xf numFmtId="37" fontId="14" fillId="0" borderId="0" xfId="0" applyFont="1" applyFill="1" applyBorder="1"/>
    <xf numFmtId="37" fontId="0" fillId="0" borderId="0" xfId="0" applyNumberFormat="1" applyFont="1" applyFill="1" applyProtection="1"/>
    <xf numFmtId="37" fontId="0" fillId="0" borderId="10" xfId="0" applyBorder="1"/>
    <xf numFmtId="37" fontId="0" fillId="0" borderId="2" xfId="0" applyNumberFormat="1" applyFont="1" applyFill="1" applyBorder="1" applyProtection="1"/>
    <xf numFmtId="164" fontId="4" fillId="0" borderId="0" xfId="0" applyNumberFormat="1" applyFont="1" applyFill="1" applyProtection="1"/>
    <xf numFmtId="0" fontId="16" fillId="0" borderId="11" xfId="0" applyNumberFormat="1" applyFont="1" applyBorder="1" applyAlignment="1">
      <alignment horizontal="centerContinuous"/>
    </xf>
    <xf numFmtId="0" fontId="0" fillId="0" borderId="12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37" fontId="4" fillId="0" borderId="14" xfId="0" applyFont="1" applyBorder="1"/>
    <xf numFmtId="37" fontId="4" fillId="0" borderId="15" xfId="0" applyFont="1" applyBorder="1" applyAlignment="1" applyProtection="1">
      <alignment horizontal="center"/>
    </xf>
    <xf numFmtId="37" fontId="4" fillId="0" borderId="16" xfId="0" applyFont="1" applyBorder="1" applyAlignment="1" applyProtection="1">
      <alignment horizontal="center"/>
    </xf>
    <xf numFmtId="37" fontId="4" fillId="0" borderId="17" xfId="0" applyFont="1" applyBorder="1"/>
    <xf numFmtId="37" fontId="4" fillId="0" borderId="17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9" fontId="4" fillId="0" borderId="0" xfId="0" applyNumberFormat="1" applyFont="1"/>
    <xf numFmtId="10" fontId="4" fillId="0" borderId="6" xfId="13" applyNumberFormat="1" applyFont="1" applyBorder="1"/>
    <xf numFmtId="10" fontId="8" fillId="0" borderId="0" xfId="0" applyNumberFormat="1" applyFont="1" applyProtection="1"/>
    <xf numFmtId="169" fontId="8" fillId="0" borderId="0" xfId="0" applyNumberFormat="1" applyFont="1" applyProtection="1"/>
    <xf numFmtId="5" fontId="4" fillId="0" borderId="10" xfId="0" applyNumberFormat="1" applyFont="1" applyBorder="1"/>
    <xf numFmtId="10" fontId="4" fillId="0" borderId="0" xfId="0" applyNumberFormat="1" applyFont="1" applyFill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18" fillId="0" borderId="0" xfId="0" applyFont="1"/>
    <xf numFmtId="37" fontId="13" fillId="0" borderId="0" xfId="0" applyFont="1" applyFill="1" applyAlignment="1" applyProtection="1">
      <alignment horizontal="left"/>
    </xf>
    <xf numFmtId="37" fontId="4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4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Border="1" applyProtection="1"/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15" fillId="0" borderId="0" xfId="0" applyFont="1"/>
    <xf numFmtId="37" fontId="0" fillId="0" borderId="0" xfId="0" applyFont="1" applyFill="1" applyProtection="1">
      <protection locked="0"/>
    </xf>
    <xf numFmtId="10" fontId="14" fillId="0" borderId="0" xfId="13" applyNumberFormat="1" applyFont="1" applyFill="1" applyProtection="1"/>
    <xf numFmtId="5" fontId="4" fillId="0" borderId="10" xfId="0" applyNumberFormat="1" applyFont="1" applyBorder="1" applyProtection="1"/>
    <xf numFmtId="10" fontId="16" fillId="0" borderId="6" xfId="13" applyNumberFormat="1" applyFont="1" applyBorder="1"/>
    <xf numFmtId="37" fontId="14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8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167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left"/>
      <protection locked="0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Font="1" applyProtection="1">
      <protection locked="0"/>
    </xf>
    <xf numFmtId="37" fontId="0" fillId="0" borderId="0" xfId="0" applyNumberFormat="1" applyFont="1" applyFill="1" applyProtection="1">
      <protection locked="0"/>
    </xf>
    <xf numFmtId="169" fontId="7" fillId="0" borderId="0" xfId="0" applyNumberFormat="1" applyFont="1" applyFill="1" applyProtection="1"/>
    <xf numFmtId="37" fontId="7" fillId="0" borderId="0" xfId="0" applyFont="1" applyFill="1" applyProtection="1"/>
    <xf numFmtId="169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20" fillId="0" borderId="0" xfId="0" applyNumberFormat="1" applyFont="1"/>
    <xf numFmtId="3" fontId="0" fillId="0" borderId="0" xfId="1" applyNumberFormat="1" applyFont="1"/>
    <xf numFmtId="181" fontId="19" fillId="0" borderId="0" xfId="0" applyNumberFormat="1" applyFont="1"/>
    <xf numFmtId="37" fontId="21" fillId="0" borderId="0" xfId="0" applyNumberFormat="1" applyFont="1"/>
    <xf numFmtId="37" fontId="21" fillId="0" borderId="0" xfId="1" applyNumberFormat="1" applyFont="1"/>
    <xf numFmtId="37" fontId="21" fillId="0" borderId="0" xfId="0" applyFont="1"/>
    <xf numFmtId="182" fontId="21" fillId="0" borderId="0" xfId="2" applyNumberFormat="1" applyFont="1"/>
    <xf numFmtId="37" fontId="21" fillId="0" borderId="5" xfId="0" applyNumberFormat="1" applyFont="1" applyBorder="1"/>
    <xf numFmtId="182" fontId="21" fillId="0" borderId="6" xfId="2" applyNumberFormat="1" applyFont="1" applyBorder="1"/>
    <xf numFmtId="37" fontId="22" fillId="0" borderId="0" xfId="0" applyFont="1"/>
    <xf numFmtId="37" fontId="23" fillId="0" borderId="0" xfId="0" applyFont="1"/>
    <xf numFmtId="37" fontId="21" fillId="0" borderId="0" xfId="0" quotePrefix="1" applyFont="1" applyAlignment="1">
      <alignment horizontal="left" indent="3"/>
    </xf>
    <xf numFmtId="37" fontId="4" fillId="0" borderId="0" xfId="0" applyFont="1" applyFill="1" applyAlignment="1">
      <alignment horizontal="centerContinuous"/>
    </xf>
    <xf numFmtId="37" fontId="4" fillId="0" borderId="2" xfId="0" applyFont="1" applyFill="1" applyBorder="1"/>
    <xf numFmtId="10" fontId="4" fillId="0" borderId="0" xfId="0" applyNumberFormat="1" applyFont="1"/>
    <xf numFmtId="37" fontId="14" fillId="0" borderId="0" xfId="0" applyNumberFormat="1" applyFont="1" applyFill="1" applyBorder="1" applyProtection="1">
      <protection locked="0"/>
    </xf>
    <xf numFmtId="37" fontId="9" fillId="0" borderId="0" xfId="0" applyNumberFormat="1" applyFont="1"/>
    <xf numFmtId="37" fontId="4" fillId="0" borderId="5" xfId="0" applyFont="1" applyBorder="1" applyAlignment="1"/>
    <xf numFmtId="37" fontId="4" fillId="0" borderId="0" xfId="0" applyNumberFormat="1" applyFont="1" applyAlignment="1">
      <alignment horizontal="right"/>
    </xf>
    <xf numFmtId="37" fontId="4" fillId="0" borderId="0" xfId="0" applyFont="1" applyAlignment="1">
      <alignment horizontal="left" indent="2"/>
    </xf>
    <xf numFmtId="37" fontId="4" fillId="0" borderId="0" xfId="0" applyFont="1" applyAlignment="1">
      <alignment horizontal="left" indent="3"/>
    </xf>
    <xf numFmtId="10" fontId="4" fillId="0" borderId="5" xfId="13" applyNumberFormat="1" applyFont="1" applyBorder="1"/>
    <xf numFmtId="37" fontId="4" fillId="0" borderId="5" xfId="0" applyNumberFormat="1" applyFont="1" applyBorder="1" applyAlignment="1" applyProtection="1">
      <alignment horizontal="right"/>
    </xf>
    <xf numFmtId="169" fontId="4" fillId="0" borderId="5" xfId="13" applyNumberFormat="1" applyFont="1" applyBorder="1" applyAlignment="1" applyProtection="1">
      <alignment horizontal="right"/>
    </xf>
    <xf numFmtId="37" fontId="16" fillId="0" borderId="0" xfId="0" applyFont="1" applyAlignment="1">
      <alignment horizontal="left" indent="1"/>
    </xf>
    <xf numFmtId="37" fontId="16" fillId="0" borderId="0" xfId="0" applyNumberFormat="1" applyFont="1" applyBorder="1" applyAlignment="1" applyProtection="1">
      <alignment horizontal="right"/>
    </xf>
    <xf numFmtId="37" fontId="15" fillId="0" borderId="0" xfId="0" applyFont="1" applyAlignment="1"/>
    <xf numFmtId="10" fontId="4" fillId="0" borderId="0" xfId="13" applyNumberFormat="1" applyFont="1" applyAlignment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37" fontId="4" fillId="0" borderId="0" xfId="0" applyFont="1" applyAlignment="1" applyProtection="1">
      <alignment horizontal="left" indent="2"/>
    </xf>
    <xf numFmtId="49" fontId="0" fillId="0" borderId="5" xfId="0" applyNumberFormat="1" applyBorder="1" applyAlignment="1">
      <alignment horizontal="centerContinuous"/>
    </xf>
    <xf numFmtId="37" fontId="4" fillId="0" borderId="0" xfId="0" applyFont="1" applyAlignment="1">
      <alignment horizontal="left" indent="1"/>
    </xf>
    <xf numFmtId="173" fontId="4" fillId="0" borderId="0" xfId="0" applyNumberFormat="1" applyFont="1" applyFill="1" applyProtection="1"/>
    <xf numFmtId="49" fontId="4" fillId="0" borderId="0" xfId="0" applyNumberFormat="1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37" fontId="4" fillId="0" borderId="0" xfId="0" applyFont="1" applyFill="1" applyAlignment="1" applyProtection="1">
      <alignment horizontal="centerContinuous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4" fillId="0" borderId="0" xfId="0" applyFont="1" applyFill="1" applyAlignment="1" applyProtection="1">
      <alignment horizontal="centerContinuous"/>
      <protection locked="0"/>
    </xf>
    <xf numFmtId="37" fontId="26" fillId="0" borderId="0" xfId="0" applyFont="1" applyAlignment="1" applyProtection="1">
      <alignment horizontal="centerContinuous"/>
    </xf>
    <xf numFmtId="37" fontId="26" fillId="0" borderId="0" xfId="0" applyNumberFormat="1" applyFont="1" applyFill="1" applyProtection="1"/>
    <xf numFmtId="37" fontId="12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0" fontId="30" fillId="0" borderId="0" xfId="6" applyFont="1"/>
    <xf numFmtId="43" fontId="30" fillId="0" borderId="0" xfId="1" applyFont="1"/>
    <xf numFmtId="43" fontId="30" fillId="0" borderId="0" xfId="1" applyFont="1" applyFill="1"/>
    <xf numFmtId="37" fontId="32" fillId="0" borderId="0" xfId="0" applyFont="1"/>
    <xf numFmtId="9" fontId="0" fillId="0" borderId="0" xfId="13" applyFont="1"/>
    <xf numFmtId="37" fontId="10" fillId="0" borderId="0" xfId="0" applyFont="1" applyAlignment="1" applyProtection="1">
      <alignment horizontal="left"/>
    </xf>
    <xf numFmtId="10" fontId="14" fillId="0" borderId="0" xfId="0" applyNumberFormat="1" applyFont="1" applyAlignment="1" applyProtection="1">
      <alignment horizontal="center"/>
    </xf>
    <xf numFmtId="5" fontId="31" fillId="0" borderId="0" xfId="1" applyNumberFormat="1" applyFont="1" applyBorder="1"/>
    <xf numFmtId="169" fontId="31" fillId="0" borderId="0" xfId="13" applyNumberFormat="1" applyFont="1"/>
    <xf numFmtId="185" fontId="4" fillId="0" borderId="0" xfId="1" applyNumberFormat="1" applyFont="1" applyProtection="1"/>
    <xf numFmtId="0" fontId="27" fillId="0" borderId="0" xfId="7"/>
    <xf numFmtId="37" fontId="4" fillId="0" borderId="21" xfId="0" applyFont="1" applyBorder="1"/>
    <xf numFmtId="37" fontId="9" fillId="0" borderId="2" xfId="0" applyFont="1" applyFill="1" applyBorder="1"/>
    <xf numFmtId="37" fontId="0" fillId="0" borderId="0" xfId="0" applyNumberFormat="1" applyFill="1"/>
    <xf numFmtId="9" fontId="4" fillId="0" borderId="0" xfId="13" applyFont="1" applyProtection="1"/>
    <xf numFmtId="37" fontId="4" fillId="0" borderId="5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centerContinuous"/>
      <protection locked="0"/>
    </xf>
    <xf numFmtId="37" fontId="10" fillId="0" borderId="0" xfId="0" applyNumberFormat="1" applyFont="1" applyProtection="1"/>
    <xf numFmtId="37" fontId="10" fillId="0" borderId="0" xfId="0" applyFont="1" applyAlignment="1" applyProtection="1">
      <alignment horizontal="center"/>
    </xf>
    <xf numFmtId="37" fontId="10" fillId="0" borderId="5" xfId="0" applyNumberFormat="1" applyFont="1" applyBorder="1" applyProtection="1"/>
    <xf numFmtId="37" fontId="10" fillId="0" borderId="2" xfId="0" applyFont="1" applyBorder="1"/>
    <xf numFmtId="37" fontId="10" fillId="0" borderId="0" xfId="0" applyFont="1" applyBorder="1"/>
    <xf numFmtId="37" fontId="10" fillId="0" borderId="2" xfId="0" applyNumberFormat="1" applyFont="1" applyBorder="1" applyProtection="1"/>
    <xf numFmtId="37" fontId="10" fillId="0" borderId="5" xfId="0" applyFont="1" applyBorder="1" applyAlignment="1" applyProtection="1">
      <alignment horizontal="left"/>
    </xf>
    <xf numFmtId="9" fontId="10" fillId="0" borderId="0" xfId="13" applyFont="1"/>
    <xf numFmtId="37" fontId="10" fillId="0" borderId="0" xfId="0" applyNumberFormat="1" applyFont="1" applyFill="1" applyBorder="1" applyProtection="1"/>
    <xf numFmtId="37" fontId="10" fillId="0" borderId="0" xfId="0" applyFont="1" applyFill="1"/>
    <xf numFmtId="37" fontId="39" fillId="0" borderId="0" xfId="0" applyFont="1"/>
    <xf numFmtId="37" fontId="40" fillId="0" borderId="0" xfId="0" applyFont="1" applyAlignment="1" applyProtection="1">
      <alignment horizontal="left"/>
    </xf>
    <xf numFmtId="173" fontId="4" fillId="0" borderId="0" xfId="0" applyNumberFormat="1" applyFont="1" applyFill="1"/>
    <xf numFmtId="173" fontId="7" fillId="0" borderId="0" xfId="0" applyNumberFormat="1" applyFont="1" applyProtection="1"/>
    <xf numFmtId="37" fontId="1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2" borderId="0" xfId="0" applyFont="1" applyFill="1"/>
    <xf numFmtId="37" fontId="10" fillId="0" borderId="2" xfId="0" applyFont="1" applyBorder="1" applyAlignment="1" applyProtection="1">
      <alignment horizontal="left"/>
    </xf>
    <xf numFmtId="37" fontId="10" fillId="0" borderId="2" xfId="0" applyFont="1" applyFill="1" applyBorder="1" applyAlignment="1" applyProtection="1">
      <alignment horizontal="left"/>
      <protection locked="0"/>
    </xf>
    <xf numFmtId="37" fontId="10" fillId="0" borderId="0" xfId="0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center"/>
      <protection locked="0"/>
    </xf>
    <xf numFmtId="37" fontId="10" fillId="0" borderId="2" xfId="0" applyFont="1" applyBorder="1" applyAlignment="1" applyProtection="1">
      <alignment horizontal="left"/>
      <protection locked="0"/>
    </xf>
    <xf numFmtId="17" fontId="10" fillId="0" borderId="22" xfId="0" applyNumberFormat="1" applyFont="1" applyFill="1" applyBorder="1" applyAlignment="1">
      <alignment horizontal="center"/>
    </xf>
    <xf numFmtId="37" fontId="10" fillId="0" borderId="22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10" fillId="0" borderId="0" xfId="0" applyFont="1" applyFill="1" applyAlignment="1" applyProtection="1">
      <alignment horizontal="center"/>
    </xf>
    <xf numFmtId="37" fontId="23" fillId="0" borderId="0" xfId="0" applyFont="1" applyFill="1"/>
    <xf numFmtId="183" fontId="23" fillId="0" borderId="0" xfId="0" applyNumberFormat="1" applyFont="1" applyAlignment="1" applyProtection="1">
      <alignment horizontal="left"/>
      <protection locked="0"/>
    </xf>
    <xf numFmtId="37" fontId="23" fillId="0" borderId="0" xfId="0" quotePrefix="1" applyFont="1"/>
    <xf numFmtId="37" fontId="41" fillId="0" borderId="0" xfId="0" applyFont="1"/>
    <xf numFmtId="37" fontId="41" fillId="2" borderId="0" xfId="0" applyFont="1" applyFill="1"/>
    <xf numFmtId="5" fontId="41" fillId="0" borderId="10" xfId="0" applyNumberFormat="1" applyFont="1" applyBorder="1"/>
    <xf numFmtId="5" fontId="41" fillId="0" borderId="0" xfId="0" applyNumberFormat="1" applyFont="1" applyBorder="1"/>
    <xf numFmtId="37" fontId="41" fillId="0" borderId="0" xfId="0" applyFont="1" applyFill="1"/>
    <xf numFmtId="10" fontId="41" fillId="0" borderId="0" xfId="13" applyNumberFormat="1" applyFont="1"/>
    <xf numFmtId="37" fontId="41" fillId="0" borderId="0" xfId="0" applyFont="1" applyBorder="1"/>
    <xf numFmtId="37" fontId="41" fillId="0" borderId="0" xfId="0" applyFont="1" applyFill="1" applyBorder="1"/>
    <xf numFmtId="37" fontId="10" fillId="0" borderId="0" xfId="0" applyFont="1" applyProtection="1">
      <protection locked="0"/>
    </xf>
    <xf numFmtId="37" fontId="4" fillId="0" borderId="0" xfId="0" applyFont="1" applyBorder="1" applyAlignment="1">
      <alignment horizontal="center"/>
    </xf>
    <xf numFmtId="37" fontId="10" fillId="0" borderId="5" xfId="0" applyFont="1" applyBorder="1" applyAlignment="1">
      <alignment horizontal="center"/>
    </xf>
    <xf numFmtId="37" fontId="10" fillId="0" borderId="0" xfId="0" applyNumberFormat="1" applyFont="1" applyFill="1" applyProtection="1"/>
    <xf numFmtId="37" fontId="10" fillId="0" borderId="0" xfId="0" quotePrefix="1" applyFont="1" applyBorder="1" applyAlignment="1">
      <alignment horizontal="left"/>
    </xf>
    <xf numFmtId="10" fontId="10" fillId="0" borderId="0" xfId="13" applyNumberFormat="1" applyFont="1" applyBorder="1" applyAlignment="1">
      <alignment horizontal="left"/>
    </xf>
    <xf numFmtId="37" fontId="10" fillId="0" borderId="0" xfId="0" applyFont="1" applyAlignment="1">
      <alignment horizontal="left" indent="1"/>
    </xf>
    <xf numFmtId="10" fontId="10" fillId="0" borderId="0" xfId="0" applyNumberFormat="1" applyFont="1" applyProtection="1"/>
    <xf numFmtId="37" fontId="10" fillId="0" borderId="2" xfId="0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0" fillId="0" borderId="0" xfId="0" applyFont="1" applyFill="1" applyBorder="1"/>
    <xf numFmtId="37" fontId="10" fillId="0" borderId="5" xfId="0" applyNumberFormat="1" applyFont="1" applyFill="1" applyBorder="1" applyProtection="1"/>
    <xf numFmtId="37" fontId="10" fillId="0" borderId="0" xfId="0" applyFont="1" applyAlignment="1"/>
    <xf numFmtId="37" fontId="10" fillId="0" borderId="0" xfId="0" applyFont="1" applyFill="1" applyAlignment="1" applyProtection="1">
      <alignment horizontal="left"/>
    </xf>
    <xf numFmtId="180" fontId="10" fillId="0" borderId="0" xfId="0" applyNumberFormat="1" applyFont="1" applyAlignment="1">
      <alignment horizontal="center"/>
    </xf>
    <xf numFmtId="37" fontId="43" fillId="0" borderId="0" xfId="0" applyFont="1"/>
    <xf numFmtId="37" fontId="10" fillId="0" borderId="2" xfId="0" applyFont="1" applyFill="1" applyBorder="1"/>
    <xf numFmtId="37" fontId="10" fillId="0" borderId="5" xfId="0" applyFont="1" applyFill="1" applyBorder="1"/>
    <xf numFmtId="37" fontId="10" fillId="0" borderId="0" xfId="0" applyNumberFormat="1" applyFont="1" applyFill="1" applyAlignment="1" applyProtection="1">
      <alignment horizontal="center"/>
    </xf>
    <xf numFmtId="37" fontId="14" fillId="0" borderId="2" xfId="0" applyFont="1" applyBorder="1" applyAlignment="1" applyProtection="1">
      <alignment horizontal="left"/>
    </xf>
    <xf numFmtId="37" fontId="14" fillId="0" borderId="2" xfId="0" applyFont="1" applyBorder="1"/>
    <xf numFmtId="37" fontId="14" fillId="0" borderId="0" xfId="0" applyFont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10" fontId="14" fillId="0" borderId="0" xfId="0" applyNumberFormat="1" applyFont="1" applyBorder="1" applyProtection="1"/>
    <xf numFmtId="10" fontId="14" fillId="0" borderId="0" xfId="0" applyNumberFormat="1" applyFont="1" applyProtection="1"/>
    <xf numFmtId="37" fontId="10" fillId="0" borderId="0" xfId="0" applyFont="1" applyAlignment="1" applyProtection="1">
      <alignment horizontal="left" indent="2"/>
    </xf>
    <xf numFmtId="37" fontId="10" fillId="0" borderId="0" xfId="0" applyFont="1" applyAlignment="1">
      <alignment horizontal="left" indent="2"/>
    </xf>
    <xf numFmtId="37" fontId="23" fillId="0" borderId="0" xfId="0" applyFont="1" applyAlignment="1">
      <alignment horizontal="center"/>
    </xf>
    <xf numFmtId="37" fontId="4" fillId="0" borderId="23" xfId="0" applyFont="1" applyBorder="1"/>
    <xf numFmtId="37" fontId="10" fillId="0" borderId="0" xfId="0" applyFont="1" applyAlignment="1" applyProtection="1">
      <alignment horizontal="left" indent="1"/>
    </xf>
    <xf numFmtId="37" fontId="4" fillId="0" borderId="0" xfId="0" applyFont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4" fillId="0" borderId="2" xfId="0" applyFont="1" applyBorder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0" fillId="0" borderId="2" xfId="0" applyFont="1" applyBorder="1" applyAlignment="1" applyProtection="1">
      <alignment horizontal="center"/>
      <protection locked="0"/>
    </xf>
    <xf numFmtId="37" fontId="10" fillId="0" borderId="2" xfId="0" applyFont="1" applyBorder="1" applyAlignment="1">
      <alignment horizontal="center"/>
    </xf>
    <xf numFmtId="180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Protection="1"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Fill="1" applyProtection="1">
      <protection locked="0"/>
    </xf>
    <xf numFmtId="37" fontId="10" fillId="0" borderId="0" xfId="0" applyNumberFormat="1" applyFont="1"/>
    <xf numFmtId="37" fontId="10" fillId="0" borderId="0" xfId="0" applyFont="1" applyAlignment="1" applyProtection="1">
      <alignment horizontal="left" indent="1"/>
      <protection locked="0"/>
    </xf>
    <xf numFmtId="169" fontId="10" fillId="0" borderId="0" xfId="0" applyNumberFormat="1" applyFont="1" applyProtection="1"/>
    <xf numFmtId="37" fontId="10" fillId="0" borderId="0" xfId="0" applyFont="1" applyFill="1" applyAlignment="1" applyProtection="1">
      <alignment horizontal="left" indent="1"/>
      <protection locked="0"/>
    </xf>
    <xf numFmtId="37" fontId="10" fillId="0" borderId="0" xfId="0" applyNumberFormat="1" applyFont="1" applyFill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37" fontId="10" fillId="0" borderId="5" xfId="0" applyNumberFormat="1" applyFont="1" applyBorder="1" applyProtection="1">
      <protection locked="0"/>
    </xf>
    <xf numFmtId="37" fontId="10" fillId="0" borderId="0" xfId="0" quotePrefix="1" applyNumberFormat="1" applyFont="1" applyProtection="1"/>
    <xf numFmtId="37" fontId="44" fillId="0" borderId="0" xfId="0" quotePrefix="1" applyFont="1"/>
    <xf numFmtId="37" fontId="45" fillId="0" borderId="0" xfId="0" applyFont="1"/>
    <xf numFmtId="37" fontId="45" fillId="0" borderId="0" xfId="0" applyNumberFormat="1" applyFont="1" applyProtection="1"/>
    <xf numFmtId="180" fontId="45" fillId="0" borderId="0" xfId="0" applyNumberFormat="1" applyFont="1" applyAlignment="1" applyProtection="1">
      <alignment horizontal="center"/>
      <protection locked="0"/>
    </xf>
    <xf numFmtId="37" fontId="42" fillId="0" borderId="0" xfId="0" quotePrefix="1" applyFont="1"/>
    <xf numFmtId="10" fontId="45" fillId="0" borderId="0" xfId="0" applyNumberFormat="1" applyFont="1" applyProtection="1"/>
    <xf numFmtId="169" fontId="45" fillId="0" borderId="0" xfId="0" applyNumberFormat="1" applyFont="1" applyProtection="1"/>
    <xf numFmtId="37" fontId="14" fillId="0" borderId="0" xfId="0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center"/>
      <protection locked="0"/>
    </xf>
    <xf numFmtId="37" fontId="14" fillId="0" borderId="0" xfId="0" applyFont="1" applyProtection="1">
      <protection locked="0"/>
    </xf>
    <xf numFmtId="37" fontId="15" fillId="0" borderId="0" xfId="0" applyFont="1" applyAlignment="1" applyProtection="1">
      <alignment horizontal="left"/>
      <protection locked="0"/>
    </xf>
    <xf numFmtId="37" fontId="14" fillId="0" borderId="0" xfId="0" applyFont="1" applyAlignment="1" applyProtection="1">
      <alignment horizontal="left" indent="2"/>
      <protection locked="0"/>
    </xf>
    <xf numFmtId="37" fontId="14" fillId="0" borderId="0" xfId="0" applyFont="1" applyAlignment="1" applyProtection="1">
      <protection locked="0"/>
    </xf>
    <xf numFmtId="37" fontId="14" fillId="0" borderId="0" xfId="0" applyFont="1" applyAlignment="1"/>
    <xf numFmtId="37" fontId="14" fillId="0" borderId="0" xfId="0" applyFont="1" applyBorder="1" applyAlignment="1" applyProtection="1">
      <alignment horizontal="left" indent="2"/>
      <protection locked="0"/>
    </xf>
    <xf numFmtId="37" fontId="17" fillId="0" borderId="0" xfId="0" applyNumberFormat="1" applyFont="1" applyFill="1" applyProtection="1"/>
    <xf numFmtId="37" fontId="15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2"/>
    </xf>
    <xf numFmtId="37" fontId="15" fillId="0" borderId="0" xfId="0" applyFont="1" applyBorder="1" applyAlignment="1" applyProtection="1">
      <alignment horizontal="left" indent="1"/>
      <protection locked="0"/>
    </xf>
    <xf numFmtId="37" fontId="14" fillId="0" borderId="0" xfId="0" applyFont="1" applyAlignment="1" applyProtection="1"/>
    <xf numFmtId="37" fontId="10" fillId="0" borderId="0" xfId="0" applyFont="1" applyAlignment="1" applyProtection="1">
      <alignment horizontal="left" indent="2"/>
      <protection locked="0"/>
    </xf>
    <xf numFmtId="37" fontId="10" fillId="0" borderId="0" xfId="0" applyFont="1" applyAlignment="1" applyProtection="1">
      <protection locked="0"/>
    </xf>
    <xf numFmtId="37" fontId="10" fillId="0" borderId="0" xfId="0" applyFont="1" applyBorder="1" applyAlignment="1" applyProtection="1">
      <alignment horizontal="left" indent="2"/>
      <protection locked="0"/>
    </xf>
    <xf numFmtId="37" fontId="6" fillId="0" borderId="0" xfId="0" applyFont="1" applyAlignment="1" applyProtection="1">
      <alignment horizontal="left" indent="1"/>
      <protection locked="0"/>
    </xf>
    <xf numFmtId="37" fontId="10" fillId="0" borderId="0" xfId="0" applyFont="1" applyFill="1" applyAlignment="1" applyProtection="1">
      <alignment horizontal="center"/>
      <protection locked="0"/>
    </xf>
    <xf numFmtId="37" fontId="10" fillId="0" borderId="0" xfId="0" applyFont="1" applyAlignment="1" applyProtection="1"/>
    <xf numFmtId="37" fontId="5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43" fontId="41" fillId="0" borderId="0" xfId="1" applyFont="1"/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left"/>
    </xf>
    <xf numFmtId="177" fontId="10" fillId="0" borderId="0" xfId="1" applyNumberFormat="1" applyFont="1"/>
    <xf numFmtId="49" fontId="4" fillId="0" borderId="0" xfId="0" applyNumberFormat="1" applyFont="1" applyAlignment="1">
      <alignment horizontal="center"/>
    </xf>
    <xf numFmtId="37" fontId="16" fillId="0" borderId="5" xfId="0" applyFont="1" applyBorder="1" applyAlignment="1">
      <alignment horizontal="center"/>
    </xf>
    <xf numFmtId="10" fontId="4" fillId="0" borderId="0" xfId="0" applyNumberFormat="1" applyFont="1" applyBorder="1" applyProtection="1"/>
    <xf numFmtId="37" fontId="46" fillId="0" borderId="0" xfId="3" applyNumberFormat="1" applyFont="1" applyAlignment="1" applyProtection="1"/>
    <xf numFmtId="182" fontId="4" fillId="0" borderId="0" xfId="2" applyNumberFormat="1" applyFont="1"/>
    <xf numFmtId="182" fontId="4" fillId="0" borderId="0" xfId="2" applyNumberFormat="1" applyFont="1" applyFill="1" applyProtection="1"/>
    <xf numFmtId="182" fontId="10" fillId="0" borderId="0" xfId="2" applyNumberFormat="1" applyFont="1" applyFill="1" applyProtection="1"/>
    <xf numFmtId="182" fontId="4" fillId="0" borderId="6" xfId="2" applyNumberFormat="1" applyFont="1" applyBorder="1" applyProtection="1"/>
    <xf numFmtId="44" fontId="4" fillId="0" borderId="0" xfId="2" applyFont="1"/>
    <xf numFmtId="185" fontId="0" fillId="0" borderId="0" xfId="1" applyNumberFormat="1" applyFont="1"/>
    <xf numFmtId="185" fontId="10" fillId="0" borderId="0" xfId="1" applyNumberFormat="1" applyFont="1" applyFill="1" applyProtection="1"/>
    <xf numFmtId="185" fontId="10" fillId="0" borderId="5" xfId="1" applyNumberFormat="1" applyFont="1" applyFill="1" applyBorder="1" applyProtection="1"/>
    <xf numFmtId="185" fontId="0" fillId="0" borderId="5" xfId="1" applyNumberFormat="1" applyFont="1" applyBorder="1"/>
    <xf numFmtId="185" fontId="4" fillId="0" borderId="0" xfId="1" applyNumberFormat="1" applyFont="1"/>
    <xf numFmtId="185" fontId="4" fillId="0" borderId="5" xfId="1" applyNumberFormat="1" applyFont="1" applyBorder="1"/>
    <xf numFmtId="0" fontId="10" fillId="0" borderId="0" xfId="0" applyNumberFormat="1" applyFont="1" applyAlignment="1">
      <alignment horizontal="center"/>
    </xf>
    <xf numFmtId="37" fontId="10" fillId="2" borderId="5" xfId="0" applyFont="1" applyFill="1" applyBorder="1"/>
    <xf numFmtId="37" fontId="10" fillId="0" borderId="24" xfId="0" applyFont="1" applyBorder="1" applyAlignment="1" applyProtection="1">
      <alignment horizontal="center"/>
      <protection locked="0"/>
    </xf>
    <xf numFmtId="0" fontId="23" fillId="0" borderId="0" xfId="0" quotePrefix="1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37" fontId="10" fillId="0" borderId="5" xfId="0" applyFont="1" applyFill="1" applyBorder="1" applyAlignment="1" applyProtection="1">
      <alignment horizontal="left"/>
    </xf>
    <xf numFmtId="37" fontId="10" fillId="0" borderId="23" xfId="0" applyFont="1" applyFill="1" applyBorder="1"/>
    <xf numFmtId="37" fontId="10" fillId="0" borderId="21" xfId="0" applyFont="1" applyFill="1" applyBorder="1"/>
    <xf numFmtId="37" fontId="0" fillId="0" borderId="0" xfId="0" applyAlignment="1">
      <alignment horizontal="left" indent="1"/>
    </xf>
    <xf numFmtId="43" fontId="10" fillId="0" borderId="0" xfId="1" applyFont="1" applyAlignment="1" applyProtection="1">
      <alignment horizontal="left"/>
    </xf>
    <xf numFmtId="0" fontId="0" fillId="0" borderId="0" xfId="0" applyNumberFormat="1"/>
    <xf numFmtId="182" fontId="0" fillId="0" borderId="0" xfId="2" applyNumberFormat="1" applyFont="1"/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85" fontId="41" fillId="0" borderId="0" xfId="1" applyNumberFormat="1" applyFont="1"/>
    <xf numFmtId="10" fontId="10" fillId="0" borderId="0" xfId="13" applyNumberFormat="1" applyFont="1" applyFill="1" applyBorder="1"/>
    <xf numFmtId="40" fontId="36" fillId="2" borderId="0" xfId="8" applyFont="1" applyBorder="1" applyAlignment="1">
      <alignment horizontal="left"/>
    </xf>
    <xf numFmtId="37" fontId="14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10" xfId="2" applyNumberFormat="1" applyFont="1" applyBorder="1"/>
    <xf numFmtId="0" fontId="10" fillId="0" borderId="0" xfId="1" applyNumberFormat="1" applyFont="1" applyAlignment="1" applyProtection="1">
      <alignment horizontal="right"/>
    </xf>
    <xf numFmtId="182" fontId="0" fillId="0" borderId="0" xfId="2" applyNumberFormat="1" applyFont="1" applyFill="1" applyBorder="1"/>
    <xf numFmtId="43" fontId="0" fillId="0" borderId="5" xfId="1" applyFont="1" applyBorder="1"/>
    <xf numFmtId="43" fontId="16" fillId="0" borderId="0" xfId="1" applyFont="1" applyAlignment="1" applyProtection="1">
      <alignment horizontal="left"/>
    </xf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4" fillId="0" borderId="0" xfId="2" applyNumberFormat="1" applyFont="1" applyBorder="1"/>
    <xf numFmtId="43" fontId="4" fillId="0" borderId="0" xfId="1" applyFont="1" applyAlignment="1" applyProtection="1">
      <alignment horizontal="left"/>
    </xf>
    <xf numFmtId="182" fontId="4" fillId="0" borderId="10" xfId="2" applyNumberFormat="1" applyFont="1" applyBorder="1"/>
    <xf numFmtId="0" fontId="4" fillId="0" borderId="0" xfId="1" applyNumberFormat="1" applyFont="1" applyAlignment="1" applyProtection="1">
      <alignment horizontal="right"/>
    </xf>
    <xf numFmtId="182" fontId="4" fillId="0" borderId="0" xfId="2" applyNumberFormat="1" applyFont="1" applyFill="1" applyBorder="1"/>
    <xf numFmtId="182" fontId="4" fillId="0" borderId="10" xfId="2" applyNumberFormat="1" applyFont="1" applyFill="1" applyBorder="1"/>
    <xf numFmtId="182" fontId="4" fillId="0" borderId="6" xfId="2" applyNumberFormat="1" applyFont="1" applyBorder="1"/>
    <xf numFmtId="37" fontId="4" fillId="0" borderId="9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center"/>
    </xf>
    <xf numFmtId="37" fontId="4" fillId="0" borderId="21" xfId="0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</xf>
    <xf numFmtId="9" fontId="0" fillId="0" borderId="0" xfId="13" applyFont="1" applyBorder="1" applyAlignment="1">
      <alignment horizontal="center"/>
    </xf>
    <xf numFmtId="182" fontId="14" fillId="0" borderId="0" xfId="2" applyNumberFormat="1" applyFont="1" applyFill="1" applyProtection="1"/>
    <xf numFmtId="37" fontId="14" fillId="0" borderId="23" xfId="0" applyFont="1" applyBorder="1"/>
    <xf numFmtId="37" fontId="14" fillId="0" borderId="9" xfId="0" applyFont="1" applyBorder="1"/>
    <xf numFmtId="37" fontId="14" fillId="0" borderId="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center"/>
    </xf>
    <xf numFmtId="9" fontId="14" fillId="0" borderId="0" xfId="13" applyFont="1" applyAlignment="1" applyProtection="1">
      <alignment horizontal="center"/>
    </xf>
    <xf numFmtId="182" fontId="4" fillId="0" borderId="0" xfId="2" applyNumberFormat="1" applyFont="1" applyFill="1"/>
    <xf numFmtId="182" fontId="14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4" fillId="0" borderId="0" xfId="1" applyFont="1" applyFill="1" applyProtection="1"/>
    <xf numFmtId="43" fontId="14" fillId="0" borderId="5" xfId="1" applyFont="1" applyFill="1" applyBorder="1" applyProtection="1"/>
    <xf numFmtId="182" fontId="14" fillId="0" borderId="0" xfId="2" applyNumberFormat="1" applyFont="1" applyProtection="1"/>
    <xf numFmtId="185" fontId="14" fillId="0" borderId="0" xfId="1" applyNumberFormat="1" applyFont="1" applyProtection="1"/>
    <xf numFmtId="185" fontId="14" fillId="0" borderId="0" xfId="1" applyNumberFormat="1" applyFont="1" applyFill="1" applyProtection="1"/>
    <xf numFmtId="185" fontId="14" fillId="0" borderId="5" xfId="1" applyNumberFormat="1" applyFont="1" applyFill="1" applyBorder="1" applyProtection="1"/>
    <xf numFmtId="185" fontId="14" fillId="0" borderId="5" xfId="1" applyNumberFormat="1" applyFont="1" applyBorder="1" applyProtection="1"/>
    <xf numFmtId="185" fontId="4" fillId="0" borderId="0" xfId="1" applyNumberFormat="1" applyFont="1" applyFill="1" applyProtection="1"/>
    <xf numFmtId="185" fontId="14" fillId="0" borderId="0" xfId="1" applyNumberFormat="1" applyFont="1" applyBorder="1" applyProtection="1"/>
    <xf numFmtId="9" fontId="14" fillId="0" borderId="0" xfId="13" applyFont="1" applyFill="1" applyAlignment="1" applyProtection="1">
      <alignment horizontal="center"/>
    </xf>
    <xf numFmtId="10" fontId="14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4" fillId="2" borderId="5" xfId="0" applyFont="1" applyFill="1" applyBorder="1"/>
    <xf numFmtId="37" fontId="4" fillId="0" borderId="2" xfId="0" applyFont="1" applyFill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4" fillId="0" borderId="5" xfId="0" applyFont="1" applyBorder="1" applyAlignment="1" applyProtection="1">
      <alignment horizontal="left"/>
      <protection locked="0"/>
    </xf>
    <xf numFmtId="37" fontId="4" fillId="0" borderId="22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left"/>
    </xf>
    <xf numFmtId="183" fontId="4" fillId="0" borderId="0" xfId="0" applyNumberFormat="1" applyFont="1" applyAlignment="1" applyProtection="1">
      <alignment horizontal="left"/>
      <protection locked="0"/>
    </xf>
    <xf numFmtId="37" fontId="4" fillId="0" borderId="0" xfId="0" quotePrefix="1" applyFont="1"/>
    <xf numFmtId="5" fontId="4" fillId="0" borderId="0" xfId="0" applyNumberFormat="1" applyFont="1" applyBorder="1"/>
    <xf numFmtId="37" fontId="0" fillId="0" borderId="7" xfId="0" applyBorder="1" applyAlignment="1">
      <alignment horizontal="center"/>
    </xf>
    <xf numFmtId="183" fontId="4" fillId="0" borderId="0" xfId="0" applyNumberFormat="1" applyFont="1" applyFill="1" applyAlignment="1">
      <alignment horizontal="left"/>
    </xf>
    <xf numFmtId="37" fontId="4" fillId="0" borderId="24" xfId="0" applyFont="1" applyBorder="1" applyAlignment="1" applyProtection="1">
      <alignment horizontal="center"/>
      <protection locked="0"/>
    </xf>
    <xf numFmtId="17" fontId="4" fillId="0" borderId="22" xfId="0" applyNumberFormat="1" applyFont="1" applyFill="1" applyBorder="1" applyAlignment="1">
      <alignment horizontal="center"/>
    </xf>
    <xf numFmtId="0" fontId="4" fillId="0" borderId="0" xfId="0" quotePrefix="1" applyNumberFormat="1" applyFont="1" applyAlignment="1">
      <alignment horizontal="center"/>
    </xf>
    <xf numFmtId="185" fontId="10" fillId="0" borderId="0" xfId="1" applyNumberFormat="1" applyFont="1" applyFill="1" applyBorder="1" applyProtection="1"/>
    <xf numFmtId="0" fontId="23" fillId="0" borderId="0" xfId="0" applyNumberFormat="1" applyFont="1" applyFill="1" applyAlignment="1">
      <alignment horizontal="center"/>
    </xf>
    <xf numFmtId="185" fontId="23" fillId="0" borderId="0" xfId="1" applyNumberFormat="1" applyFont="1" applyFill="1" applyAlignment="1">
      <alignment horizontal="center"/>
    </xf>
    <xf numFmtId="37" fontId="41" fillId="0" borderId="0" xfId="0" applyFont="1" applyFill="1" applyAlignment="1">
      <alignment horizontal="left" indent="1"/>
    </xf>
    <xf numFmtId="0" fontId="23" fillId="0" borderId="0" xfId="0" applyNumberFormat="1" applyFont="1" applyFill="1" applyAlignment="1">
      <alignment horizontal="left"/>
    </xf>
    <xf numFmtId="185" fontId="23" fillId="0" borderId="0" xfId="1" applyNumberFormat="1" applyFont="1" applyFill="1" applyAlignment="1">
      <alignment horizontal="left"/>
    </xf>
    <xf numFmtId="10" fontId="4" fillId="2" borderId="5" xfId="13" applyNumberFormat="1" applyFont="1" applyFill="1" applyBorder="1"/>
    <xf numFmtId="37" fontId="4" fillId="0" borderId="2" xfId="0" applyFont="1" applyBorder="1" applyAlignment="1">
      <alignment horizontal="center"/>
    </xf>
    <xf numFmtId="37" fontId="4" fillId="0" borderId="0" xfId="0" applyFont="1" applyFill="1" applyBorder="1" applyAlignment="1">
      <alignment horizontal="centerContinuous"/>
    </xf>
    <xf numFmtId="180" fontId="4" fillId="0" borderId="0" xfId="0" applyNumberFormat="1" applyFont="1" applyProtection="1"/>
    <xf numFmtId="180" fontId="4" fillId="0" borderId="0" xfId="0" applyNumberFormat="1" applyFont="1"/>
    <xf numFmtId="180" fontId="4" fillId="0" borderId="0" xfId="0" quotePrefix="1" applyNumberFormat="1" applyFont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Font="1" applyAlignment="1">
      <alignment horizontal="right"/>
    </xf>
    <xf numFmtId="185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185" fontId="4" fillId="0" borderId="0" xfId="1" applyNumberFormat="1" applyFont="1" applyBorder="1" applyProtection="1"/>
    <xf numFmtId="185" fontId="4" fillId="0" borderId="0" xfId="1" applyNumberFormat="1" applyFont="1" applyBorder="1"/>
    <xf numFmtId="185" fontId="4" fillId="0" borderId="0" xfId="1" applyNumberFormat="1" applyFont="1" applyFill="1" applyBorder="1"/>
    <xf numFmtId="185" fontId="4" fillId="0" borderId="0" xfId="1" applyNumberFormat="1" applyFont="1" applyFill="1" applyBorder="1" applyAlignment="1" applyProtection="1">
      <alignment horizontal="center"/>
    </xf>
    <xf numFmtId="185" fontId="4" fillId="0" borderId="0" xfId="1" applyNumberFormat="1" applyFont="1" applyBorder="1" applyAlignment="1" applyProtection="1">
      <alignment horizontal="center"/>
    </xf>
    <xf numFmtId="185" fontId="4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6" fillId="0" borderId="5" xfId="0" applyFont="1" applyBorder="1"/>
    <xf numFmtId="10" fontId="41" fillId="0" borderId="5" xfId="13" applyNumberFormat="1" applyFont="1" applyFill="1" applyBorder="1"/>
    <xf numFmtId="37" fontId="4" fillId="0" borderId="0" xfId="0" applyFont="1" applyFill="1" applyAlignment="1" applyProtection="1">
      <alignment horizontal="center"/>
      <protection locked="0"/>
    </xf>
    <xf numFmtId="37" fontId="41" fillId="0" borderId="0" xfId="0" applyFont="1" applyFill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23" xfId="0" applyFont="1" applyBorder="1" applyAlignment="1" applyProtection="1">
      <alignment horizontal="left"/>
    </xf>
    <xf numFmtId="37" fontId="4" fillId="0" borderId="9" xfId="0" applyFont="1" applyBorder="1"/>
    <xf numFmtId="37" fontId="4" fillId="0" borderId="8" xfId="0" applyFont="1" applyBorder="1" applyAlignment="1" applyProtection="1">
      <alignment horizontal="left"/>
    </xf>
    <xf numFmtId="37" fontId="4" fillId="0" borderId="1" xfId="0" applyFont="1" applyBorder="1"/>
    <xf numFmtId="0" fontId="4" fillId="0" borderId="0" xfId="0" applyNumberFormat="1" applyFont="1"/>
    <xf numFmtId="0" fontId="4" fillId="0" borderId="0" xfId="0" applyNumberFormat="1" applyFont="1" applyFill="1"/>
    <xf numFmtId="37" fontId="4" fillId="0" borderId="0" xfId="0" applyFont="1" applyAlignment="1" applyProtection="1">
      <alignment horizontal="left" wrapText="1"/>
    </xf>
    <xf numFmtId="37" fontId="4" fillId="0" borderId="5" xfId="0" applyFont="1" applyFill="1" applyBorder="1" applyAlignment="1" applyProtection="1">
      <alignment horizontal="left"/>
    </xf>
    <xf numFmtId="37" fontId="4" fillId="0" borderId="23" xfId="0" applyFont="1" applyFill="1" applyBorder="1"/>
    <xf numFmtId="37" fontId="4" fillId="0" borderId="21" xfId="0" applyFont="1" applyFill="1" applyBorder="1"/>
    <xf numFmtId="186" fontId="4" fillId="0" borderId="22" xfId="0" applyNumberFormat="1" applyFont="1" applyFill="1" applyBorder="1" applyAlignment="1" applyProtection="1">
      <alignment horizontal="center"/>
      <protection locked="0"/>
    </xf>
    <xf numFmtId="182" fontId="5" fillId="0" borderId="0" xfId="2" applyNumberFormat="1" applyFont="1" applyFill="1" applyProtection="1"/>
    <xf numFmtId="37" fontId="16" fillId="0" borderId="0" xfId="0" applyFont="1" applyBorder="1"/>
    <xf numFmtId="185" fontId="10" fillId="0" borderId="0" xfId="1" applyNumberFormat="1" applyFont="1" applyFill="1" applyProtection="1">
      <protection locked="0"/>
    </xf>
    <xf numFmtId="185" fontId="14" fillId="0" borderId="0" xfId="1" applyNumberFormat="1" applyFont="1" applyFill="1"/>
    <xf numFmtId="9" fontId="0" fillId="0" borderId="0" xfId="13" quotePrefix="1" applyFont="1" applyAlignment="1">
      <alignment horizontal="center"/>
    </xf>
    <xf numFmtId="37" fontId="16" fillId="0" borderId="5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left"/>
    </xf>
    <xf numFmtId="37" fontId="0" fillId="0" borderId="0" xfId="0" applyFont="1" applyAlignment="1" applyProtection="1">
      <alignment horizontal="left" indent="1"/>
    </xf>
    <xf numFmtId="185" fontId="0" fillId="0" borderId="0" xfId="1" applyNumberFormat="1" applyFont="1" applyProtection="1"/>
    <xf numFmtId="10" fontId="4" fillId="0" borderId="0" xfId="13" applyNumberFormat="1" applyFont="1" applyAlignment="1" applyProtection="1">
      <alignment horizontal="center"/>
    </xf>
    <xf numFmtId="185" fontId="0" fillId="0" borderId="5" xfId="1" applyNumberFormat="1" applyFont="1" applyBorder="1" applyProtection="1"/>
    <xf numFmtId="37" fontId="14" fillId="0" borderId="0" xfId="0" applyFont="1" applyBorder="1" applyAlignment="1" applyProtection="1">
      <alignment horizontal="left" indent="2"/>
    </xf>
    <xf numFmtId="0" fontId="0" fillId="0" borderId="0" xfId="0" applyNumberFormat="1" applyFont="1" applyAlignment="1" applyProtection="1">
      <alignment horizontal="center"/>
    </xf>
    <xf numFmtId="37" fontId="0" fillId="0" borderId="0" xfId="0" applyFont="1" applyAlignment="1" applyProtection="1">
      <alignment horizontal="left" indent="2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7" fillId="0" borderId="0" xfId="0" applyFont="1" applyBorder="1" applyProtection="1"/>
    <xf numFmtId="37" fontId="14" fillId="0" borderId="0" xfId="0" applyFont="1" applyAlignment="1">
      <alignment horizontal="left" indent="1"/>
    </xf>
    <xf numFmtId="185" fontId="0" fillId="0" borderId="0" xfId="1" applyNumberFormat="1" applyFont="1" applyBorder="1" applyAlignment="1">
      <alignment horizontal="center"/>
    </xf>
    <xf numFmtId="9" fontId="0" fillId="0" borderId="0" xfId="13" applyFont="1" applyBorder="1" applyAlignment="1" applyProtection="1">
      <alignment horizontal="center"/>
    </xf>
    <xf numFmtId="10" fontId="0" fillId="0" borderId="0" xfId="13" applyNumberFormat="1" applyFont="1" applyBorder="1" applyAlignment="1">
      <alignment horizontal="center"/>
    </xf>
    <xf numFmtId="10" fontId="4" fillId="0" borderId="0" xfId="13" applyNumberFormat="1" applyFont="1" applyBorder="1" applyAlignment="1" applyProtection="1">
      <alignment horizontal="center"/>
    </xf>
    <xf numFmtId="37" fontId="14" fillId="0" borderId="0" xfId="0" applyFont="1" applyAlignment="1" applyProtection="1">
      <alignment horizontal="left" indent="3"/>
    </xf>
    <xf numFmtId="185" fontId="0" fillId="0" borderId="5" xfId="1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185" fontId="4" fillId="0" borderId="5" xfId="1" applyNumberFormat="1" applyFont="1" applyBorder="1" applyAlignment="1" applyProtection="1">
      <alignment horizontal="center"/>
    </xf>
    <xf numFmtId="185" fontId="0" fillId="0" borderId="5" xfId="1" applyNumberFormat="1" applyFont="1" applyBorder="1" applyAlignment="1">
      <alignment horizontal="center"/>
    </xf>
    <xf numFmtId="37" fontId="0" fillId="0" borderId="0" xfId="0" applyFont="1" applyBorder="1" applyAlignment="1" applyProtection="1">
      <alignment horizontal="left"/>
    </xf>
    <xf numFmtId="37" fontId="25" fillId="0" borderId="0" xfId="0" applyFont="1" applyBorder="1" applyProtection="1"/>
    <xf numFmtId="37" fontId="0" fillId="0" borderId="0" xfId="0" applyFont="1" applyBorder="1" applyAlignment="1">
      <alignment horizontal="left" indent="1"/>
    </xf>
    <xf numFmtId="37" fontId="0" fillId="0" borderId="0" xfId="0" applyFont="1" applyFill="1" applyBorder="1" applyAlignment="1">
      <alignment horizontal="left" indent="2"/>
    </xf>
    <xf numFmtId="185" fontId="10" fillId="0" borderId="0" xfId="1" applyNumberFormat="1" applyFont="1"/>
    <xf numFmtId="185" fontId="4" fillId="0" borderId="5" xfId="1" applyNumberFormat="1" applyFont="1" applyBorder="1" applyProtection="1"/>
    <xf numFmtId="5" fontId="14" fillId="0" borderId="0" xfId="0" applyNumberFormat="1" applyFont="1" applyFill="1" applyProtection="1"/>
    <xf numFmtId="10" fontId="28" fillId="0" borderId="0" xfId="13" applyNumberFormat="1" applyFont="1" applyFill="1"/>
    <xf numFmtId="10" fontId="14" fillId="0" borderId="0" xfId="13" applyNumberFormat="1" applyFont="1"/>
    <xf numFmtId="37" fontId="4" fillId="0" borderId="5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185" fontId="4" fillId="0" borderId="0" xfId="1" applyNumberFormat="1" applyFont="1" applyBorder="1" applyAlignment="1">
      <alignment horizontal="center"/>
    </xf>
    <xf numFmtId="9" fontId="4" fillId="0" borderId="0" xfId="13" applyFont="1" applyBorder="1" applyAlignment="1">
      <alignment horizontal="center"/>
    </xf>
    <xf numFmtId="10" fontId="4" fillId="0" borderId="0" xfId="13" applyNumberFormat="1" applyFont="1" applyBorder="1" applyAlignment="1">
      <alignment horizontal="center"/>
    </xf>
    <xf numFmtId="10" fontId="4" fillId="0" borderId="0" xfId="13" applyNumberFormat="1" applyFont="1" applyAlignment="1">
      <alignment horizontal="center"/>
    </xf>
    <xf numFmtId="37" fontId="16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10" fontId="0" fillId="0" borderId="0" xfId="0" applyNumberFormat="1" applyFont="1" applyBorder="1"/>
    <xf numFmtId="10" fontId="0" fillId="0" borderId="0" xfId="0" applyNumberFormat="1" applyFont="1"/>
    <xf numFmtId="185" fontId="4" fillId="0" borderId="5" xfId="1" applyNumberFormat="1" applyFont="1" applyBorder="1" applyAlignment="1">
      <alignment horizontal="center"/>
    </xf>
    <xf numFmtId="37" fontId="11" fillId="0" borderId="0" xfId="0" applyFont="1" applyAlignment="1" applyProtection="1">
      <alignment horizontal="left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4" fillId="0" borderId="5" xfId="1" applyNumberFormat="1" applyFont="1" applyFill="1" applyBorder="1" applyProtection="1"/>
    <xf numFmtId="37" fontId="16" fillId="0" borderId="0" xfId="0" applyFont="1" applyAlignment="1" applyProtection="1">
      <alignment horizontal="left" indent="1"/>
    </xf>
    <xf numFmtId="37" fontId="16" fillId="0" borderId="0" xfId="0" applyFont="1" applyFill="1" applyAlignment="1">
      <alignment horizontal="left" indent="1"/>
    </xf>
    <xf numFmtId="9" fontId="4" fillId="0" borderId="0" xfId="13" applyFont="1" applyFill="1" applyBorder="1" applyAlignment="1">
      <alignment horizontal="center"/>
    </xf>
    <xf numFmtId="10" fontId="4" fillId="0" borderId="0" xfId="13" applyNumberFormat="1" applyFont="1" applyFill="1" applyBorder="1" applyAlignment="1">
      <alignment horizontal="center"/>
    </xf>
    <xf numFmtId="37" fontId="0" fillId="0" borderId="0" xfId="0" applyFont="1" applyBorder="1" applyAlignment="1">
      <alignment horizontal="center"/>
    </xf>
    <xf numFmtId="10" fontId="0" fillId="0" borderId="0" xfId="13" applyNumberFormat="1" applyFont="1" applyFill="1"/>
    <xf numFmtId="173" fontId="14" fillId="0" borderId="0" xfId="13" applyNumberFormat="1" applyFont="1" applyFill="1"/>
    <xf numFmtId="188" fontId="14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0" fontId="7" fillId="0" borderId="0" xfId="0" applyNumberFormat="1" applyFont="1" applyBorder="1" applyProtection="1"/>
    <xf numFmtId="10" fontId="0" fillId="0" borderId="0" xfId="0" applyNumberFormat="1"/>
    <xf numFmtId="185" fontId="4" fillId="0" borderId="0" xfId="1" applyNumberFormat="1" applyFont="1" applyFill="1"/>
    <xf numFmtId="185" fontId="4" fillId="0" borderId="2" xfId="1" applyNumberFormat="1" applyFont="1" applyFill="1" applyBorder="1" applyProtection="1"/>
    <xf numFmtId="182" fontId="4" fillId="0" borderId="0" xfId="2" applyNumberFormat="1" applyFont="1" applyBorder="1" applyProtection="1"/>
    <xf numFmtId="37" fontId="4" fillId="0" borderId="2" xfId="0" applyFont="1" applyFill="1" applyBorder="1" applyAlignment="1" applyProtection="1">
      <alignment horizontal="left"/>
    </xf>
    <xf numFmtId="37" fontId="5" fillId="0" borderId="0" xfId="0" applyFont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9" fillId="0" borderId="0" xfId="0" applyFont="1" applyFill="1" applyAlignment="1">
      <alignment horizontal="center"/>
    </xf>
    <xf numFmtId="37" fontId="8" fillId="0" borderId="3" xfId="0" applyFont="1" applyFill="1" applyBorder="1" applyProtection="1">
      <protection locked="0"/>
    </xf>
    <xf numFmtId="37" fontId="7" fillId="0" borderId="0" xfId="0" applyFont="1" applyFill="1"/>
    <xf numFmtId="37" fontId="4" fillId="0" borderId="0" xfId="5" applyFont="1"/>
    <xf numFmtId="37" fontId="5" fillId="0" borderId="0" xfId="5" applyFont="1"/>
    <xf numFmtId="37" fontId="4" fillId="0" borderId="0" xfId="5" applyFont="1" applyAlignment="1" applyProtection="1">
      <alignment horizontal="left"/>
    </xf>
    <xf numFmtId="37" fontId="4" fillId="0" borderId="0" xfId="5" applyAlignment="1" applyProtection="1">
      <alignment horizontal="left"/>
    </xf>
    <xf numFmtId="37" fontId="4" fillId="0" borderId="0" xfId="5" applyFont="1" applyBorder="1"/>
    <xf numFmtId="37" fontId="4" fillId="0" borderId="3" xfId="5" applyFont="1" applyBorder="1" applyAlignment="1" applyProtection="1">
      <alignment horizontal="center"/>
    </xf>
    <xf numFmtId="37" fontId="4" fillId="0" borderId="3" xfId="5" applyFont="1" applyBorder="1"/>
    <xf numFmtId="37" fontId="4" fillId="0" borderId="2" xfId="5" applyFont="1" applyBorder="1" applyAlignment="1" applyProtection="1">
      <alignment horizontal="center"/>
    </xf>
    <xf numFmtId="37" fontId="4" fillId="0" borderId="0" xfId="5" applyFont="1" applyProtection="1"/>
    <xf numFmtId="37" fontId="4" fillId="0" borderId="0" xfId="5" applyFont="1" applyAlignment="1" applyProtection="1">
      <alignment horizontal="center"/>
    </xf>
    <xf numFmtId="37" fontId="7" fillId="0" borderId="0" xfId="5" applyFont="1" applyAlignment="1" applyProtection="1">
      <alignment horizontal="center"/>
    </xf>
    <xf numFmtId="37" fontId="4" fillId="0" borderId="3" xfId="5" applyFont="1" applyBorder="1" applyProtection="1"/>
    <xf numFmtId="37" fontId="4" fillId="0" borderId="0" xfId="5"/>
    <xf numFmtId="37" fontId="4" fillId="0" borderId="0" xfId="5" applyAlignment="1" applyProtection="1">
      <alignment horizontal="center"/>
    </xf>
    <xf numFmtId="179" fontId="4" fillId="0" borderId="0" xfId="5" applyNumberFormat="1" applyFont="1"/>
    <xf numFmtId="37" fontId="5" fillId="0" borderId="0" xfId="5" applyFont="1" applyAlignment="1" applyProtection="1">
      <alignment horizontal="right"/>
    </xf>
    <xf numFmtId="37" fontId="4" fillId="0" borderId="0" xfId="5" applyFont="1" applyBorder="1" applyAlignment="1" applyProtection="1">
      <alignment horizontal="center"/>
    </xf>
    <xf numFmtId="37" fontId="16" fillId="0" borderId="0" xfId="5" applyFont="1" applyBorder="1" applyAlignment="1" applyProtection="1">
      <alignment horizontal="left"/>
    </xf>
    <xf numFmtId="37" fontId="16" fillId="0" borderId="5" xfId="5" applyFont="1" applyBorder="1" applyAlignment="1" applyProtection="1">
      <alignment horizontal="left"/>
    </xf>
    <xf numFmtId="10" fontId="4" fillId="0" borderId="0" xfId="5" applyNumberFormat="1" applyFont="1"/>
    <xf numFmtId="185" fontId="14" fillId="0" borderId="0" xfId="1" applyNumberFormat="1" applyFont="1" applyFill="1" applyProtection="1">
      <protection locked="0"/>
    </xf>
    <xf numFmtId="185" fontId="14" fillId="0" borderId="0" xfId="1" applyNumberFormat="1" applyFont="1" applyFill="1" applyBorder="1" applyProtection="1"/>
    <xf numFmtId="44" fontId="0" fillId="0" borderId="0" xfId="2" applyFont="1" applyFill="1"/>
    <xf numFmtId="37" fontId="4" fillId="0" borderId="0" xfId="0" quotePrefix="1" applyFont="1" applyAlignment="1">
      <alignment horizontal="center"/>
    </xf>
    <xf numFmtId="37" fontId="16" fillId="0" borderId="5" xfId="0" applyFont="1" applyFill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41" fillId="0" borderId="0" xfId="0" applyFont="1" applyAlignment="1">
      <alignment horizontal="right"/>
    </xf>
    <xf numFmtId="37" fontId="4" fillId="0" borderId="0" xfId="5" applyFont="1" applyBorder="1" applyProtection="1"/>
    <xf numFmtId="37" fontId="10" fillId="0" borderId="0" xfId="0" applyNumberFormat="1" applyFont="1" applyFill="1"/>
    <xf numFmtId="37" fontId="16" fillId="0" borderId="8" xfId="0" applyFont="1" applyBorder="1" applyAlignment="1" applyProtection="1">
      <alignment horizontal="center"/>
    </xf>
    <xf numFmtId="9" fontId="4" fillId="0" borderId="0" xfId="13" applyFont="1" applyFill="1" applyAlignment="1">
      <alignment horizontal="center"/>
    </xf>
    <xf numFmtId="9" fontId="4" fillId="0" borderId="0" xfId="13" applyFont="1" applyAlignment="1">
      <alignment horizontal="center"/>
    </xf>
    <xf numFmtId="10" fontId="4" fillId="0" borderId="0" xfId="13" applyNumberFormat="1" applyFont="1" applyFill="1" applyAlignment="1">
      <alignment horizontal="center"/>
    </xf>
    <xf numFmtId="182" fontId="4" fillId="0" borderId="6" xfId="2" applyNumberFormat="1" applyFont="1" applyFill="1" applyBorder="1"/>
    <xf numFmtId="37" fontId="16" fillId="0" borderId="21" xfId="0" applyFont="1" applyBorder="1" applyAlignment="1" applyProtection="1">
      <alignment horizontal="center"/>
    </xf>
    <xf numFmtId="182" fontId="4" fillId="0" borderId="0" xfId="2" applyNumberFormat="1" applyFont="1" applyProtection="1"/>
    <xf numFmtId="37" fontId="14" fillId="0" borderId="0" xfId="0" applyFont="1" applyBorder="1" applyAlignment="1" applyProtection="1">
      <alignment horizontal="left"/>
    </xf>
    <xf numFmtId="37" fontId="14" fillId="0" borderId="8" xfId="0" applyFont="1" applyBorder="1"/>
    <xf numFmtId="37" fontId="14" fillId="0" borderId="1" xfId="0" applyFont="1" applyBorder="1"/>
    <xf numFmtId="37" fontId="14" fillId="0" borderId="8" xfId="0" applyFont="1" applyBorder="1" applyAlignment="1" applyProtection="1">
      <alignment horizontal="center"/>
    </xf>
    <xf numFmtId="37" fontId="14" fillId="0" borderId="2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left"/>
    </xf>
    <xf numFmtId="182" fontId="10" fillId="0" borderId="0" xfId="2" applyNumberFormat="1" applyFont="1" applyProtection="1"/>
    <xf numFmtId="182" fontId="10" fillId="0" borderId="6" xfId="2" applyNumberFormat="1" applyFont="1" applyBorder="1" applyProtection="1"/>
    <xf numFmtId="9" fontId="4" fillId="0" borderId="0" xfId="0" applyNumberFormat="1" applyFont="1" applyAlignment="1" applyProtection="1">
      <alignment horizontal="center"/>
    </xf>
    <xf numFmtId="9" fontId="4" fillId="0" borderId="0" xfId="13" applyFont="1" applyAlignment="1" applyProtection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23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37" fontId="4" fillId="0" borderId="21" xfId="0" applyFont="1" applyBorder="1" applyAlignment="1">
      <alignment horizontal="center"/>
    </xf>
    <xf numFmtId="37" fontId="4" fillId="0" borderId="23" xfId="0" applyFont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25" xfId="0" applyFont="1" applyBorder="1" applyAlignment="1">
      <alignment horizontal="center"/>
    </xf>
    <xf numFmtId="178" fontId="4" fillId="0" borderId="0" xfId="1" applyNumberFormat="1" applyFont="1" applyFill="1" applyProtection="1"/>
    <xf numFmtId="37" fontId="4" fillId="0" borderId="0" xfId="0" applyFont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0" xfId="0" applyFont="1" applyAlignment="1" applyProtection="1">
      <alignment horizontal="right"/>
      <protection locked="0"/>
    </xf>
    <xf numFmtId="37" fontId="4" fillId="0" borderId="2" xfId="0" applyFont="1" applyBorder="1" applyAlignment="1" applyProtection="1">
      <alignment horizontal="right"/>
      <protection locked="0"/>
    </xf>
    <xf numFmtId="182" fontId="14" fillId="0" borderId="5" xfId="2" applyNumberFormat="1" applyFont="1" applyFill="1" applyBorder="1" applyProtection="1"/>
    <xf numFmtId="182" fontId="14" fillId="0" borderId="0" xfId="2" applyNumberFormat="1" applyFont="1" applyFill="1" applyBorder="1" applyProtection="1"/>
    <xf numFmtId="182" fontId="14" fillId="0" borderId="0" xfId="2" applyNumberFormat="1" applyFont="1" applyFill="1" applyProtection="1">
      <protection locked="0"/>
    </xf>
    <xf numFmtId="182" fontId="17" fillId="0" borderId="0" xfId="2" applyNumberFormat="1" applyFont="1" applyFill="1" applyProtection="1"/>
    <xf numFmtId="37" fontId="14" fillId="0" borderId="0" xfId="0" applyFont="1" applyAlignment="1">
      <alignment horizontal="right"/>
    </xf>
    <xf numFmtId="37" fontId="14" fillId="0" borderId="0" xfId="0" applyFont="1" applyBorder="1" applyAlignment="1" applyProtection="1">
      <alignment horizontal="right"/>
      <protection locked="0"/>
    </xf>
    <xf numFmtId="37" fontId="14" fillId="0" borderId="5" xfId="0" applyFont="1" applyBorder="1" applyAlignment="1">
      <alignment horizontal="right"/>
    </xf>
    <xf numFmtId="37" fontId="10" fillId="0" borderId="5" xfId="0" applyFont="1" applyBorder="1" applyAlignment="1">
      <alignment horizontal="right"/>
    </xf>
    <xf numFmtId="182" fontId="4" fillId="0" borderId="0" xfId="2" applyNumberFormat="1" applyFont="1" applyFill="1" applyBorder="1" applyProtection="1"/>
    <xf numFmtId="182" fontId="4" fillId="0" borderId="5" xfId="2" applyNumberFormat="1" applyFont="1" applyFill="1" applyBorder="1" applyProtection="1"/>
    <xf numFmtId="182" fontId="4" fillId="0" borderId="0" xfId="2" applyNumberFormat="1" applyFont="1" applyFill="1" applyProtection="1">
      <protection locked="0"/>
    </xf>
    <xf numFmtId="37" fontId="10" fillId="0" borderId="0" xfId="0" applyFont="1" applyBorder="1" applyAlignment="1"/>
    <xf numFmtId="37" fontId="10" fillId="0" borderId="0" xfId="0" applyFont="1" applyBorder="1" applyAlignment="1" applyProtection="1"/>
    <xf numFmtId="37" fontId="10" fillId="0" borderId="0" xfId="0" applyFont="1" applyFill="1" applyAlignment="1">
      <alignment horizontal="right"/>
    </xf>
    <xf numFmtId="37" fontId="10" fillId="0" borderId="0" xfId="0" applyFont="1" applyFill="1" applyAlignment="1" applyProtection="1">
      <alignment horizontal="right"/>
      <protection locked="0"/>
    </xf>
    <xf numFmtId="37" fontId="10" fillId="0" borderId="2" xfId="0" applyFont="1" applyFill="1" applyBorder="1" applyAlignment="1" applyProtection="1">
      <alignment horizontal="right"/>
      <protection locked="0"/>
    </xf>
    <xf numFmtId="37" fontId="10" fillId="0" borderId="23" xfId="0" applyFont="1" applyBorder="1" applyAlignment="1">
      <alignment horizontal="center"/>
    </xf>
    <xf numFmtId="37" fontId="10" fillId="0" borderId="7" xfId="0" applyFont="1" applyBorder="1" applyAlignment="1">
      <alignment horizontal="center"/>
    </xf>
    <xf numFmtId="37" fontId="10" fillId="0" borderId="7" xfId="0" applyFont="1" applyBorder="1" applyAlignment="1" applyProtection="1">
      <alignment horizontal="center"/>
      <protection locked="0"/>
    </xf>
    <xf numFmtId="37" fontId="10" fillId="0" borderId="21" xfId="0" applyFont="1" applyBorder="1" applyAlignment="1">
      <alignment horizontal="center"/>
    </xf>
    <xf numFmtId="37" fontId="10" fillId="0" borderId="5" xfId="0" applyFont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4" fillId="0" borderId="5" xfId="0" applyFont="1" applyBorder="1" applyAlignment="1" applyProtection="1">
      <alignment horizontal="center"/>
      <protection locked="0"/>
    </xf>
    <xf numFmtId="37" fontId="4" fillId="0" borderId="26" xfId="0" applyFont="1" applyBorder="1" applyAlignment="1">
      <alignment horizontal="center"/>
    </xf>
    <xf numFmtId="37" fontId="10" fillId="0" borderId="0" xfId="0" applyFont="1" applyAlignment="1">
      <alignment horizontal="right"/>
    </xf>
    <xf numFmtId="37" fontId="10" fillId="0" borderId="0" xfId="0" applyFont="1" applyAlignment="1" applyProtection="1">
      <alignment horizontal="right"/>
      <protection locked="0"/>
    </xf>
    <xf numFmtId="37" fontId="10" fillId="0" borderId="2" xfId="0" applyFont="1" applyBorder="1" applyAlignment="1" applyProtection="1">
      <alignment horizontal="right"/>
      <protection locked="0"/>
    </xf>
    <xf numFmtId="182" fontId="0" fillId="0" borderId="6" xfId="2" applyNumberFormat="1" applyFont="1" applyFill="1" applyBorder="1"/>
    <xf numFmtId="170" fontId="4" fillId="0" borderId="0" xfId="13" applyNumberFormat="1" applyFont="1"/>
    <xf numFmtId="174" fontId="4" fillId="0" borderId="0" xfId="13" applyNumberFormat="1" applyFont="1"/>
    <xf numFmtId="185" fontId="10" fillId="0" borderId="0" xfId="1" applyNumberFormat="1" applyFont="1" applyFill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37" fontId="16" fillId="0" borderId="0" xfId="0" applyFont="1" applyFill="1" applyAlignment="1" applyProtection="1">
      <alignment horizontal="left"/>
    </xf>
    <xf numFmtId="9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9" fontId="4" fillId="0" borderId="0" xfId="13" applyFont="1" applyBorder="1" applyAlignment="1" applyProtection="1">
      <alignment horizontal="center"/>
    </xf>
    <xf numFmtId="37" fontId="4" fillId="0" borderId="27" xfId="0" applyFont="1" applyBorder="1" applyAlignment="1">
      <alignment horizontal="center"/>
    </xf>
    <xf numFmtId="37" fontId="4" fillId="0" borderId="27" xfId="0" applyFont="1" applyBorder="1" applyAlignment="1" applyProtection="1">
      <alignment horizontal="center"/>
    </xf>
    <xf numFmtId="37" fontId="4" fillId="0" borderId="5" xfId="0" applyFont="1" applyFill="1" applyBorder="1" applyAlignment="1">
      <alignment horizontal="center"/>
    </xf>
    <xf numFmtId="182" fontId="10" fillId="0" borderId="10" xfId="2" applyNumberFormat="1" applyFont="1" applyBorder="1" applyProtection="1"/>
    <xf numFmtId="182" fontId="10" fillId="0" borderId="10" xfId="2" applyNumberFormat="1" applyFont="1" applyFill="1" applyBorder="1" applyProtection="1"/>
    <xf numFmtId="185" fontId="10" fillId="0" borderId="0" xfId="1" applyNumberFormat="1" applyFont="1" applyProtection="1"/>
    <xf numFmtId="185" fontId="10" fillId="0" borderId="2" xfId="1" applyNumberFormat="1" applyFont="1" applyFill="1" applyBorder="1" applyProtection="1"/>
    <xf numFmtId="185" fontId="10" fillId="0" borderId="5" xfId="1" applyNumberFormat="1" applyFont="1" applyBorder="1" applyProtection="1"/>
    <xf numFmtId="182" fontId="10" fillId="0" borderId="0" xfId="2" applyNumberFormat="1" applyFont="1" applyFill="1" applyProtection="1">
      <protection locked="0"/>
    </xf>
    <xf numFmtId="185" fontId="10" fillId="0" borderId="0" xfId="1" quotePrefix="1" applyNumberFormat="1" applyFont="1" applyFill="1" applyProtection="1"/>
    <xf numFmtId="185" fontId="10" fillId="0" borderId="0" xfId="1" quotePrefix="1" applyNumberFormat="1" applyFont="1" applyFill="1" applyProtection="1">
      <protection locked="0"/>
    </xf>
    <xf numFmtId="183" fontId="14" fillId="0" borderId="0" xfId="0" applyNumberFormat="1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183" fontId="14" fillId="0" borderId="0" xfId="0" applyNumberFormat="1" applyFont="1" applyBorder="1" applyAlignment="1" applyProtection="1">
      <alignment horizontal="center"/>
      <protection locked="0"/>
    </xf>
    <xf numFmtId="183" fontId="14" fillId="0" borderId="0" xfId="0" applyNumberFormat="1" applyFont="1" applyAlignment="1" applyProtection="1">
      <alignment horizontal="center"/>
    </xf>
    <xf numFmtId="183" fontId="14" fillId="0" borderId="0" xfId="0" applyNumberFormat="1" applyFont="1" applyAlignment="1">
      <alignment horizontal="center"/>
    </xf>
    <xf numFmtId="37" fontId="14" fillId="0" borderId="0" xfId="0" quotePrefix="1" applyFont="1" applyAlignment="1">
      <alignment horizontal="center"/>
    </xf>
    <xf numFmtId="184" fontId="14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</xf>
    <xf numFmtId="183" fontId="10" fillId="0" borderId="0" xfId="0" applyNumberFormat="1" applyFont="1" applyAlignment="1">
      <alignment horizontal="center"/>
    </xf>
    <xf numFmtId="37" fontId="10" fillId="0" borderId="0" xfId="0" quotePrefix="1" applyFont="1" applyAlignment="1">
      <alignment horizontal="center"/>
    </xf>
    <xf numFmtId="183" fontId="10" fillId="0" borderId="0" xfId="0" quotePrefix="1" applyNumberFormat="1" applyFont="1" applyAlignment="1" applyProtection="1">
      <alignment horizontal="center"/>
      <protection locked="0"/>
    </xf>
    <xf numFmtId="184" fontId="10" fillId="0" borderId="0" xfId="0" applyNumberFormat="1" applyFont="1" applyAlignment="1" applyProtection="1">
      <alignment horizontal="center"/>
      <protection locked="0"/>
    </xf>
    <xf numFmtId="182" fontId="4" fillId="0" borderId="6" xfId="2" applyNumberFormat="1" applyFont="1" applyFill="1" applyBorder="1" applyProtection="1"/>
    <xf numFmtId="182" fontId="10" fillId="0" borderId="0" xfId="2" applyNumberFormat="1" applyFont="1"/>
    <xf numFmtId="182" fontId="10" fillId="0" borderId="19" xfId="2" applyNumberFormat="1" applyFont="1" applyBorder="1"/>
    <xf numFmtId="182" fontId="10" fillId="0" borderId="19" xfId="2" applyNumberFormat="1" applyFont="1" applyFill="1" applyBorder="1"/>
    <xf numFmtId="182" fontId="4" fillId="0" borderId="19" xfId="2" applyNumberFormat="1" applyFont="1" applyFill="1" applyBorder="1"/>
    <xf numFmtId="182" fontId="4" fillId="0" borderId="19" xfId="2" applyNumberFormat="1" applyFont="1" applyBorder="1"/>
    <xf numFmtId="37" fontId="4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right"/>
    </xf>
    <xf numFmtId="37" fontId="14" fillId="0" borderId="5" xfId="0" applyFont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</xf>
    <xf numFmtId="182" fontId="4" fillId="0" borderId="0" xfId="2" applyNumberFormat="1" applyFont="1" applyAlignment="1" applyProtection="1">
      <alignment horizontal="right"/>
    </xf>
    <xf numFmtId="182" fontId="4" fillId="0" borderId="6" xfId="2" applyNumberFormat="1" applyFont="1" applyBorder="1" applyAlignment="1" applyProtection="1">
      <alignment horizontal="right"/>
    </xf>
    <xf numFmtId="182" fontId="4" fillId="0" borderId="0" xfId="2" applyNumberFormat="1" applyFont="1" applyFill="1" applyAlignment="1">
      <alignment horizontal="right"/>
    </xf>
    <xf numFmtId="182" fontId="4" fillId="0" borderId="0" xfId="2" applyNumberFormat="1" applyFont="1" applyAlignment="1">
      <alignment horizontal="right"/>
    </xf>
    <xf numFmtId="37" fontId="14" fillId="0" borderId="0" xfId="5" applyFont="1" applyAlignment="1" applyProtection="1">
      <alignment horizontal="left"/>
    </xf>
    <xf numFmtId="37" fontId="4" fillId="0" borderId="0" xfId="5" applyFont="1" applyAlignment="1">
      <alignment horizontal="right"/>
    </xf>
    <xf numFmtId="37" fontId="4" fillId="0" borderId="0" xfId="5" applyFont="1" applyAlignment="1" applyProtection="1">
      <alignment horizontal="right"/>
    </xf>
    <xf numFmtId="37" fontId="4" fillId="0" borderId="0" xfId="5" applyAlignment="1" applyProtection="1">
      <alignment horizontal="right"/>
    </xf>
    <xf numFmtId="182" fontId="4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5" fillId="0" borderId="2" xfId="0" applyFont="1" applyBorder="1" applyAlignment="1" applyProtection="1">
      <alignment horizontal="center"/>
    </xf>
    <xf numFmtId="182" fontId="0" fillId="0" borderId="0" xfId="2" applyNumberFormat="1" applyFont="1" applyProtection="1"/>
    <xf numFmtId="182" fontId="4" fillId="0" borderId="28" xfId="2" applyNumberFormat="1" applyFont="1" applyBorder="1" applyProtection="1"/>
    <xf numFmtId="37" fontId="0" fillId="0" borderId="29" xfId="0" applyFont="1" applyBorder="1"/>
    <xf numFmtId="37" fontId="5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0" fillId="0" borderId="0" xfId="0" applyAlignment="1" applyProtection="1">
      <alignment horizontal="center"/>
    </xf>
    <xf numFmtId="182" fontId="0" fillId="0" borderId="0" xfId="2" applyNumberFormat="1" applyFont="1" applyBorder="1" applyAlignment="1" applyProtection="1">
      <alignment horizontal="center"/>
    </xf>
    <xf numFmtId="182" fontId="4" fillId="0" borderId="0" xfId="2" applyNumberFormat="1" applyFont="1" applyBorder="1" applyAlignment="1" applyProtection="1">
      <alignment horizontal="center"/>
    </xf>
    <xf numFmtId="37" fontId="21" fillId="0" borderId="0" xfId="0" applyFont="1" applyAlignment="1">
      <alignment horizontal="right"/>
    </xf>
    <xf numFmtId="37" fontId="14" fillId="0" borderId="5" xfId="0" applyFont="1" applyBorder="1" applyAlignment="1" applyProtection="1">
      <alignment horizontal="left"/>
    </xf>
    <xf numFmtId="182" fontId="26" fillId="0" borderId="0" xfId="2" applyNumberFormat="1" applyFont="1" applyFill="1" applyProtection="1"/>
    <xf numFmtId="182" fontId="14" fillId="0" borderId="19" xfId="2" applyNumberFormat="1" applyFont="1" applyFill="1" applyBorder="1" applyProtection="1"/>
    <xf numFmtId="182" fontId="14" fillId="0" borderId="6" xfId="2" applyNumberFormat="1" applyFont="1" applyFill="1" applyBorder="1"/>
    <xf numFmtId="182" fontId="0" fillId="0" borderId="0" xfId="2" applyNumberFormat="1" applyFont="1" applyFill="1" applyProtection="1"/>
    <xf numFmtId="182" fontId="4" fillId="0" borderId="2" xfId="2" applyNumberFormat="1" applyFont="1" applyBorder="1" applyProtection="1"/>
    <xf numFmtId="182" fontId="14" fillId="0" borderId="2" xfId="2" applyNumberFormat="1" applyFont="1" applyBorder="1" applyProtection="1"/>
    <xf numFmtId="182" fontId="4" fillId="0" borderId="19" xfId="2" applyNumberFormat="1" applyFont="1" applyFill="1" applyBorder="1" applyProtection="1"/>
    <xf numFmtId="10" fontId="0" fillId="0" borderId="0" xfId="0" applyNumberFormat="1" applyFont="1" applyFill="1" applyProtection="1"/>
    <xf numFmtId="169" fontId="14" fillId="0" borderId="0" xfId="13" applyNumberFormat="1" applyFont="1"/>
    <xf numFmtId="10" fontId="10" fillId="0" borderId="0" xfId="13" applyNumberFormat="1" applyFont="1" applyBorder="1"/>
    <xf numFmtId="10" fontId="10" fillId="0" borderId="0" xfId="13" applyNumberFormat="1" applyFont="1" applyFill="1"/>
    <xf numFmtId="5" fontId="4" fillId="0" borderId="0" xfId="0" applyNumberFormat="1" applyFont="1" applyFill="1" applyProtection="1"/>
    <xf numFmtId="173" fontId="4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4" fillId="0" borderId="0" xfId="0" applyNumberFormat="1" applyFont="1" applyFill="1" applyProtection="1"/>
    <xf numFmtId="185" fontId="4" fillId="0" borderId="5" xfId="0" applyNumberFormat="1" applyFont="1" applyFill="1" applyBorder="1" applyProtection="1"/>
    <xf numFmtId="5" fontId="4" fillId="0" borderId="7" xfId="0" applyNumberFormat="1" applyFont="1" applyFill="1" applyBorder="1" applyProtection="1"/>
    <xf numFmtId="37" fontId="4" fillId="0" borderId="27" xfId="0" applyFont="1" applyBorder="1"/>
    <xf numFmtId="37" fontId="4" fillId="0" borderId="30" xfId="0" applyFont="1" applyBorder="1" applyAlignment="1" applyProtection="1">
      <alignment horizontal="center"/>
    </xf>
    <xf numFmtId="37" fontId="4" fillId="0" borderId="31" xfId="0" applyFont="1" applyBorder="1" applyAlignment="1" applyProtection="1">
      <alignment horizontal="center"/>
    </xf>
    <xf numFmtId="37" fontId="4" fillId="0" borderId="31" xfId="0" applyFont="1" applyBorder="1" applyAlignment="1">
      <alignment horizontal="center"/>
    </xf>
    <xf numFmtId="37" fontId="47" fillId="0" borderId="0" xfId="0" applyFont="1"/>
    <xf numFmtId="37" fontId="48" fillId="0" borderId="0" xfId="0" applyFont="1"/>
    <xf numFmtId="14" fontId="16" fillId="0" borderId="8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14" fontId="4" fillId="0" borderId="5" xfId="0" applyNumberFormat="1" applyFont="1" applyBorder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Alignment="1">
      <alignment horizontal="right"/>
    </xf>
    <xf numFmtId="37" fontId="49" fillId="0" borderId="0" xfId="0" applyFont="1"/>
    <xf numFmtId="37" fontId="10" fillId="0" borderId="0" xfId="0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 locked="0"/>
    </xf>
    <xf numFmtId="37" fontId="40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6" fillId="0" borderId="0" xfId="0" applyFont="1" applyFill="1" applyAlignment="1">
      <alignment horizontal="center"/>
    </xf>
    <xf numFmtId="37" fontId="0" fillId="0" borderId="7" xfId="0" applyBorder="1"/>
    <xf numFmtId="182" fontId="0" fillId="0" borderId="7" xfId="2" applyNumberFormat="1" applyFont="1" applyBorder="1"/>
    <xf numFmtId="185" fontId="4" fillId="0" borderId="7" xfId="1" applyNumberFormat="1" applyFont="1" applyBorder="1"/>
    <xf numFmtId="185" fontId="0" fillId="0" borderId="7" xfId="1" applyNumberFormat="1" applyFont="1" applyBorder="1"/>
    <xf numFmtId="37" fontId="0" fillId="0" borderId="5" xfId="0" applyFont="1" applyBorder="1" applyAlignment="1">
      <alignment horizontal="center"/>
    </xf>
    <xf numFmtId="37" fontId="16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7" fillId="0" borderId="0" xfId="0" applyFont="1" applyAlignment="1">
      <alignment horizontal="left"/>
    </xf>
    <xf numFmtId="37" fontId="50" fillId="0" borderId="0" xfId="0" applyFont="1"/>
    <xf numFmtId="37" fontId="4" fillId="0" borderId="0" xfId="0" applyNumberFormat="1" applyFont="1" applyFill="1" applyBorder="1" applyAlignment="1" applyProtection="1">
      <alignment horizontal="right"/>
    </xf>
    <xf numFmtId="185" fontId="4" fillId="0" borderId="0" xfId="1" applyNumberFormat="1" applyFont="1" applyFill="1" applyBorder="1" applyAlignment="1" applyProtection="1">
      <alignment horizontal="right"/>
    </xf>
    <xf numFmtId="185" fontId="4" fillId="0" borderId="0" xfId="1" applyNumberFormat="1" applyFont="1" applyFill="1" applyAlignment="1">
      <alignment horizontal="right"/>
    </xf>
    <xf numFmtId="185" fontId="4" fillId="0" borderId="0" xfId="1" applyNumberFormat="1" applyFont="1" applyAlignment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4" fillId="0" borderId="0" xfId="0" applyFont="1" applyAlignment="1" applyProtection="1">
      <alignment horizontal="center"/>
    </xf>
    <xf numFmtId="37" fontId="10" fillId="0" borderId="0" xfId="0" applyFont="1" applyFill="1" applyAlignment="1" applyProtection="1">
      <alignment horizontal="left" wrapText="1"/>
    </xf>
    <xf numFmtId="37" fontId="4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9" fontId="4" fillId="0" borderId="0" xfId="13" applyNumberFormat="1" applyFont="1" applyFill="1" applyAlignment="1">
      <alignment horizontal="center"/>
    </xf>
    <xf numFmtId="37" fontId="0" fillId="0" borderId="7" xfId="0" applyFill="1" applyBorder="1"/>
    <xf numFmtId="37" fontId="6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4" fillId="0" borderId="0" xfId="1" applyNumberFormat="1" applyFont="1" applyFill="1"/>
    <xf numFmtId="43" fontId="4" fillId="0" borderId="0" xfId="1" applyFont="1" applyFill="1"/>
    <xf numFmtId="9" fontId="4" fillId="0" borderId="0" xfId="1" applyNumberFormat="1" applyFont="1" applyFill="1" applyAlignment="1">
      <alignment horizontal="center"/>
    </xf>
    <xf numFmtId="183" fontId="48" fillId="0" borderId="0" xfId="0" applyNumberFormat="1" applyFont="1" applyAlignment="1" applyProtection="1">
      <alignment horizontal="left"/>
      <protection locked="0"/>
    </xf>
    <xf numFmtId="0" fontId="48" fillId="0" borderId="0" xfId="0" applyNumberFormat="1" applyFont="1" applyAlignment="1">
      <alignment horizontal="center"/>
    </xf>
    <xf numFmtId="185" fontId="47" fillId="0" borderId="0" xfId="1" applyNumberFormat="1" applyFont="1" applyFill="1" applyProtection="1"/>
    <xf numFmtId="185" fontId="47" fillId="0" borderId="0" xfId="1" applyNumberFormat="1" applyFont="1" applyFill="1"/>
    <xf numFmtId="0" fontId="0" fillId="0" borderId="0" xfId="0" applyNumberFormat="1" applyFont="1" applyAlignment="1" applyProtection="1">
      <alignment horizontal="left"/>
      <protection locked="0"/>
    </xf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37" fontId="7" fillId="0" borderId="0" xfId="0" applyNumberFormat="1" applyFont="1" applyFill="1" applyProtection="1">
      <protection locked="0"/>
    </xf>
    <xf numFmtId="37" fontId="51" fillId="0" borderId="0" xfId="0" applyFont="1"/>
    <xf numFmtId="185" fontId="10" fillId="0" borderId="0" xfId="1" applyNumberFormat="1" applyFont="1" applyFill="1" applyAlignment="1">
      <alignment horizontal="right"/>
    </xf>
    <xf numFmtId="37" fontId="4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49" fontId="0" fillId="0" borderId="0" xfId="0" applyNumberFormat="1" applyFill="1" applyAlignment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>
      <alignment horizontal="center"/>
    </xf>
    <xf numFmtId="180" fontId="4" fillId="0" borderId="2" xfId="0" applyNumberFormat="1" applyFont="1" applyFill="1" applyBorder="1"/>
    <xf numFmtId="49" fontId="4" fillId="0" borderId="2" xfId="0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41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 applyAlignment="1" applyProtection="1">
      <alignment horizontal="left"/>
    </xf>
    <xf numFmtId="37" fontId="52" fillId="0" borderId="0" xfId="0" applyFont="1"/>
    <xf numFmtId="189" fontId="0" fillId="0" borderId="0" xfId="0" applyNumberFormat="1" applyFill="1"/>
    <xf numFmtId="189" fontId="0" fillId="0" borderId="0" xfId="0" applyNumberFormat="1" applyFill="1" applyBorder="1" applyAlignment="1">
      <alignment horizontal="center"/>
    </xf>
    <xf numFmtId="37" fontId="47" fillId="0" borderId="0" xfId="0" applyNumberFormat="1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4" fontId="0" fillId="0" borderId="5" xfId="0" applyNumberFormat="1" applyFill="1" applyBorder="1" applyAlignment="1">
      <alignment horizontal="center"/>
    </xf>
    <xf numFmtId="189" fontId="0" fillId="0" borderId="5" xfId="0" applyNumberForma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47" fillId="0" borderId="0" xfId="0" applyNumberFormat="1" applyFont="1" applyBorder="1" applyProtection="1"/>
    <xf numFmtId="37" fontId="53" fillId="0" borderId="0" xfId="0" applyFont="1"/>
    <xf numFmtId="37" fontId="0" fillId="0" borderId="0" xfId="0" quotePrefix="1"/>
    <xf numFmtId="10" fontId="47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5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31" fillId="0" borderId="0" xfId="13" applyNumberFormat="1" applyFont="1" applyFill="1"/>
    <xf numFmtId="5" fontId="41" fillId="0" borderId="10" xfId="0" applyNumberFormat="1" applyFont="1" applyFill="1" applyBorder="1"/>
    <xf numFmtId="5" fontId="41" fillId="0" borderId="0" xfId="0" applyNumberFormat="1" applyFont="1" applyFill="1" applyBorder="1"/>
    <xf numFmtId="37" fontId="4" fillId="0" borderId="0" xfId="0" applyFont="1" applyFill="1" applyAlignment="1">
      <alignment horizontal="left" indent="2"/>
    </xf>
    <xf numFmtId="37" fontId="4" fillId="0" borderId="0" xfId="0" applyFont="1" applyFill="1" applyAlignment="1"/>
    <xf numFmtId="10" fontId="4" fillId="0" borderId="0" xfId="13" applyNumberFormat="1" applyFont="1" applyFill="1" applyAlignment="1"/>
    <xf numFmtId="37" fontId="15" fillId="0" borderId="0" xfId="0" applyFont="1" applyFill="1"/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7" fillId="0" borderId="0" xfId="0" applyNumberFormat="1" applyFont="1" applyProtection="1"/>
    <xf numFmtId="10" fontId="47" fillId="0" borderId="0" xfId="13" applyNumberFormat="1" applyFont="1" applyFill="1" applyAlignment="1">
      <alignment horizontal="center"/>
    </xf>
    <xf numFmtId="37" fontId="5" fillId="0" borderId="5" xfId="0" applyFont="1" applyBorder="1"/>
    <xf numFmtId="37" fontId="4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44" fontId="0" fillId="0" borderId="0" xfId="2" applyNumberFormat="1" applyFont="1" applyFill="1"/>
    <xf numFmtId="37" fontId="15" fillId="0" borderId="0" xfId="0" applyFont="1" applyAlignment="1" applyProtection="1">
      <alignment horizontal="left"/>
    </xf>
    <xf numFmtId="37" fontId="56" fillId="0" borderId="0" xfId="0" applyFont="1"/>
    <xf numFmtId="37" fontId="56" fillId="0" borderId="0" xfId="0" applyNumberFormat="1" applyFont="1" applyProtection="1"/>
    <xf numFmtId="37" fontId="56" fillId="0" borderId="0" xfId="0" applyNumberFormat="1" applyFont="1" applyFill="1" applyProtection="1"/>
    <xf numFmtId="185" fontId="56" fillId="0" borderId="0" xfId="1" applyNumberFormat="1" applyFont="1" applyFill="1" applyProtection="1"/>
    <xf numFmtId="37" fontId="0" fillId="0" borderId="0" xfId="0" applyAlignment="1">
      <alignment horizontal="center"/>
    </xf>
    <xf numFmtId="190" fontId="0" fillId="0" borderId="0" xfId="0" applyNumberFormat="1" applyFill="1"/>
    <xf numFmtId="37" fontId="4" fillId="0" borderId="5" xfId="0" applyFont="1" applyBorder="1" applyAlignment="1" applyProtection="1">
      <alignment horizontal="right"/>
    </xf>
    <xf numFmtId="37" fontId="47" fillId="0" borderId="0" xfId="0" applyFont="1" applyFill="1"/>
    <xf numFmtId="37" fontId="58" fillId="0" borderId="0" xfId="0" applyFont="1" applyAlignment="1">
      <alignment horizontal="right"/>
    </xf>
    <xf numFmtId="37" fontId="58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4" fillId="0" borderId="7" xfId="2" applyNumberFormat="1" applyFont="1" applyFill="1" applyBorder="1" applyProtection="1"/>
    <xf numFmtId="37" fontId="0" fillId="0" borderId="0" xfId="0" applyAlignment="1">
      <alignment horizontal="center"/>
    </xf>
    <xf numFmtId="37" fontId="48" fillId="0" borderId="0" xfId="0" applyFont="1" applyAlignment="1">
      <alignment horizontal="left"/>
    </xf>
    <xf numFmtId="182" fontId="14" fillId="0" borderId="6" xfId="2" applyNumberFormat="1" applyFont="1" applyFill="1" applyBorder="1" applyProtection="1"/>
    <xf numFmtId="37" fontId="4" fillId="0" borderId="0" xfId="0" applyFont="1" applyFill="1" applyAlignment="1" applyProtection="1">
      <alignment horizontal="center"/>
    </xf>
    <xf numFmtId="37" fontId="0" fillId="0" borderId="20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10" fillId="0" borderId="0" xfId="0" applyFont="1" applyAlignment="1" applyProtection="1">
      <alignment horizontal="right"/>
    </xf>
    <xf numFmtId="37" fontId="10" fillId="0" borderId="2" xfId="0" applyFont="1" applyBorder="1" applyAlignment="1" applyProtection="1">
      <alignment horizontal="right"/>
    </xf>
    <xf numFmtId="37" fontId="14" fillId="0" borderId="0" xfId="0" applyFont="1" applyAlignment="1" applyProtection="1">
      <alignment horizontal="centerContinuous"/>
    </xf>
    <xf numFmtId="169" fontId="47" fillId="0" borderId="0" xfId="0" applyNumberFormat="1" applyFont="1" applyProtection="1"/>
    <xf numFmtId="37" fontId="47" fillId="0" borderId="0" xfId="0" applyNumberFormat="1" applyFont="1" applyProtection="1">
      <protection locked="0"/>
    </xf>
    <xf numFmtId="10" fontId="47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59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5" fontId="14" fillId="0" borderId="7" xfId="0" applyNumberFormat="1" applyFont="1" applyFill="1" applyBorder="1" applyProtection="1"/>
    <xf numFmtId="37" fontId="50" fillId="0" borderId="0" xfId="0" applyFont="1" applyFill="1"/>
    <xf numFmtId="37" fontId="47" fillId="0" borderId="0" xfId="0" applyFont="1" applyAlignment="1"/>
    <xf numFmtId="39" fontId="47" fillId="0" borderId="0" xfId="0" applyNumberFormat="1" applyFont="1"/>
    <xf numFmtId="175" fontId="4" fillId="0" borderId="0" xfId="0" applyNumberFormat="1" applyFont="1" applyAlignment="1"/>
    <xf numFmtId="37" fontId="9" fillId="0" borderId="0" xfId="0" applyFont="1" applyAlignment="1" applyProtection="1">
      <alignment horizontal="right"/>
      <protection locked="0"/>
    </xf>
    <xf numFmtId="37" fontId="9" fillId="0" borderId="5" xfId="0" applyFont="1" applyBorder="1" applyAlignment="1">
      <alignment horizontal="right"/>
    </xf>
    <xf numFmtId="37" fontId="14" fillId="0" borderId="0" xfId="0" applyFont="1" applyFill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right"/>
    </xf>
    <xf numFmtId="37" fontId="14" fillId="0" borderId="0" xfId="0" applyFont="1" applyAlignment="1" applyProtection="1">
      <alignment horizontal="right"/>
    </xf>
    <xf numFmtId="37" fontId="14" fillId="0" borderId="0" xfId="0" applyFont="1" applyBorder="1" applyAlignment="1" applyProtection="1">
      <alignment horizontal="right"/>
    </xf>
    <xf numFmtId="37" fontId="14" fillId="0" borderId="5" xfId="0" applyFont="1" applyBorder="1"/>
    <xf numFmtId="37" fontId="5" fillId="0" borderId="0" xfId="0" applyFont="1" applyFill="1" applyAlignment="1"/>
    <xf numFmtId="37" fontId="4" fillId="0" borderId="0" xfId="0" applyFont="1" applyFill="1" applyAlignment="1" applyProtection="1"/>
    <xf numFmtId="180" fontId="0" fillId="0" borderId="0" xfId="0" applyNumberFormat="1"/>
    <xf numFmtId="180" fontId="10" fillId="0" borderId="0" xfId="0" applyNumberFormat="1" applyFont="1"/>
    <xf numFmtId="182" fontId="0" fillId="0" borderId="7" xfId="2" applyNumberFormat="1" applyFont="1" applyFill="1" applyBorder="1" applyProtection="1"/>
    <xf numFmtId="37" fontId="4" fillId="0" borderId="0" xfId="0" quotePrefix="1" applyFont="1" applyFill="1"/>
    <xf numFmtId="182" fontId="0" fillId="0" borderId="6" xfId="2" applyNumberFormat="1" applyFont="1" applyFill="1" applyBorder="1" applyProtection="1"/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9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183" fontId="14" fillId="0" borderId="0" xfId="0" applyNumberFormat="1" applyFont="1" applyFill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left" indent="2"/>
      <protection locked="0"/>
    </xf>
    <xf numFmtId="37" fontId="56" fillId="0" borderId="0" xfId="0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6" fillId="0" borderId="8" xfId="0" applyFont="1" applyBorder="1" applyAlignment="1">
      <alignment horizontal="center"/>
    </xf>
    <xf numFmtId="182" fontId="4" fillId="0" borderId="0" xfId="2" applyNumberFormat="1" applyFont="1" applyFill="1" applyAlignment="1">
      <alignment horizontal="center"/>
    </xf>
    <xf numFmtId="185" fontId="4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7" fillId="0" borderId="0" xfId="0" applyFont="1" applyFill="1" applyBorder="1" applyAlignment="1">
      <alignment horizontal="center"/>
    </xf>
    <xf numFmtId="37" fontId="4" fillId="0" borderId="0" xfId="0" applyFont="1" applyAlignment="1">
      <alignment horizontal="center"/>
    </xf>
    <xf numFmtId="37" fontId="47" fillId="0" borderId="0" xfId="0" applyFont="1" applyBorder="1"/>
    <xf numFmtId="37" fontId="4" fillId="0" borderId="2" xfId="0" applyFont="1" applyBorder="1" applyAlignment="1" applyProtection="1">
      <protection locked="0"/>
    </xf>
    <xf numFmtId="37" fontId="4" fillId="0" borderId="2" xfId="0" applyFont="1" applyFill="1" applyBorder="1" applyAlignment="1">
      <alignment horizontal="right"/>
    </xf>
    <xf numFmtId="37" fontId="4" fillId="0" borderId="0" xfId="0" applyFont="1" applyAlignment="1" applyProtection="1">
      <alignment horizontal="center"/>
    </xf>
    <xf numFmtId="182" fontId="0" fillId="0" borderId="7" xfId="2" applyNumberFormat="1" applyFont="1" applyFill="1" applyBorder="1"/>
    <xf numFmtId="182" fontId="4" fillId="0" borderId="7" xfId="2" applyNumberFormat="1" applyFont="1" applyFill="1" applyBorder="1"/>
    <xf numFmtId="37" fontId="60" fillId="0" borderId="0" xfId="0" applyFont="1"/>
    <xf numFmtId="37" fontId="56" fillId="0" borderId="0" xfId="0" applyFont="1" applyAlignment="1" applyProtection="1">
      <alignment horizontal="center"/>
    </xf>
    <xf numFmtId="37" fontId="56" fillId="0" borderId="0" xfId="0" applyFont="1" applyFill="1"/>
    <xf numFmtId="182" fontId="56" fillId="0" borderId="0" xfId="2" applyNumberFormat="1" applyFont="1" applyBorder="1" applyProtection="1"/>
    <xf numFmtId="182" fontId="14" fillId="0" borderId="7" xfId="2" applyNumberFormat="1" applyFont="1" applyFill="1" applyBorder="1" applyProtection="1"/>
    <xf numFmtId="183" fontId="23" fillId="0" borderId="0" xfId="0" applyNumberFormat="1" applyFont="1" applyFill="1" applyAlignment="1">
      <alignment horizontal="left"/>
    </xf>
    <xf numFmtId="37" fontId="49" fillId="0" borderId="0" xfId="0" applyFont="1" applyFill="1"/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7" fillId="0" borderId="0" xfId="0" quotePrefix="1" applyFont="1" applyFill="1"/>
    <xf numFmtId="37" fontId="56" fillId="0" borderId="0" xfId="0" applyFont="1" applyAlignment="1" applyProtection="1">
      <alignment horizontal="left"/>
    </xf>
    <xf numFmtId="37" fontId="61" fillId="0" borderId="0" xfId="0" applyFont="1"/>
    <xf numFmtId="37" fontId="61" fillId="0" borderId="0" xfId="0" quotePrefix="1" applyFont="1" applyAlignment="1">
      <alignment horizontal="center"/>
    </xf>
    <xf numFmtId="37" fontId="61" fillId="0" borderId="0" xfId="0" applyFont="1" applyAlignment="1" applyProtection="1">
      <alignment horizontal="center"/>
    </xf>
    <xf numFmtId="165" fontId="61" fillId="0" borderId="0" xfId="0" applyNumberFormat="1" applyFont="1" applyProtection="1"/>
    <xf numFmtId="10" fontId="61" fillId="0" borderId="0" xfId="0" applyNumberFormat="1" applyFont="1" applyFill="1" applyProtection="1"/>
    <xf numFmtId="37" fontId="62" fillId="0" borderId="0" xfId="0" applyNumberFormat="1" applyFont="1" applyBorder="1" applyProtection="1"/>
    <xf numFmtId="170" fontId="57" fillId="0" borderId="0" xfId="0" applyNumberFormat="1" applyFont="1" applyFill="1" applyProtection="1"/>
    <xf numFmtId="170" fontId="10" fillId="0" borderId="0" xfId="0" applyNumberFormat="1" applyFont="1" applyProtection="1"/>
    <xf numFmtId="37" fontId="6" fillId="0" borderId="0" xfId="0" applyFont="1" applyAlignment="1">
      <alignment horizontal="center"/>
    </xf>
    <xf numFmtId="37" fontId="56" fillId="0" borderId="0" xfId="0" applyFont="1" applyAlignment="1">
      <alignment horizontal="center"/>
    </xf>
    <xf numFmtId="37" fontId="61" fillId="0" borderId="0" xfId="0" applyFont="1" applyAlignment="1">
      <alignment horizontal="center"/>
    </xf>
    <xf numFmtId="37" fontId="61" fillId="0" borderId="0" xfId="0" applyFont="1" applyAlignment="1">
      <alignment horizontal="left"/>
    </xf>
    <xf numFmtId="185" fontId="61" fillId="0" borderId="0" xfId="1" applyNumberFormat="1" applyFont="1" applyFill="1" applyProtection="1"/>
    <xf numFmtId="37" fontId="61" fillId="0" borderId="0" xfId="0" applyFont="1" applyFill="1"/>
    <xf numFmtId="37" fontId="61" fillId="0" borderId="0" xfId="0" applyNumberFormat="1" applyFont="1" applyFill="1" applyProtection="1"/>
    <xf numFmtId="185" fontId="61" fillId="0" borderId="0" xfId="1" applyNumberFormat="1" applyFont="1" applyFill="1"/>
    <xf numFmtId="185" fontId="61" fillId="0" borderId="0" xfId="1" applyNumberFormat="1" applyFont="1"/>
    <xf numFmtId="185" fontId="61" fillId="0" borderId="0" xfId="1" applyNumberFormat="1" applyFont="1" applyProtection="1"/>
    <xf numFmtId="37" fontId="61" fillId="0" borderId="0" xfId="0" applyNumberFormat="1" applyFont="1" applyProtection="1"/>
    <xf numFmtId="10" fontId="61" fillId="0" borderId="0" xfId="0" applyNumberFormat="1" applyFont="1" applyBorder="1" applyProtection="1"/>
    <xf numFmtId="37" fontId="4" fillId="0" borderId="0" xfId="0" applyFont="1" applyAlignment="1">
      <alignment horizontal="center"/>
    </xf>
    <xf numFmtId="37" fontId="5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" fontId="47" fillId="0" borderId="0" xfId="0" applyNumberFormat="1" applyFont="1"/>
    <xf numFmtId="37" fontId="63" fillId="0" borderId="0" xfId="0" applyFont="1" applyFill="1"/>
    <xf numFmtId="9" fontId="47" fillId="0" borderId="0" xfId="13" applyFont="1"/>
    <xf numFmtId="39" fontId="4" fillId="0" borderId="0" xfId="0" applyNumberFormat="1" applyFont="1"/>
    <xf numFmtId="173" fontId="61" fillId="0" borderId="0" xfId="13" applyNumberFormat="1" applyFont="1" applyProtection="1"/>
    <xf numFmtId="37" fontId="47" fillId="0" borderId="0" xfId="0" applyFont="1" applyFill="1" applyBorder="1"/>
    <xf numFmtId="37" fontId="4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0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13" applyNumberFormat="1" applyFont="1" applyAlignment="1">
      <alignment horizontal="right"/>
    </xf>
    <xf numFmtId="3" fontId="0" fillId="0" borderId="10" xfId="0" applyNumberFormat="1" applyBorder="1"/>
    <xf numFmtId="3" fontId="0" fillId="0" borderId="7" xfId="0" applyNumberFormat="1" applyBorder="1"/>
    <xf numFmtId="37" fontId="56" fillId="0" borderId="0" xfId="0" applyFont="1" applyAlignment="1">
      <alignment horizontal="right"/>
    </xf>
    <xf numFmtId="37" fontId="56" fillId="0" borderId="0" xfId="0" quotePrefix="1" applyNumberFormat="1" applyFont="1" applyProtection="1"/>
    <xf numFmtId="37" fontId="4" fillId="5" borderId="0" xfId="0" applyFont="1" applyFill="1"/>
    <xf numFmtId="37" fontId="4" fillId="5" borderId="0" xfId="0" applyFont="1" applyFill="1" applyBorder="1"/>
    <xf numFmtId="37" fontId="4" fillId="5" borderId="0" xfId="0" applyNumberFormat="1" applyFont="1" applyFill="1" applyProtection="1"/>
    <xf numFmtId="37" fontId="4" fillId="5" borderId="0" xfId="0" applyNumberFormat="1" applyFont="1" applyFill="1" applyBorder="1" applyProtection="1"/>
    <xf numFmtId="10" fontId="4" fillId="5" borderId="0" xfId="0" applyNumberFormat="1" applyFont="1" applyFill="1" applyBorder="1" applyProtection="1"/>
    <xf numFmtId="10" fontId="4" fillId="5" borderId="0" xfId="13" applyNumberFormat="1" applyFont="1" applyFill="1" applyBorder="1"/>
    <xf numFmtId="166" fontId="4" fillId="5" borderId="0" xfId="0" applyNumberFormat="1" applyFont="1" applyFill="1" applyBorder="1" applyProtection="1"/>
    <xf numFmtId="182" fontId="5" fillId="5" borderId="0" xfId="2" applyNumberFormat="1" applyFont="1" applyFill="1" applyProtection="1"/>
    <xf numFmtId="37" fontId="10" fillId="5" borderId="0" xfId="0" applyFont="1" applyFill="1" applyBorder="1"/>
    <xf numFmtId="37" fontId="4" fillId="4" borderId="0" xfId="5" applyFont="1" applyFill="1" applyAlignment="1" applyProtection="1">
      <alignment horizontal="left"/>
    </xf>
    <xf numFmtId="182" fontId="4" fillId="4" borderId="0" xfId="2" applyNumberFormat="1" applyFont="1" applyFill="1" applyProtection="1"/>
    <xf numFmtId="37" fontId="4" fillId="4" borderId="0" xfId="5" applyFont="1" applyFill="1" applyProtection="1"/>
    <xf numFmtId="37" fontId="4" fillId="4" borderId="0" xfId="5" applyFill="1" applyAlignment="1" applyProtection="1">
      <alignment horizontal="left"/>
    </xf>
    <xf numFmtId="37" fontId="4" fillId="4" borderId="0" xfId="5" applyFill="1" applyProtection="1"/>
    <xf numFmtId="37" fontId="4" fillId="4" borderId="0" xfId="5" applyFont="1" applyFill="1"/>
    <xf numFmtId="37" fontId="4" fillId="4" borderId="0" xfId="5" applyFill="1"/>
    <xf numFmtId="37" fontId="0" fillId="4" borderId="0" xfId="0" applyFont="1" applyFill="1" applyAlignment="1" applyProtection="1">
      <alignment horizontal="left"/>
    </xf>
    <xf numFmtId="182" fontId="0" fillId="4" borderId="0" xfId="2" applyNumberFormat="1" applyFont="1" applyFill="1" applyProtection="1"/>
    <xf numFmtId="37" fontId="0" fillId="4" borderId="0" xfId="0" applyFont="1" applyFill="1" applyProtection="1"/>
    <xf numFmtId="0" fontId="0" fillId="0" borderId="0" xfId="0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0" fontId="0" fillId="0" borderId="0" xfId="0" quotePrefix="1" applyNumberFormat="1" applyFont="1" applyAlignment="1" applyProtection="1">
      <alignment horizontal="left"/>
      <protection locked="0"/>
    </xf>
    <xf numFmtId="170" fontId="10" fillId="0" borderId="0" xfId="13" applyNumberFormat="1" applyFont="1"/>
    <xf numFmtId="170" fontId="47" fillId="0" borderId="0" xfId="13" applyNumberFormat="1" applyFont="1"/>
    <xf numFmtId="37" fontId="4" fillId="0" borderId="0" xfId="0" applyFont="1" applyAlignment="1" applyProtection="1">
      <alignment horizontal="center"/>
    </xf>
    <xf numFmtId="185" fontId="41" fillId="0" borderId="10" xfId="0" applyNumberFormat="1" applyFont="1" applyBorder="1"/>
    <xf numFmtId="39" fontId="4" fillId="0" borderId="0" xfId="0" applyNumberFormat="1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0" fontId="27" fillId="0" borderId="0" xfId="0" applyNumberFormat="1" applyFont="1" applyFill="1" applyBorder="1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50" fillId="0" borderId="0" xfId="0" applyFont="1"/>
    <xf numFmtId="0" fontId="4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66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50" fillId="0" borderId="0" xfId="0" applyFont="1" applyFill="1" applyBorder="1" applyAlignment="1">
      <alignment horizontal="centerContinuous"/>
    </xf>
    <xf numFmtId="37" fontId="4" fillId="0" borderId="0" xfId="0" applyFont="1" applyAlignment="1" applyProtection="1">
      <alignment horizontal="center"/>
    </xf>
    <xf numFmtId="37" fontId="65" fillId="0" borderId="0" xfId="0" applyFont="1"/>
    <xf numFmtId="37" fontId="4" fillId="0" borderId="0" xfId="0" applyFont="1" applyAlignment="1" applyProtection="1">
      <alignment horizontal="center"/>
    </xf>
    <xf numFmtId="10" fontId="4" fillId="2" borderId="0" xfId="13" applyNumberFormat="1" applyFont="1" applyFill="1" applyBorder="1"/>
    <xf numFmtId="37" fontId="50" fillId="0" borderId="0" xfId="0" applyFont="1" applyBorder="1"/>
    <xf numFmtId="37" fontId="4" fillId="0" borderId="0" xfId="0" applyFont="1" applyAlignment="1" applyProtection="1">
      <alignment horizontal="center"/>
    </xf>
    <xf numFmtId="37" fontId="0" fillId="4" borderId="0" xfId="5" applyFont="1" applyFill="1" applyProtection="1"/>
    <xf numFmtId="37" fontId="50" fillId="0" borderId="0" xfId="0" applyNumberFormat="1" applyFont="1" applyProtection="1"/>
    <xf numFmtId="37" fontId="4" fillId="0" borderId="0" xfId="0" applyFont="1" applyAlignment="1" applyProtection="1">
      <alignment horizontal="center"/>
    </xf>
    <xf numFmtId="37" fontId="0" fillId="0" borderId="0" xfId="0" quotePrefix="1" applyFont="1"/>
    <xf numFmtId="169" fontId="14" fillId="0" borderId="0" xfId="0" applyNumberFormat="1" applyFont="1" applyFill="1" applyProtection="1"/>
    <xf numFmtId="190" fontId="4" fillId="0" borderId="0" xfId="0" applyNumberFormat="1" applyFont="1"/>
    <xf numFmtId="37" fontId="0" fillId="0" borderId="0" xfId="0" applyFont="1" applyFill="1" applyBorder="1"/>
    <xf numFmtId="37" fontId="4" fillId="0" borderId="0" xfId="0" applyFont="1" applyAlignment="1" applyProtection="1">
      <alignment horizontal="center"/>
    </xf>
    <xf numFmtId="3" fontId="0" fillId="0" borderId="0" xfId="0" quotePrefix="1" applyNumberFormat="1"/>
    <xf numFmtId="37" fontId="0" fillId="0" borderId="32" xfId="0" applyBorder="1"/>
    <xf numFmtId="37" fontId="4" fillId="0" borderId="32" xfId="0" applyFont="1" applyBorder="1" applyAlignment="1">
      <alignment horizontal="center"/>
    </xf>
    <xf numFmtId="37" fontId="4" fillId="0" borderId="32" xfId="0" applyFont="1" applyBorder="1"/>
    <xf numFmtId="37" fontId="0" fillId="0" borderId="0" xfId="0" applyFill="1" applyBorder="1"/>
    <xf numFmtId="44" fontId="0" fillId="0" borderId="6" xfId="2" applyNumberFormat="1" applyFont="1" applyBorder="1"/>
    <xf numFmtId="37" fontId="14" fillId="0" borderId="0" xfId="0" applyFont="1" applyFill="1" applyAlignment="1" applyProtection="1">
      <alignment horizontal="left" indent="1"/>
    </xf>
    <xf numFmtId="37" fontId="65" fillId="0" borderId="0" xfId="0" applyNumberFormat="1" applyFont="1" applyFill="1" applyBorder="1" applyProtection="1">
      <protection locked="0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6" fillId="0" borderId="0" xfId="0" applyFont="1" applyAlignment="1">
      <alignment horizontal="center"/>
    </xf>
    <xf numFmtId="37" fontId="4" fillId="0" borderId="32" xfId="0" applyFont="1" applyBorder="1" applyAlignment="1" applyProtection="1">
      <alignment horizontal="center"/>
    </xf>
    <xf numFmtId="37" fontId="4" fillId="0" borderId="32" xfId="0" applyFont="1" applyFill="1" applyBorder="1"/>
    <xf numFmtId="10" fontId="67" fillId="0" borderId="0" xfId="13" applyNumberFormat="1" applyFont="1" applyAlignment="1" applyProtection="1">
      <alignment horizontal="center"/>
    </xf>
    <xf numFmtId="37" fontId="67" fillId="0" borderId="0" xfId="0" applyFont="1"/>
    <xf numFmtId="37" fontId="4" fillId="0" borderId="19" xfId="0" applyFont="1" applyBorder="1"/>
    <xf numFmtId="10" fontId="67" fillId="0" borderId="0" xfId="13" applyNumberFormat="1" applyFont="1" applyFill="1" applyAlignment="1" applyProtection="1">
      <alignment horizontal="center"/>
    </xf>
    <xf numFmtId="37" fontId="67" fillId="0" borderId="0" xfId="0" applyFont="1" applyFill="1"/>
    <xf numFmtId="37" fontId="16" fillId="0" borderId="32" xfId="0" applyFont="1" applyBorder="1"/>
    <xf numFmtId="37" fontId="16" fillId="0" borderId="6" xfId="0" applyFont="1" applyBorder="1"/>
    <xf numFmtId="37" fontId="16" fillId="0" borderId="19" xfId="0" applyFont="1" applyBorder="1"/>
    <xf numFmtId="37" fontId="16" fillId="0" borderId="0" xfId="0" applyFont="1" applyFill="1" applyBorder="1"/>
    <xf numFmtId="37" fontId="16" fillId="0" borderId="10" xfId="0" applyFont="1" applyBorder="1"/>
    <xf numFmtId="37" fontId="69" fillId="0" borderId="0" xfId="0" applyFont="1"/>
    <xf numFmtId="10" fontId="4" fillId="0" borderId="0" xfId="13" applyNumberFormat="1" applyFont="1" applyFill="1"/>
    <xf numFmtId="37" fontId="16" fillId="0" borderId="7" xfId="0" applyFont="1" applyBorder="1"/>
    <xf numFmtId="37" fontId="4" fillId="0" borderId="7" xfId="0" applyFont="1" applyFill="1" applyBorder="1"/>
    <xf numFmtId="37" fontId="16" fillId="0" borderId="0" xfId="0" applyFont="1" applyBorder="1" applyAlignment="1">
      <alignment horizontal="left"/>
    </xf>
    <xf numFmtId="37" fontId="67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27" fillId="0" borderId="0" xfId="0" applyFont="1" applyFill="1" applyBorder="1" applyAlignment="1">
      <alignment horizontal="left"/>
    </xf>
    <xf numFmtId="37" fontId="60" fillId="0" borderId="0" xfId="0" applyFont="1" applyFill="1"/>
    <xf numFmtId="37" fontId="10" fillId="0" borderId="0" xfId="0" applyFont="1" applyFill="1" applyAlignment="1" applyProtection="1">
      <alignment horizontal="left"/>
      <protection locked="0"/>
    </xf>
    <xf numFmtId="37" fontId="10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2" applyNumberFormat="1" applyFont="1" applyFill="1" applyProtection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56" fillId="0" borderId="0" xfId="0" applyNumberFormat="1" applyFont="1" applyBorder="1" applyProtection="1"/>
    <xf numFmtId="37" fontId="41" fillId="0" borderId="0" xfId="0" applyFont="1" applyFill="1" applyAlignment="1">
      <alignment horizontal="center"/>
    </xf>
    <xf numFmtId="185" fontId="41" fillId="0" borderId="0" xfId="1" applyNumberFormat="1" applyFont="1" applyFill="1"/>
    <xf numFmtId="10" fontId="41" fillId="0" borderId="0" xfId="13" applyNumberFormat="1" applyFont="1" applyFill="1"/>
    <xf numFmtId="39" fontId="0" fillId="0" borderId="0" xfId="0" applyNumberFormat="1" applyFill="1"/>
    <xf numFmtId="10" fontId="4" fillId="0" borderId="0" xfId="13" applyNumberFormat="1" applyFont="1" applyFill="1" applyBorder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left"/>
    </xf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185" fontId="0" fillId="0" borderId="5" xfId="1" applyNumberFormat="1" applyFont="1" applyFill="1" applyBorder="1"/>
    <xf numFmtId="182" fontId="0" fillId="0" borderId="10" xfId="2" applyNumberFormat="1" applyFont="1" applyFill="1" applyBorder="1"/>
    <xf numFmtId="37" fontId="0" fillId="0" borderId="0" xfId="0" applyFill="1" applyBorder="1" applyAlignment="1">
      <alignment horizontal="center"/>
    </xf>
    <xf numFmtId="44" fontId="4" fillId="0" borderId="0" xfId="2" applyFont="1" applyFill="1"/>
    <xf numFmtId="9" fontId="4" fillId="0" borderId="0" xfId="13" applyFont="1" applyFill="1"/>
    <xf numFmtId="182" fontId="4" fillId="0" borderId="0" xfId="13" applyNumberFormat="1" applyFont="1" applyFill="1" applyAlignment="1">
      <alignment horizontal="center"/>
    </xf>
    <xf numFmtId="185" fontId="4" fillId="0" borderId="5" xfId="1" applyNumberFormat="1" applyFont="1" applyFill="1" applyBorder="1"/>
    <xf numFmtId="185" fontId="4" fillId="0" borderId="7" xfId="1" applyNumberFormat="1" applyFont="1" applyFill="1" applyBorder="1"/>
    <xf numFmtId="187" fontId="4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10" fontId="0" fillId="0" borderId="0" xfId="13" quotePrefix="1" applyNumberFormat="1" applyFont="1" applyFill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37" fontId="0" fillId="0" borderId="5" xfId="0" applyFill="1" applyBorder="1"/>
    <xf numFmtId="43" fontId="4" fillId="0" borderId="0" xfId="1" applyFont="1" applyFill="1" applyBorder="1" applyAlignment="1">
      <alignment horizontal="center"/>
    </xf>
    <xf numFmtId="182" fontId="0" fillId="0" borderId="0" xfId="2" applyNumberFormat="1" applyFont="1" applyFill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5" fontId="23" fillId="0" borderId="0" xfId="0" applyNumberFormat="1" applyFont="1" applyFill="1"/>
    <xf numFmtId="182" fontId="10" fillId="0" borderId="0" xfId="2" applyNumberFormat="1" applyFont="1" applyFill="1"/>
    <xf numFmtId="185" fontId="4" fillId="0" borderId="19" xfId="1" applyNumberFormat="1" applyFont="1" applyFill="1" applyBorder="1"/>
    <xf numFmtId="37" fontId="0" fillId="0" borderId="3" xfId="0" applyFont="1" applyFill="1" applyBorder="1" applyAlignment="1" applyProtection="1">
      <alignment horizontal="center"/>
    </xf>
    <xf numFmtId="37" fontId="0" fillId="0" borderId="3" xfId="0" applyFont="1" applyFill="1" applyBorder="1"/>
    <xf numFmtId="37" fontId="0" fillId="0" borderId="3" xfId="0" applyFont="1" applyFill="1" applyBorder="1" applyProtection="1"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left"/>
    </xf>
    <xf numFmtId="185" fontId="0" fillId="0" borderId="0" xfId="1" applyNumberFormat="1" applyFont="1" applyFill="1" applyProtection="1">
      <protection locked="0"/>
    </xf>
    <xf numFmtId="172" fontId="0" fillId="0" borderId="0" xfId="0" applyNumberFormat="1" applyFont="1" applyFill="1" applyProtection="1"/>
    <xf numFmtId="172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>
      <protection locked="0"/>
    </xf>
    <xf numFmtId="182" fontId="14" fillId="0" borderId="6" xfId="2" applyNumberFormat="1" applyFont="1" applyBorder="1" applyAlignment="1" applyProtection="1">
      <alignment horizontal="right"/>
    </xf>
    <xf numFmtId="9" fontId="0" fillId="0" borderId="0" xfId="13" applyFont="1" applyFill="1" applyBorder="1" applyAlignment="1" applyProtection="1">
      <alignment horizontal="center"/>
    </xf>
    <xf numFmtId="185" fontId="7" fillId="0" borderId="0" xfId="1" applyNumberFormat="1" applyFont="1" applyFill="1" applyBorder="1" applyProtection="1"/>
    <xf numFmtId="37" fontId="7" fillId="0" borderId="0" xfId="0" applyFont="1" applyFill="1" applyBorder="1" applyAlignment="1" applyProtection="1">
      <alignment horizontal="center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9" fontId="0" fillId="0" borderId="0" xfId="13" quotePrefix="1" applyFont="1" applyFill="1" applyAlignment="1">
      <alignment horizontal="center"/>
    </xf>
    <xf numFmtId="37" fontId="7" fillId="0" borderId="0" xfId="0" applyFont="1" applyFill="1" applyAlignment="1" applyProtection="1">
      <alignment horizontal="center"/>
    </xf>
    <xf numFmtId="10" fontId="4" fillId="0" borderId="0" xfId="13" applyNumberFormat="1" applyFont="1" applyFill="1" applyAlignment="1" applyProtection="1">
      <alignment horizontal="center"/>
    </xf>
    <xf numFmtId="37" fontId="0" fillId="0" borderId="5" xfId="0" applyFont="1" applyFill="1" applyBorder="1"/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4" fillId="0" borderId="0" xfId="13" applyNumberFormat="1" applyFont="1" applyFill="1" applyBorder="1" applyAlignment="1" applyProtection="1">
      <alignment horizontal="center"/>
    </xf>
    <xf numFmtId="182" fontId="4" fillId="0" borderId="0" xfId="2" applyNumberFormat="1" applyFont="1" applyFill="1" applyBorder="1" applyAlignment="1" applyProtection="1">
      <alignment horizontal="center"/>
    </xf>
    <xf numFmtId="185" fontId="4" fillId="0" borderId="5" xfId="1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>
      <alignment horizontal="center"/>
    </xf>
    <xf numFmtId="43" fontId="0" fillId="0" borderId="5" xfId="1" applyFont="1" applyFill="1" applyBorder="1"/>
    <xf numFmtId="37" fontId="0" fillId="0" borderId="0" xfId="0" applyFill="1" applyAlignment="1">
      <alignment horizontal="left" indent="1"/>
    </xf>
    <xf numFmtId="185" fontId="4" fillId="0" borderId="5" xfId="1" applyNumberFormat="1" applyFont="1" applyFill="1" applyBorder="1" applyAlignment="1">
      <alignment horizontal="center"/>
    </xf>
    <xf numFmtId="3" fontId="0" fillId="0" borderId="0" xfId="0" applyNumberFormat="1" applyFont="1"/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174" fontId="0" fillId="0" borderId="0" xfId="0" applyNumberFormat="1" applyFont="1" applyFill="1" applyProtection="1"/>
    <xf numFmtId="174" fontId="0" fillId="0" borderId="2" xfId="0" applyNumberFormat="1" applyFont="1" applyFill="1" applyBorder="1" applyProtection="1"/>
    <xf numFmtId="174" fontId="0" fillId="0" borderId="0" xfId="0" applyNumberFormat="1" applyFont="1" applyProtection="1"/>
    <xf numFmtId="174" fontId="0" fillId="0" borderId="2" xfId="0" applyNumberFormat="1" applyFont="1" applyBorder="1" applyProtection="1"/>
    <xf numFmtId="180" fontId="0" fillId="0" borderId="2" xfId="0" applyNumberFormat="1" applyFont="1" applyFill="1" applyBorder="1"/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0" fillId="0" borderId="7" xfId="0" applyNumberFormat="1" applyFont="1" applyFill="1" applyBorder="1" applyProtection="1"/>
    <xf numFmtId="10" fontId="71" fillId="0" borderId="0" xfId="13" applyNumberFormat="1" applyFont="1" applyFill="1"/>
    <xf numFmtId="5" fontId="0" fillId="0" borderId="0" xfId="0" applyNumberFormat="1" applyFont="1" applyFill="1" applyProtection="1"/>
    <xf numFmtId="169" fontId="0" fillId="0" borderId="0" xfId="0" applyNumberFormat="1" applyFont="1" applyFill="1" applyProtection="1"/>
    <xf numFmtId="49" fontId="16" fillId="0" borderId="0" xfId="0" applyNumberFormat="1" applyFont="1" applyFill="1" applyBorder="1" applyAlignment="1">
      <alignment horizontal="centerContinuous"/>
    </xf>
    <xf numFmtId="0" fontId="16" fillId="0" borderId="11" xfId="0" applyNumberFormat="1" applyFont="1" applyFill="1" applyBorder="1" applyAlignment="1">
      <alignment horizontal="centerContinuous"/>
    </xf>
    <xf numFmtId="10" fontId="14" fillId="0" borderId="0" xfId="0" applyNumberFormat="1" applyFont="1" applyFill="1" applyProtection="1"/>
    <xf numFmtId="10" fontId="14" fillId="0" borderId="5" xfId="0" applyNumberFormat="1" applyFont="1" applyFill="1" applyBorder="1" applyProtection="1"/>
    <xf numFmtId="10" fontId="14" fillId="0" borderId="5" xfId="13" applyNumberFormat="1" applyFont="1" applyFill="1" applyBorder="1" applyProtection="1"/>
    <xf numFmtId="10" fontId="14" fillId="0" borderId="2" xfId="13" applyNumberFormat="1" applyFont="1" applyFill="1" applyBorder="1" applyProtection="1"/>
    <xf numFmtId="10" fontId="14" fillId="0" borderId="0" xfId="13" applyNumberFormat="1" applyFont="1" applyFill="1"/>
    <xf numFmtId="10" fontId="14" fillId="0" borderId="0" xfId="0" applyNumberFormat="1" applyFont="1" applyFill="1"/>
    <xf numFmtId="10" fontId="14" fillId="0" borderId="2" xfId="0" applyNumberFormat="1" applyFont="1" applyFill="1" applyBorder="1" applyProtection="1"/>
    <xf numFmtId="37" fontId="14" fillId="0" borderId="6" xfId="0" applyNumberFormat="1" applyFont="1" applyFill="1" applyBorder="1" applyProtection="1"/>
    <xf numFmtId="10" fontId="14" fillId="0" borderId="6" xfId="0" applyNumberFormat="1" applyFont="1" applyFill="1" applyBorder="1" applyProtection="1"/>
    <xf numFmtId="164" fontId="14" fillId="0" borderId="0" xfId="0" applyNumberFormat="1" applyFont="1" applyFill="1" applyProtection="1"/>
    <xf numFmtId="10" fontId="17" fillId="0" borderId="0" xfId="0" applyNumberFormat="1" applyFont="1" applyFill="1" applyProtection="1"/>
    <xf numFmtId="49" fontId="14" fillId="0" borderId="0" xfId="0" applyNumberFormat="1" applyFont="1" applyFill="1" applyBorder="1" applyAlignment="1">
      <alignment horizontal="centerContinuous"/>
    </xf>
    <xf numFmtId="0" fontId="14" fillId="0" borderId="12" xfId="0" applyNumberFormat="1" applyFont="1" applyFill="1" applyBorder="1" applyAlignment="1">
      <alignment horizontal="centerContinuous"/>
    </xf>
    <xf numFmtId="0" fontId="14" fillId="0" borderId="13" xfId="0" applyNumberFormat="1" applyFont="1" applyFill="1" applyBorder="1" applyAlignment="1">
      <alignment horizontal="centerContinuous"/>
    </xf>
    <xf numFmtId="37" fontId="14" fillId="0" borderId="14" xfId="0" applyFont="1" applyFill="1" applyBorder="1"/>
    <xf numFmtId="37" fontId="14" fillId="0" borderId="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16" xfId="0" applyFont="1" applyFill="1" applyBorder="1" applyAlignment="1" applyProtection="1">
      <alignment horizontal="center"/>
    </xf>
    <xf numFmtId="37" fontId="14" fillId="0" borderId="17" xfId="0" applyFont="1" applyFill="1" applyBorder="1"/>
    <xf numFmtId="37" fontId="14" fillId="0" borderId="17" xfId="0" applyFont="1" applyFill="1" applyBorder="1" applyAlignment="1" applyProtection="1">
      <alignment horizontal="center"/>
    </xf>
    <xf numFmtId="37" fontId="14" fillId="0" borderId="18" xfId="0" applyFont="1" applyFill="1" applyBorder="1" applyAlignment="1" applyProtection="1">
      <alignment horizontal="center"/>
    </xf>
    <xf numFmtId="170" fontId="0" fillId="0" borderId="0" xfId="13" applyNumberFormat="1" applyFont="1" applyFill="1" applyProtection="1"/>
    <xf numFmtId="9" fontId="0" fillId="0" borderId="0" xfId="0" applyNumberFormat="1" applyFont="1" applyFill="1"/>
    <xf numFmtId="37" fontId="0" fillId="0" borderId="2" xfId="0" applyFont="1" applyFill="1" applyBorder="1" applyProtection="1"/>
    <xf numFmtId="37" fontId="0" fillId="0" borderId="32" xfId="0" applyNumberFormat="1" applyFont="1" applyFill="1" applyBorder="1" applyProtection="1">
      <protection locked="0"/>
    </xf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1" fontId="0" fillId="0" borderId="0" xfId="0" applyNumberFormat="1" applyFont="1" applyFill="1" applyProtection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19" xfId="0" applyNumberFormat="1" applyFont="1" applyFill="1" applyBorder="1"/>
    <xf numFmtId="37" fontId="0" fillId="0" borderId="19" xfId="0" applyNumberFormat="1" applyFont="1" applyFill="1" applyBorder="1"/>
    <xf numFmtId="165" fontId="0" fillId="0" borderId="0" xfId="0" applyNumberFormat="1" applyFont="1" applyProtection="1"/>
    <xf numFmtId="182" fontId="0" fillId="0" borderId="0" xfId="0" applyNumberFormat="1" applyFont="1"/>
    <xf numFmtId="178" fontId="0" fillId="0" borderId="0" xfId="0" applyNumberFormat="1" applyFont="1"/>
    <xf numFmtId="10" fontId="4" fillId="6" borderId="0" xfId="13" applyNumberFormat="1" applyFont="1" applyFill="1" applyProtection="1"/>
    <xf numFmtId="37" fontId="4" fillId="6" borderId="0" xfId="0" applyFont="1" applyFill="1"/>
    <xf numFmtId="185" fontId="10" fillId="6" borderId="0" xfId="1" applyNumberFormat="1" applyFont="1" applyFill="1" applyProtection="1"/>
    <xf numFmtId="37" fontId="16" fillId="0" borderId="32" xfId="0" applyFont="1" applyBorder="1" applyAlignment="1">
      <alignment horizontal="center"/>
    </xf>
    <xf numFmtId="37" fontId="4" fillId="6" borderId="32" xfId="0" applyFont="1" applyFill="1" applyBorder="1"/>
    <xf numFmtId="173" fontId="4" fillId="0" borderId="32" xfId="0" applyNumberFormat="1" applyFont="1" applyFill="1" applyBorder="1" applyProtection="1"/>
    <xf numFmtId="10" fontId="4" fillId="6" borderId="0" xfId="13" applyNumberFormat="1" applyFont="1" applyFill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6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14" fillId="0" borderId="23" xfId="0" applyFont="1" applyBorder="1" applyAlignment="1">
      <alignment horizontal="center"/>
    </xf>
    <xf numFmtId="37" fontId="14" fillId="0" borderId="7" xfId="0" applyFont="1" applyBorder="1" applyAlignment="1">
      <alignment horizontal="center"/>
    </xf>
    <xf numFmtId="37" fontId="14" fillId="0" borderId="9" xfId="0" applyFont="1" applyBorder="1" applyAlignment="1">
      <alignment horizontal="center"/>
    </xf>
    <xf numFmtId="37" fontId="14" fillId="0" borderId="23" xfId="0" applyFont="1" applyBorder="1" applyAlignment="1" applyProtection="1">
      <alignment horizontal="center"/>
    </xf>
    <xf numFmtId="37" fontId="14" fillId="0" borderId="7" xfId="0" applyFont="1" applyBorder="1" applyAlignment="1" applyProtection="1">
      <alignment horizontal="center"/>
    </xf>
    <xf numFmtId="37" fontId="14" fillId="0" borderId="9" xfId="0" applyFont="1" applyBorder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37" fontId="14" fillId="0" borderId="0" xfId="0" applyFont="1" applyFill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center"/>
      <protection locked="0"/>
    </xf>
    <xf numFmtId="37" fontId="16" fillId="0" borderId="0" xfId="0" applyFont="1" applyAlignment="1">
      <alignment horizontal="center"/>
    </xf>
    <xf numFmtId="37" fontId="16" fillId="0" borderId="0" xfId="5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5" fillId="0" borderId="29" xfId="0" applyFont="1" applyBorder="1" applyAlignment="1" applyProtection="1">
      <alignment horizontal="center"/>
    </xf>
    <xf numFmtId="37" fontId="5" fillId="0" borderId="19" xfId="0" applyFont="1" applyBorder="1" applyAlignment="1" applyProtection="1">
      <alignment horizontal="center"/>
    </xf>
    <xf numFmtId="37" fontId="5" fillId="0" borderId="24" xfId="0" applyFont="1" applyBorder="1" applyAlignment="1" applyProtection="1">
      <alignment horizontal="center"/>
    </xf>
    <xf numFmtId="49" fontId="0" fillId="0" borderId="3" xfId="0" applyNumberFormat="1" applyFont="1" applyBorder="1" applyAlignment="1">
      <alignment horizontal="center"/>
    </xf>
    <xf numFmtId="37" fontId="9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14" fillId="0" borderId="0" xfId="0" applyFont="1" applyFill="1" applyAlignment="1">
      <alignment horizontal="center"/>
    </xf>
  </cellXfs>
  <cellStyles count="34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5 2" xfId="32"/>
    <cellStyle name="Normal 6" xfId="29"/>
    <cellStyle name="Normal 6 2" xfId="33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tabSelected="1" view="pageBreakPreview" zoomScaleNormal="100" zoomScaleSheetLayoutView="100" workbookViewId="0">
      <selection sqref="A1:C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248" t="s">
        <v>356</v>
      </c>
      <c r="B1" s="1248"/>
      <c r="C1" s="1248"/>
    </row>
    <row r="2" spans="1:3">
      <c r="A2" s="1249" t="s">
        <v>1592</v>
      </c>
      <c r="B2" s="1249"/>
      <c r="C2" s="1249"/>
    </row>
    <row r="3" spans="1:3">
      <c r="A3" s="1250" t="s">
        <v>1449</v>
      </c>
      <c r="B3" s="1250"/>
      <c r="C3" s="1250"/>
    </row>
    <row r="4" spans="1:3">
      <c r="A4" s="1250" t="s">
        <v>1450</v>
      </c>
      <c r="B4" s="1250"/>
      <c r="C4" s="1250"/>
    </row>
    <row r="5" spans="1:3">
      <c r="A5" s="378"/>
      <c r="B5" s="378"/>
      <c r="C5" s="378"/>
    </row>
    <row r="6" spans="1:3">
      <c r="A6" s="378"/>
      <c r="B6" s="378"/>
      <c r="C6" s="378"/>
    </row>
    <row r="8" spans="1:3">
      <c r="A8" s="84" t="s">
        <v>63</v>
      </c>
      <c r="B8" s="84" t="s">
        <v>1004</v>
      </c>
      <c r="C8" s="84" t="s">
        <v>702</v>
      </c>
    </row>
    <row r="10" spans="1:3">
      <c r="A10" s="76" t="s">
        <v>175</v>
      </c>
      <c r="B10" s="381" t="s">
        <v>830</v>
      </c>
      <c r="C10" s="233" t="s">
        <v>1499</v>
      </c>
    </row>
    <row r="11" spans="1:3">
      <c r="A11" s="76" t="s">
        <v>831</v>
      </c>
      <c r="B11" s="381" t="s">
        <v>276</v>
      </c>
      <c r="C11" s="233" t="s">
        <v>1500</v>
      </c>
    </row>
    <row r="12" spans="1:3">
      <c r="A12" s="76" t="s">
        <v>832</v>
      </c>
      <c r="B12" s="381" t="s">
        <v>833</v>
      </c>
      <c r="C12" s="233" t="s">
        <v>1501</v>
      </c>
    </row>
    <row r="13" spans="1:3">
      <c r="A13" s="76" t="s">
        <v>834</v>
      </c>
      <c r="B13" s="381" t="s">
        <v>835</v>
      </c>
      <c r="C13" s="233" t="s">
        <v>1502</v>
      </c>
    </row>
    <row r="14" spans="1:3">
      <c r="A14" s="76" t="s">
        <v>845</v>
      </c>
      <c r="B14" s="381" t="s">
        <v>478</v>
      </c>
      <c r="C14" s="233" t="s">
        <v>1503</v>
      </c>
    </row>
    <row r="15" spans="1:3">
      <c r="A15" s="76" t="s">
        <v>836</v>
      </c>
      <c r="B15" s="381" t="s">
        <v>837</v>
      </c>
      <c r="C15" s="233" t="s">
        <v>1504</v>
      </c>
    </row>
    <row r="16" spans="1:3">
      <c r="A16" s="76" t="s">
        <v>838</v>
      </c>
      <c r="B16" s="381" t="s">
        <v>839</v>
      </c>
      <c r="C16" s="233" t="s">
        <v>1505</v>
      </c>
    </row>
    <row r="17" spans="1:3">
      <c r="A17" s="76" t="s">
        <v>385</v>
      </c>
      <c r="B17" s="381" t="s">
        <v>131</v>
      </c>
      <c r="C17" s="233" t="s">
        <v>1506</v>
      </c>
    </row>
    <row r="18" spans="1:3">
      <c r="A18" s="76" t="s">
        <v>840</v>
      </c>
      <c r="B18" s="381" t="s">
        <v>841</v>
      </c>
      <c r="C18" s="233" t="s">
        <v>1507</v>
      </c>
    </row>
    <row r="19" spans="1:3">
      <c r="A19" s="76" t="s">
        <v>842</v>
      </c>
      <c r="B19" s="381" t="s">
        <v>843</v>
      </c>
      <c r="C19" s="233" t="s">
        <v>1508</v>
      </c>
    </row>
    <row r="20" spans="1:3">
      <c r="A20" s="76" t="s">
        <v>844</v>
      </c>
      <c r="B20" s="381" t="s">
        <v>25</v>
      </c>
      <c r="C20" s="233" t="s">
        <v>1509</v>
      </c>
    </row>
  </sheetData>
  <mergeCells count="4">
    <mergeCell ref="A1:C1"/>
    <mergeCell ref="A2:C2"/>
    <mergeCell ref="A3:C3"/>
    <mergeCell ref="A4:C4"/>
  </mergeCells>
  <phoneticPr fontId="24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2015-00343
ATTACHMENT 1
TO STAFF DR NO. 2-21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A13" sqref="A13"/>
    </sheetView>
  </sheetViews>
  <sheetFormatPr defaultRowHeight="15"/>
  <cols>
    <col min="1" max="1" width="4.5546875" customWidth="1"/>
    <col min="2" max="2" width="9.33203125" customWidth="1"/>
    <col min="3" max="3" width="33.88671875" customWidth="1"/>
    <col min="4" max="4" width="13.77734375" customWidth="1"/>
    <col min="5" max="5" width="10.33203125" customWidth="1"/>
    <col min="6" max="6" width="14.2187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5" customWidth="1"/>
    <col min="16" max="17" width="12" bestFit="1" customWidth="1"/>
  </cols>
  <sheetData>
    <row r="1" spans="1:17">
      <c r="A1" s="1253" t="str">
        <f>'Table of Contents'!A1:C1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7">
      <c r="A2" s="1253" t="str">
        <f>'Table of Contents'!A2:C2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</row>
    <row r="3" spans="1:17">
      <c r="A3" s="1253" t="s">
        <v>1138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</row>
    <row r="4" spans="1:17" ht="15.75">
      <c r="A4" s="1254" t="str">
        <f>'B.1 B'!A4</f>
        <v>as of February 29, 2016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</row>
    <row r="5" spans="1:17" ht="15.75">
      <c r="A5" s="40"/>
      <c r="B5" s="40"/>
      <c r="C5" s="40"/>
      <c r="D5" s="780"/>
      <c r="E5" s="40"/>
      <c r="F5" s="40"/>
      <c r="G5" s="77"/>
      <c r="H5" s="77"/>
      <c r="I5" s="1"/>
      <c r="J5" s="1"/>
      <c r="K5" s="40"/>
      <c r="P5" s="769"/>
    </row>
    <row r="6" spans="1:17" ht="15.75">
      <c r="A6" s="4" t="str">
        <f>'B.1 B'!A6</f>
        <v>Data:__X___Base Period______Forecasted Period</v>
      </c>
      <c r="B6" s="1"/>
      <c r="C6" s="1"/>
      <c r="D6" s="1"/>
      <c r="E6" s="769"/>
      <c r="F6" s="1"/>
      <c r="G6" s="77"/>
      <c r="K6" s="1"/>
      <c r="N6" s="233" t="s">
        <v>1513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70" t="s">
        <v>1029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6"/>
      <c r="H8" s="91"/>
      <c r="I8" s="70"/>
      <c r="J8" s="70"/>
      <c r="K8" s="47"/>
      <c r="L8" s="91"/>
      <c r="M8" s="91"/>
      <c r="N8" s="70" t="str">
        <f>'B.1 B'!F8</f>
        <v>Witness:   Waller</v>
      </c>
    </row>
    <row r="9" spans="1:17">
      <c r="A9" s="503"/>
      <c r="B9" s="85"/>
      <c r="C9" s="504"/>
      <c r="D9" s="323"/>
      <c r="E9" s="85"/>
      <c r="F9" s="85"/>
      <c r="G9" s="436"/>
      <c r="H9" s="437"/>
      <c r="I9" s="427"/>
      <c r="J9" s="70"/>
      <c r="K9" s="323"/>
      <c r="L9" s="470"/>
      <c r="M9" s="470"/>
      <c r="N9" s="94"/>
    </row>
    <row r="10" spans="1:17">
      <c r="A10" s="505"/>
      <c r="B10" s="47"/>
      <c r="C10" s="506"/>
      <c r="D10" s="93"/>
      <c r="E10" s="47"/>
      <c r="F10" s="47"/>
      <c r="G10" s="296" t="s">
        <v>13</v>
      </c>
      <c r="H10" s="46" t="s">
        <v>11</v>
      </c>
      <c r="I10" s="428"/>
      <c r="J10" s="70"/>
      <c r="K10" s="93"/>
      <c r="L10" s="296" t="s">
        <v>13</v>
      </c>
      <c r="M10" s="46" t="s">
        <v>11</v>
      </c>
      <c r="N10" s="428"/>
    </row>
    <row r="11" spans="1:17" ht="15.75">
      <c r="A11" s="505" t="s">
        <v>98</v>
      </c>
      <c r="B11" s="46" t="s">
        <v>273</v>
      </c>
      <c r="C11" s="429" t="s">
        <v>221</v>
      </c>
      <c r="D11" s="948" t="s">
        <v>1372</v>
      </c>
      <c r="E11" s="46"/>
      <c r="F11" s="46" t="s">
        <v>10</v>
      </c>
      <c r="G11" s="46" t="s">
        <v>14</v>
      </c>
      <c r="H11" s="101" t="s">
        <v>610</v>
      </c>
      <c r="I11" s="429" t="s">
        <v>12</v>
      </c>
      <c r="J11" s="46"/>
      <c r="K11" s="619" t="s">
        <v>46</v>
      </c>
      <c r="L11" s="46" t="s">
        <v>14</v>
      </c>
      <c r="M11" s="101" t="s">
        <v>610</v>
      </c>
      <c r="N11" s="429" t="s">
        <v>12</v>
      </c>
    </row>
    <row r="12" spans="1:17" ht="15.75">
      <c r="A12" s="430" t="s">
        <v>104</v>
      </c>
      <c r="B12" s="44" t="s">
        <v>104</v>
      </c>
      <c r="C12" s="431" t="s">
        <v>304</v>
      </c>
      <c r="D12" s="624" t="s">
        <v>110</v>
      </c>
      <c r="E12" s="44" t="s">
        <v>1006</v>
      </c>
      <c r="F12" s="44" t="s">
        <v>110</v>
      </c>
      <c r="G12" s="255" t="s">
        <v>643</v>
      </c>
      <c r="H12" s="255" t="s">
        <v>643</v>
      </c>
      <c r="I12" s="431" t="s">
        <v>109</v>
      </c>
      <c r="J12" s="46"/>
      <c r="K12" s="624" t="s">
        <v>103</v>
      </c>
      <c r="L12" s="255" t="s">
        <v>643</v>
      </c>
      <c r="M12" s="255" t="s">
        <v>643</v>
      </c>
      <c r="N12" s="431" t="s">
        <v>109</v>
      </c>
      <c r="P12" s="575"/>
      <c r="Q12" s="575"/>
    </row>
    <row r="13" spans="1:17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7" ht="15.75">
      <c r="B14" s="129" t="s">
        <v>6</v>
      </c>
      <c r="J14" s="81"/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682">
        <v>30100</v>
      </c>
      <c r="C16" s="4" t="s">
        <v>299</v>
      </c>
      <c r="D16" s="445">
        <v>8329.7199999999993</v>
      </c>
      <c r="E16" s="445">
        <v>0</v>
      </c>
      <c r="F16" s="445">
        <f>D16-E16</f>
        <v>8329.7199999999993</v>
      </c>
      <c r="G16" s="620">
        <v>1</v>
      </c>
      <c r="H16" s="620">
        <f>$G$16</f>
        <v>1</v>
      </c>
      <c r="I16" s="445">
        <f>F16*G16*H16</f>
        <v>8329.7199999999993</v>
      </c>
      <c r="J16" s="1139"/>
      <c r="K16" s="445">
        <v>8329.7199999999993</v>
      </c>
      <c r="L16" s="621">
        <f t="shared" ref="L16:M17" si="0">$G$16</f>
        <v>1</v>
      </c>
      <c r="M16" s="621">
        <f t="shared" si="0"/>
        <v>1</v>
      </c>
      <c r="N16" s="382">
        <f>K16*L16*M16</f>
        <v>8329.7199999999993</v>
      </c>
    </row>
    <row r="17" spans="1:14">
      <c r="A17" s="776">
        <f t="shared" ref="A17:A80" si="1">A16+1</f>
        <v>3</v>
      </c>
      <c r="B17" s="682">
        <v>30200</v>
      </c>
      <c r="C17" s="4" t="s">
        <v>158</v>
      </c>
      <c r="D17" s="445">
        <v>119852.69</v>
      </c>
      <c r="E17" s="578">
        <v>0</v>
      </c>
      <c r="F17" s="578">
        <f>D17-E17</f>
        <v>119852.69</v>
      </c>
      <c r="G17" s="620">
        <f>$G$16</f>
        <v>1</v>
      </c>
      <c r="H17" s="620">
        <f>$G$16</f>
        <v>1</v>
      </c>
      <c r="I17" s="578">
        <f>F17*G17*H17</f>
        <v>119852.69</v>
      </c>
      <c r="J17" s="106"/>
      <c r="K17" s="445">
        <v>119852.68999999996</v>
      </c>
      <c r="L17" s="621">
        <f t="shared" si="0"/>
        <v>1</v>
      </c>
      <c r="M17" s="621">
        <f t="shared" si="0"/>
        <v>1</v>
      </c>
      <c r="N17" s="391">
        <f>K17*L17*M17</f>
        <v>119852.68999999996</v>
      </c>
    </row>
    <row r="18" spans="1:14">
      <c r="A18" s="945">
        <f t="shared" si="1"/>
        <v>4</v>
      </c>
      <c r="B18" s="682"/>
      <c r="C18" s="4"/>
      <c r="D18" s="1142"/>
      <c r="E18" s="1142"/>
      <c r="F18" s="1142"/>
      <c r="G18" s="620"/>
      <c r="H18" s="620"/>
      <c r="I18" s="1142"/>
      <c r="J18" s="106"/>
      <c r="K18" s="1142"/>
      <c r="N18" s="788"/>
    </row>
    <row r="19" spans="1:14">
      <c r="A19" s="945">
        <f t="shared" si="1"/>
        <v>5</v>
      </c>
      <c r="B19" s="465"/>
      <c r="C19" s="4" t="s">
        <v>1440</v>
      </c>
      <c r="D19" s="445">
        <f>SUM(D16:D18)</f>
        <v>128182.41</v>
      </c>
      <c r="E19" s="445">
        <f>SUM(E16:E18)</f>
        <v>0</v>
      </c>
      <c r="F19" s="445">
        <f>SUM(F16:F18)</f>
        <v>128182.41</v>
      </c>
      <c r="G19" s="620"/>
      <c r="H19" s="620"/>
      <c r="I19" s="445">
        <f>SUM(I16:I18)</f>
        <v>128182.41</v>
      </c>
      <c r="J19" s="106"/>
      <c r="K19" s="445">
        <f>SUM(K16:K18)</f>
        <v>128182.40999999996</v>
      </c>
      <c r="N19" s="382">
        <f>SUM(N16:N17)</f>
        <v>128182.40999999996</v>
      </c>
    </row>
    <row r="20" spans="1:14">
      <c r="A20" s="776">
        <f t="shared" si="1"/>
        <v>6</v>
      </c>
      <c r="B20" s="465"/>
      <c r="C20" s="1"/>
      <c r="D20" s="578"/>
      <c r="E20" s="578"/>
      <c r="F20" s="578"/>
      <c r="G20" s="620"/>
      <c r="H20" s="620"/>
      <c r="I20" s="578"/>
      <c r="J20" s="106"/>
      <c r="K20" s="578"/>
      <c r="N20" s="391"/>
    </row>
    <row r="21" spans="1:14">
      <c r="A21" s="776">
        <f t="shared" si="1"/>
        <v>7</v>
      </c>
      <c r="B21" s="465"/>
      <c r="C21" s="17" t="s">
        <v>159</v>
      </c>
      <c r="D21" s="578"/>
      <c r="E21" s="578"/>
      <c r="F21" s="578"/>
      <c r="G21" s="620"/>
      <c r="H21" s="620"/>
      <c r="I21" s="578"/>
      <c r="J21" s="106"/>
      <c r="K21" s="578"/>
      <c r="N21" s="391"/>
    </row>
    <row r="22" spans="1:14">
      <c r="A22" s="945">
        <f t="shared" si="1"/>
        <v>8</v>
      </c>
      <c r="B22" s="682">
        <v>32540</v>
      </c>
      <c r="C22" s="4" t="s">
        <v>166</v>
      </c>
      <c r="D22" s="445">
        <v>0</v>
      </c>
      <c r="E22" s="445">
        <v>0</v>
      </c>
      <c r="F22" s="445">
        <f t="shared" ref="F22:F24" si="2">D22-E22</f>
        <v>0</v>
      </c>
      <c r="G22" s="620">
        <f t="shared" ref="G22:H24" si="3">$G$16</f>
        <v>1</v>
      </c>
      <c r="H22" s="620">
        <f t="shared" si="3"/>
        <v>1</v>
      </c>
      <c r="I22" s="445">
        <f t="shared" ref="I22:I24" si="4">F22*G22*H22</f>
        <v>0</v>
      </c>
      <c r="J22" s="106"/>
      <c r="K22" s="445">
        <v>0</v>
      </c>
      <c r="L22" s="621">
        <f t="shared" ref="L22:M24" si="5">$G$16</f>
        <v>1</v>
      </c>
      <c r="M22" s="621">
        <f t="shared" si="5"/>
        <v>1</v>
      </c>
      <c r="N22" s="382">
        <f t="shared" ref="N22:N24" si="6">K22*L22*M22</f>
        <v>0</v>
      </c>
    </row>
    <row r="23" spans="1:14">
      <c r="A23" s="1061">
        <f t="shared" si="1"/>
        <v>9</v>
      </c>
      <c r="B23" s="682">
        <v>33202</v>
      </c>
      <c r="C23" s="4" t="s">
        <v>612</v>
      </c>
      <c r="D23" s="445">
        <v>-28968.38</v>
      </c>
      <c r="E23" s="578">
        <v>0</v>
      </c>
      <c r="F23" s="578">
        <f t="shared" si="2"/>
        <v>-28968.38</v>
      </c>
      <c r="G23" s="620">
        <f t="shared" si="3"/>
        <v>1</v>
      </c>
      <c r="H23" s="620">
        <f t="shared" si="3"/>
        <v>1</v>
      </c>
      <c r="I23" s="578">
        <f t="shared" si="4"/>
        <v>-28968.38</v>
      </c>
      <c r="J23" s="106"/>
      <c r="K23" s="445">
        <v>-28968.38</v>
      </c>
      <c r="L23" s="621">
        <f t="shared" si="5"/>
        <v>1</v>
      </c>
      <c r="M23" s="621">
        <f t="shared" si="5"/>
        <v>1</v>
      </c>
      <c r="N23" s="391">
        <f t="shared" si="6"/>
        <v>-28968.38</v>
      </c>
    </row>
    <row r="24" spans="1:14">
      <c r="A24" s="1061">
        <f t="shared" si="1"/>
        <v>10</v>
      </c>
      <c r="B24" s="682">
        <v>33400</v>
      </c>
      <c r="C24" s="4" t="s">
        <v>1140</v>
      </c>
      <c r="D24" s="445">
        <v>1572.3399999999997</v>
      </c>
      <c r="E24" s="578">
        <v>0</v>
      </c>
      <c r="F24" s="578">
        <f t="shared" si="2"/>
        <v>1572.3399999999997</v>
      </c>
      <c r="G24" s="620">
        <f t="shared" si="3"/>
        <v>1</v>
      </c>
      <c r="H24" s="620">
        <f t="shared" si="3"/>
        <v>1</v>
      </c>
      <c r="I24" s="578">
        <f t="shared" si="4"/>
        <v>1572.3399999999997</v>
      </c>
      <c r="J24" s="106"/>
      <c r="K24" s="445">
        <v>1562.9869230769229</v>
      </c>
      <c r="L24" s="621">
        <f t="shared" si="5"/>
        <v>1</v>
      </c>
      <c r="M24" s="621">
        <f t="shared" si="5"/>
        <v>1</v>
      </c>
      <c r="N24" s="391">
        <f t="shared" si="6"/>
        <v>1562.9869230769229</v>
      </c>
    </row>
    <row r="25" spans="1:14">
      <c r="A25" s="1061">
        <f t="shared" si="1"/>
        <v>11</v>
      </c>
      <c r="B25" s="682"/>
      <c r="C25" s="1"/>
      <c r="D25" s="1142"/>
      <c r="E25" s="578"/>
      <c r="F25" s="578"/>
      <c r="G25" s="620"/>
      <c r="H25" s="620"/>
      <c r="I25" s="578"/>
      <c r="J25" s="106"/>
      <c r="K25" s="1142"/>
      <c r="N25" s="391"/>
    </row>
    <row r="26" spans="1:14">
      <c r="A26" s="1061">
        <f t="shared" si="1"/>
        <v>12</v>
      </c>
      <c r="B26" s="682"/>
      <c r="C26" s="1" t="s">
        <v>1439</v>
      </c>
      <c r="D26" s="445">
        <f>SUM(D22:D25)</f>
        <v>-27396.04</v>
      </c>
      <c r="E26" s="445">
        <f>SUM(E22:E25)</f>
        <v>0</v>
      </c>
      <c r="F26" s="445">
        <f>SUM(F22:F25)</f>
        <v>-27396.04</v>
      </c>
      <c r="G26" s="620"/>
      <c r="H26" s="620"/>
      <c r="I26" s="445">
        <f>SUM(I22:I25)</f>
        <v>-27396.04</v>
      </c>
      <c r="J26" s="106"/>
      <c r="K26" s="445">
        <f>SUM(K22:K25)</f>
        <v>-27405.393076923079</v>
      </c>
      <c r="N26" s="382">
        <f>SUM(N22:N25)</f>
        <v>-27405.393076923079</v>
      </c>
    </row>
    <row r="27" spans="1:14">
      <c r="A27" s="1061">
        <f t="shared" si="1"/>
        <v>13</v>
      </c>
      <c r="B27" s="682"/>
      <c r="C27" s="4"/>
      <c r="D27" s="578"/>
      <c r="E27" s="578"/>
      <c r="F27" s="578"/>
      <c r="G27" s="620"/>
      <c r="H27" s="620"/>
      <c r="I27" s="578"/>
      <c r="J27" s="106"/>
      <c r="K27" s="578"/>
      <c r="N27" s="391"/>
    </row>
    <row r="28" spans="1:14">
      <c r="A28" s="1061">
        <f t="shared" si="1"/>
        <v>14</v>
      </c>
      <c r="B28" s="682"/>
      <c r="C28" s="17" t="s">
        <v>284</v>
      </c>
      <c r="D28" s="578"/>
      <c r="E28" s="578"/>
      <c r="F28" s="578"/>
      <c r="G28" s="620"/>
      <c r="H28" s="620"/>
      <c r="I28" s="578"/>
      <c r="J28" s="106"/>
      <c r="K28" s="578"/>
      <c r="N28" s="391"/>
    </row>
    <row r="29" spans="1:14">
      <c r="A29" s="1061">
        <f t="shared" si="1"/>
        <v>15</v>
      </c>
      <c r="B29" s="682">
        <v>35010</v>
      </c>
      <c r="C29" s="4" t="s">
        <v>300</v>
      </c>
      <c r="D29" s="445">
        <v>0</v>
      </c>
      <c r="E29" s="445">
        <v>0</v>
      </c>
      <c r="F29" s="445">
        <f t="shared" ref="F29:F45" si="7">D29-E29</f>
        <v>0</v>
      </c>
      <c r="G29" s="620">
        <f t="shared" ref="G29:H45" si="8">$G$16</f>
        <v>1</v>
      </c>
      <c r="H29" s="620">
        <f t="shared" si="8"/>
        <v>1</v>
      </c>
      <c r="I29" s="445">
        <f t="shared" ref="I29:I45" si="9">F29*G29*H29</f>
        <v>0</v>
      </c>
      <c r="J29" s="106"/>
      <c r="K29" s="445">
        <v>0</v>
      </c>
      <c r="L29" s="621">
        <f t="shared" ref="L29:M45" si="10">$G$16</f>
        <v>1</v>
      </c>
      <c r="M29" s="621">
        <f t="shared" si="10"/>
        <v>1</v>
      </c>
      <c r="N29" s="382">
        <f t="shared" ref="N29:N45" si="11">K29*L29*M29</f>
        <v>0</v>
      </c>
    </row>
    <row r="30" spans="1:14">
      <c r="A30" s="1061">
        <f t="shared" si="1"/>
        <v>16</v>
      </c>
      <c r="B30" s="682">
        <v>35020</v>
      </c>
      <c r="C30" s="4" t="s">
        <v>809</v>
      </c>
      <c r="D30" s="445">
        <v>5420.21</v>
      </c>
      <c r="E30" s="578">
        <v>0</v>
      </c>
      <c r="F30" s="578">
        <f t="shared" si="7"/>
        <v>5420.21</v>
      </c>
      <c r="G30" s="620">
        <f t="shared" si="8"/>
        <v>1</v>
      </c>
      <c r="H30" s="620">
        <f t="shared" si="8"/>
        <v>1</v>
      </c>
      <c r="I30" s="578">
        <f t="shared" si="9"/>
        <v>5420.21</v>
      </c>
      <c r="J30" s="106"/>
      <c r="K30" s="445">
        <v>5420.21</v>
      </c>
      <c r="L30" s="621">
        <f t="shared" si="10"/>
        <v>1</v>
      </c>
      <c r="M30" s="621">
        <f t="shared" si="10"/>
        <v>1</v>
      </c>
      <c r="N30" s="391">
        <f t="shared" si="11"/>
        <v>5420.21</v>
      </c>
    </row>
    <row r="31" spans="1:14">
      <c r="A31" s="1061">
        <f t="shared" si="1"/>
        <v>17</v>
      </c>
      <c r="B31" s="682">
        <v>35100</v>
      </c>
      <c r="C31" s="4" t="s">
        <v>988</v>
      </c>
      <c r="D31" s="445">
        <v>5276.1543769999989</v>
      </c>
      <c r="E31" s="578">
        <v>0</v>
      </c>
      <c r="F31" s="578">
        <f t="shared" si="7"/>
        <v>5276.1543769999989</v>
      </c>
      <c r="G31" s="620">
        <f t="shared" si="8"/>
        <v>1</v>
      </c>
      <c r="H31" s="620">
        <f t="shared" si="8"/>
        <v>1</v>
      </c>
      <c r="I31" s="578">
        <f t="shared" si="9"/>
        <v>5276.1543769999989</v>
      </c>
      <c r="J31" s="106"/>
      <c r="K31" s="445">
        <v>5127.4565630384604</v>
      </c>
      <c r="L31" s="621">
        <f t="shared" si="10"/>
        <v>1</v>
      </c>
      <c r="M31" s="621">
        <f t="shared" si="10"/>
        <v>1</v>
      </c>
      <c r="N31" s="391">
        <f t="shared" si="11"/>
        <v>5127.4565630384604</v>
      </c>
    </row>
    <row r="32" spans="1:14">
      <c r="A32" s="1061">
        <f t="shared" si="1"/>
        <v>18</v>
      </c>
      <c r="B32" s="682">
        <v>35102</v>
      </c>
      <c r="C32" s="4" t="s">
        <v>285</v>
      </c>
      <c r="D32" s="445">
        <v>108481.29634500002</v>
      </c>
      <c r="E32" s="578">
        <v>0</v>
      </c>
      <c r="F32" s="578">
        <f t="shared" si="7"/>
        <v>108481.29634500002</v>
      </c>
      <c r="G32" s="620">
        <f t="shared" si="8"/>
        <v>1</v>
      </c>
      <c r="H32" s="620">
        <f t="shared" si="8"/>
        <v>1</v>
      </c>
      <c r="I32" s="578">
        <f t="shared" si="9"/>
        <v>108481.29634500002</v>
      </c>
      <c r="J32" s="106"/>
      <c r="K32" s="445">
        <v>107615.37170826925</v>
      </c>
      <c r="L32" s="621">
        <f t="shared" si="10"/>
        <v>1</v>
      </c>
      <c r="M32" s="621">
        <f t="shared" si="10"/>
        <v>1</v>
      </c>
      <c r="N32" s="391">
        <f t="shared" si="11"/>
        <v>107615.37170826925</v>
      </c>
    </row>
    <row r="33" spans="1:14">
      <c r="A33" s="1061">
        <f t="shared" si="1"/>
        <v>19</v>
      </c>
      <c r="B33" s="682">
        <v>35103</v>
      </c>
      <c r="C33" s="4" t="s">
        <v>601</v>
      </c>
      <c r="D33" s="445">
        <v>19907.854330000009</v>
      </c>
      <c r="E33" s="578">
        <v>0</v>
      </c>
      <c r="F33" s="578">
        <f t="shared" si="7"/>
        <v>19907.854330000009</v>
      </c>
      <c r="G33" s="620">
        <f t="shared" si="8"/>
        <v>1</v>
      </c>
      <c r="H33" s="620">
        <f t="shared" si="8"/>
        <v>1</v>
      </c>
      <c r="I33" s="578">
        <f t="shared" si="9"/>
        <v>19907.854330000009</v>
      </c>
      <c r="J33" s="106"/>
      <c r="K33" s="445">
        <v>19826.881935000009</v>
      </c>
      <c r="L33" s="621">
        <f t="shared" si="10"/>
        <v>1</v>
      </c>
      <c r="M33" s="621">
        <f t="shared" si="10"/>
        <v>1</v>
      </c>
      <c r="N33" s="391">
        <f t="shared" si="11"/>
        <v>19826.881935000009</v>
      </c>
    </row>
    <row r="34" spans="1:14">
      <c r="A34" s="1061">
        <f t="shared" si="1"/>
        <v>20</v>
      </c>
      <c r="B34" s="682">
        <v>35104</v>
      </c>
      <c r="C34" s="4" t="s">
        <v>602</v>
      </c>
      <c r="D34" s="445">
        <v>94926.77092699999</v>
      </c>
      <c r="E34" s="578">
        <v>0</v>
      </c>
      <c r="F34" s="578">
        <f t="shared" si="7"/>
        <v>94926.77092699999</v>
      </c>
      <c r="G34" s="620">
        <f t="shared" si="8"/>
        <v>1</v>
      </c>
      <c r="H34" s="620">
        <f t="shared" si="8"/>
        <v>1</v>
      </c>
      <c r="I34" s="578">
        <f t="shared" si="9"/>
        <v>94926.77092699999</v>
      </c>
      <c r="J34" s="106"/>
      <c r="K34" s="445">
        <v>94115.86294188461</v>
      </c>
      <c r="L34" s="621">
        <f t="shared" si="10"/>
        <v>1</v>
      </c>
      <c r="M34" s="621">
        <f t="shared" si="10"/>
        <v>1</v>
      </c>
      <c r="N34" s="391">
        <f t="shared" si="11"/>
        <v>94115.86294188461</v>
      </c>
    </row>
    <row r="35" spans="1:14">
      <c r="A35" s="1061">
        <f t="shared" si="1"/>
        <v>21</v>
      </c>
      <c r="B35" s="682">
        <v>35200</v>
      </c>
      <c r="C35" s="4" t="s">
        <v>455</v>
      </c>
      <c r="D35" s="445">
        <v>891608.91324900568</v>
      </c>
      <c r="E35" s="578">
        <v>0</v>
      </c>
      <c r="F35" s="578">
        <f t="shared" si="7"/>
        <v>891608.91324900568</v>
      </c>
      <c r="G35" s="620">
        <f t="shared" si="8"/>
        <v>1</v>
      </c>
      <c r="H35" s="620">
        <f t="shared" si="8"/>
        <v>1</v>
      </c>
      <c r="I35" s="578">
        <f t="shared" si="9"/>
        <v>891608.91324900568</v>
      </c>
      <c r="J35" s="106"/>
      <c r="K35" s="445">
        <v>823631.41895473562</v>
      </c>
      <c r="L35" s="621">
        <f t="shared" si="10"/>
        <v>1</v>
      </c>
      <c r="M35" s="621">
        <f t="shared" si="10"/>
        <v>1</v>
      </c>
      <c r="N35" s="391">
        <f t="shared" si="11"/>
        <v>823631.41895473562</v>
      </c>
    </row>
    <row r="36" spans="1:14">
      <c r="A36" s="1061">
        <f t="shared" si="1"/>
        <v>22</v>
      </c>
      <c r="B36" s="682">
        <v>35201</v>
      </c>
      <c r="C36" s="4" t="s">
        <v>603</v>
      </c>
      <c r="D36" s="445">
        <v>1348634.7495610004</v>
      </c>
      <c r="E36" s="578">
        <v>0</v>
      </c>
      <c r="F36" s="578">
        <f t="shared" si="7"/>
        <v>1348634.7495610004</v>
      </c>
      <c r="G36" s="620">
        <f t="shared" si="8"/>
        <v>1</v>
      </c>
      <c r="H36" s="620">
        <f t="shared" si="8"/>
        <v>1</v>
      </c>
      <c r="I36" s="578">
        <f t="shared" si="9"/>
        <v>1348634.7495610004</v>
      </c>
      <c r="J36" s="106"/>
      <c r="K36" s="445">
        <v>1336479.7625741155</v>
      </c>
      <c r="L36" s="621">
        <f t="shared" si="10"/>
        <v>1</v>
      </c>
      <c r="M36" s="621">
        <f t="shared" si="10"/>
        <v>1</v>
      </c>
      <c r="N36" s="391">
        <f t="shared" si="11"/>
        <v>1336479.7625741155</v>
      </c>
    </row>
    <row r="37" spans="1:14">
      <c r="A37" s="1061">
        <f t="shared" si="1"/>
        <v>23</v>
      </c>
      <c r="B37" s="682">
        <v>35202</v>
      </c>
      <c r="C37" s="4" t="s">
        <v>604</v>
      </c>
      <c r="D37" s="445">
        <v>376466.560352</v>
      </c>
      <c r="E37" s="578">
        <v>0</v>
      </c>
      <c r="F37" s="578">
        <f t="shared" si="7"/>
        <v>376466.560352</v>
      </c>
      <c r="G37" s="620">
        <f t="shared" si="8"/>
        <v>1</v>
      </c>
      <c r="H37" s="620">
        <f t="shared" si="8"/>
        <v>1</v>
      </c>
      <c r="I37" s="578">
        <f t="shared" si="9"/>
        <v>376466.560352</v>
      </c>
      <c r="J37" s="106"/>
      <c r="K37" s="445">
        <v>392157.2893255385</v>
      </c>
      <c r="L37" s="621">
        <f t="shared" si="10"/>
        <v>1</v>
      </c>
      <c r="M37" s="621">
        <f t="shared" si="10"/>
        <v>1</v>
      </c>
      <c r="N37" s="391">
        <f t="shared" si="11"/>
        <v>392157.2893255385</v>
      </c>
    </row>
    <row r="38" spans="1:14">
      <c r="A38" s="1061">
        <f t="shared" si="1"/>
        <v>24</v>
      </c>
      <c r="B38" s="682">
        <v>35203</v>
      </c>
      <c r="C38" s="4" t="s">
        <v>353</v>
      </c>
      <c r="D38" s="445">
        <v>658774.30004799971</v>
      </c>
      <c r="E38" s="578">
        <v>0</v>
      </c>
      <c r="F38" s="578">
        <f t="shared" si="7"/>
        <v>658774.30004799971</v>
      </c>
      <c r="G38" s="620">
        <f t="shared" si="8"/>
        <v>1</v>
      </c>
      <c r="H38" s="620">
        <f t="shared" si="8"/>
        <v>1</v>
      </c>
      <c r="I38" s="578">
        <f t="shared" si="9"/>
        <v>658774.30004799971</v>
      </c>
      <c r="J38" s="106"/>
      <c r="K38" s="445">
        <v>643859.76193599985</v>
      </c>
      <c r="L38" s="621">
        <f t="shared" si="10"/>
        <v>1</v>
      </c>
      <c r="M38" s="621">
        <f t="shared" si="10"/>
        <v>1</v>
      </c>
      <c r="N38" s="391">
        <f t="shared" si="11"/>
        <v>643859.76193599985</v>
      </c>
    </row>
    <row r="39" spans="1:14">
      <c r="A39" s="1061">
        <f t="shared" si="1"/>
        <v>25</v>
      </c>
      <c r="B39" s="682">
        <v>35210</v>
      </c>
      <c r="C39" s="4" t="s">
        <v>605</v>
      </c>
      <c r="D39" s="445">
        <v>166044.24553150008</v>
      </c>
      <c r="E39" s="578">
        <v>0</v>
      </c>
      <c r="F39" s="578">
        <f t="shared" si="7"/>
        <v>166044.24553150008</v>
      </c>
      <c r="G39" s="620">
        <f t="shared" si="8"/>
        <v>1</v>
      </c>
      <c r="H39" s="620">
        <f t="shared" si="8"/>
        <v>1</v>
      </c>
      <c r="I39" s="578">
        <f t="shared" si="9"/>
        <v>166044.24553150008</v>
      </c>
      <c r="J39" s="106"/>
      <c r="K39" s="445">
        <v>165981.76687386539</v>
      </c>
      <c r="L39" s="621">
        <f t="shared" si="10"/>
        <v>1</v>
      </c>
      <c r="M39" s="621">
        <f t="shared" si="10"/>
        <v>1</v>
      </c>
      <c r="N39" s="391">
        <f t="shared" si="11"/>
        <v>165981.76687386539</v>
      </c>
    </row>
    <row r="40" spans="1:14">
      <c r="A40" s="1061">
        <f t="shared" si="1"/>
        <v>26</v>
      </c>
      <c r="B40" s="682">
        <v>35211</v>
      </c>
      <c r="C40" s="4" t="s">
        <v>606</v>
      </c>
      <c r="D40" s="445">
        <v>42739.010658499967</v>
      </c>
      <c r="E40" s="578">
        <v>0</v>
      </c>
      <c r="F40" s="578">
        <f t="shared" si="7"/>
        <v>42739.010658499967</v>
      </c>
      <c r="G40" s="620">
        <f t="shared" si="8"/>
        <v>1</v>
      </c>
      <c r="H40" s="620">
        <f t="shared" si="8"/>
        <v>1</v>
      </c>
      <c r="I40" s="578">
        <f t="shared" si="9"/>
        <v>42739.010658499967</v>
      </c>
      <c r="J40" s="106"/>
      <c r="K40" s="445">
        <v>42545.13556190383</v>
      </c>
      <c r="L40" s="621">
        <f t="shared" si="10"/>
        <v>1</v>
      </c>
      <c r="M40" s="621">
        <f t="shared" si="10"/>
        <v>1</v>
      </c>
      <c r="N40" s="391">
        <f t="shared" si="11"/>
        <v>42545.13556190383</v>
      </c>
    </row>
    <row r="41" spans="1:14">
      <c r="A41" s="1061">
        <f t="shared" si="1"/>
        <v>27</v>
      </c>
      <c r="B41" s="682">
        <v>35301</v>
      </c>
      <c r="C41" s="1" t="s">
        <v>167</v>
      </c>
      <c r="D41" s="445">
        <v>153320.93658999997</v>
      </c>
      <c r="E41" s="578">
        <v>0</v>
      </c>
      <c r="F41" s="578">
        <f t="shared" si="7"/>
        <v>153320.93658999997</v>
      </c>
      <c r="G41" s="620">
        <f t="shared" si="8"/>
        <v>1</v>
      </c>
      <c r="H41" s="620">
        <f t="shared" si="8"/>
        <v>1</v>
      </c>
      <c r="I41" s="578">
        <f t="shared" si="9"/>
        <v>153320.93658999997</v>
      </c>
      <c r="J41" s="106"/>
      <c r="K41" s="445">
        <v>153124.59715884615</v>
      </c>
      <c r="L41" s="621">
        <f t="shared" si="10"/>
        <v>1</v>
      </c>
      <c r="M41" s="621">
        <f t="shared" si="10"/>
        <v>1</v>
      </c>
      <c r="N41" s="391">
        <f t="shared" si="11"/>
        <v>153124.59715884615</v>
      </c>
    </row>
    <row r="42" spans="1:14">
      <c r="A42" s="1061">
        <f t="shared" si="1"/>
        <v>28</v>
      </c>
      <c r="B42" s="682">
        <v>35302</v>
      </c>
      <c r="C42" s="4" t="s">
        <v>612</v>
      </c>
      <c r="D42" s="445">
        <v>213181.89999999997</v>
      </c>
      <c r="E42" s="578">
        <v>0</v>
      </c>
      <c r="F42" s="578">
        <f t="shared" si="7"/>
        <v>213181.89999999997</v>
      </c>
      <c r="G42" s="620">
        <f t="shared" si="8"/>
        <v>1</v>
      </c>
      <c r="H42" s="620">
        <f t="shared" si="8"/>
        <v>1</v>
      </c>
      <c r="I42" s="578">
        <f t="shared" si="9"/>
        <v>213181.89999999997</v>
      </c>
      <c r="J42" s="106"/>
      <c r="K42" s="445">
        <v>213119.86923076917</v>
      </c>
      <c r="L42" s="621">
        <f t="shared" si="10"/>
        <v>1</v>
      </c>
      <c r="M42" s="621">
        <f t="shared" si="10"/>
        <v>1</v>
      </c>
      <c r="N42" s="391">
        <f t="shared" si="11"/>
        <v>213119.86923076917</v>
      </c>
    </row>
    <row r="43" spans="1:14">
      <c r="A43" s="1061">
        <f t="shared" si="1"/>
        <v>29</v>
      </c>
      <c r="B43" s="682">
        <v>35400</v>
      </c>
      <c r="C43" s="4" t="s">
        <v>607</v>
      </c>
      <c r="D43" s="445">
        <v>468462.32221500005</v>
      </c>
      <c r="E43" s="578">
        <v>0</v>
      </c>
      <c r="F43" s="578">
        <f t="shared" si="7"/>
        <v>468462.32221500005</v>
      </c>
      <c r="G43" s="620">
        <f t="shared" si="8"/>
        <v>1</v>
      </c>
      <c r="H43" s="620">
        <f t="shared" si="8"/>
        <v>1</v>
      </c>
      <c r="I43" s="578">
        <f t="shared" si="9"/>
        <v>468462.32221500005</v>
      </c>
      <c r="J43" s="106"/>
      <c r="K43" s="445">
        <v>460797.72598096146</v>
      </c>
      <c r="L43" s="621">
        <f t="shared" si="10"/>
        <v>1</v>
      </c>
      <c r="M43" s="621">
        <f t="shared" si="10"/>
        <v>1</v>
      </c>
      <c r="N43" s="391">
        <f t="shared" si="11"/>
        <v>460797.72598096146</v>
      </c>
    </row>
    <row r="44" spans="1:14">
      <c r="A44" s="1061">
        <f t="shared" si="1"/>
        <v>30</v>
      </c>
      <c r="B44" s="682">
        <v>35500</v>
      </c>
      <c r="C44" s="4" t="s">
        <v>1011</v>
      </c>
      <c r="D44" s="445">
        <v>205387.366847</v>
      </c>
      <c r="E44" s="578">
        <v>0</v>
      </c>
      <c r="F44" s="578">
        <f t="shared" si="7"/>
        <v>205387.366847</v>
      </c>
      <c r="G44" s="620">
        <f t="shared" si="8"/>
        <v>1</v>
      </c>
      <c r="H44" s="620">
        <f t="shared" si="8"/>
        <v>1</v>
      </c>
      <c r="I44" s="578">
        <f t="shared" si="9"/>
        <v>205387.366847</v>
      </c>
      <c r="J44" s="106"/>
      <c r="K44" s="445">
        <v>204207.04184342313</v>
      </c>
      <c r="L44" s="621">
        <f t="shared" si="10"/>
        <v>1</v>
      </c>
      <c r="M44" s="621">
        <f t="shared" si="10"/>
        <v>1</v>
      </c>
      <c r="N44" s="391">
        <f t="shared" si="11"/>
        <v>204207.04184342313</v>
      </c>
    </row>
    <row r="45" spans="1:14">
      <c r="A45" s="1061">
        <f t="shared" si="1"/>
        <v>31</v>
      </c>
      <c r="B45" s="682">
        <v>35600</v>
      </c>
      <c r="C45" s="4" t="s">
        <v>1060</v>
      </c>
      <c r="D45" s="445">
        <v>153025.29007249992</v>
      </c>
      <c r="E45" s="1141">
        <v>0</v>
      </c>
      <c r="F45" s="1141">
        <f t="shared" si="7"/>
        <v>153025.29007249992</v>
      </c>
      <c r="G45" s="620">
        <f t="shared" si="8"/>
        <v>1</v>
      </c>
      <c r="H45" s="620">
        <f t="shared" si="8"/>
        <v>1</v>
      </c>
      <c r="I45" s="1141">
        <f t="shared" si="9"/>
        <v>153025.29007249992</v>
      </c>
      <c r="J45" s="106"/>
      <c r="K45" s="445">
        <v>152175.22463490377</v>
      </c>
      <c r="L45" s="621">
        <f t="shared" si="10"/>
        <v>1</v>
      </c>
      <c r="M45" s="621">
        <f t="shared" si="10"/>
        <v>1</v>
      </c>
      <c r="N45" s="392">
        <f t="shared" si="11"/>
        <v>152175.22463490377</v>
      </c>
    </row>
    <row r="46" spans="1:14">
      <c r="A46" s="1061">
        <f t="shared" si="1"/>
        <v>32</v>
      </c>
      <c r="B46" s="682"/>
      <c r="C46" s="4"/>
      <c r="D46" s="1142"/>
      <c r="E46" s="578"/>
      <c r="F46" s="578"/>
      <c r="G46" s="620"/>
      <c r="H46" s="620"/>
      <c r="I46" s="578"/>
      <c r="J46" s="106"/>
      <c r="K46" s="1142"/>
      <c r="N46" s="391"/>
    </row>
    <row r="47" spans="1:14">
      <c r="A47" s="1061">
        <f t="shared" si="1"/>
        <v>33</v>
      </c>
      <c r="B47" s="682"/>
      <c r="C47" s="4" t="s">
        <v>1438</v>
      </c>
      <c r="D47" s="445">
        <f>SUM(D29:D46)</f>
        <v>4911657.8811035054</v>
      </c>
      <c r="E47" s="445">
        <f>SUM(E29:E46)</f>
        <v>0</v>
      </c>
      <c r="F47" s="445">
        <f>SUM(F29:F46)</f>
        <v>4911657.8811035054</v>
      </c>
      <c r="G47" s="620"/>
      <c r="H47" s="620"/>
      <c r="I47" s="445">
        <f>SUM(I29:I46)</f>
        <v>4911657.8811035054</v>
      </c>
      <c r="J47" s="106"/>
      <c r="K47" s="445">
        <f>SUM(K29:K46)</f>
        <v>4820185.3772232542</v>
      </c>
      <c r="N47" s="382">
        <f>SUM(N29:N46)</f>
        <v>4820185.3772232542</v>
      </c>
    </row>
    <row r="48" spans="1:14">
      <c r="A48" s="1061">
        <f t="shared" si="1"/>
        <v>34</v>
      </c>
      <c r="B48" s="682"/>
      <c r="C48" s="4"/>
      <c r="D48" s="578"/>
      <c r="E48" s="578"/>
      <c r="F48" s="578"/>
      <c r="G48" s="620"/>
      <c r="H48" s="620"/>
      <c r="I48" s="578"/>
      <c r="J48" s="106"/>
      <c r="K48" s="578"/>
      <c r="N48" s="391"/>
    </row>
    <row r="49" spans="1:14">
      <c r="A49" s="1061">
        <f t="shared" si="1"/>
        <v>35</v>
      </c>
      <c r="B49" s="682"/>
      <c r="C49" s="17" t="s">
        <v>1012</v>
      </c>
      <c r="D49" s="578"/>
      <c r="E49" s="578"/>
      <c r="F49" s="578"/>
      <c r="G49" s="620"/>
      <c r="H49" s="620"/>
      <c r="I49" s="578"/>
      <c r="J49" s="106"/>
      <c r="K49" s="578"/>
      <c r="N49" s="391"/>
    </row>
    <row r="50" spans="1:14">
      <c r="A50" s="1061">
        <f t="shared" si="1"/>
        <v>36</v>
      </c>
      <c r="B50" s="682">
        <v>36510</v>
      </c>
      <c r="C50" s="4" t="s">
        <v>300</v>
      </c>
      <c r="D50" s="445">
        <v>0</v>
      </c>
      <c r="E50" s="445">
        <v>0</v>
      </c>
      <c r="F50" s="445">
        <f t="shared" ref="F50:F57" si="12">D50-E50</f>
        <v>0</v>
      </c>
      <c r="G50" s="620">
        <f t="shared" ref="G50:H57" si="13">$G$16</f>
        <v>1</v>
      </c>
      <c r="H50" s="620">
        <f t="shared" si="13"/>
        <v>1</v>
      </c>
      <c r="I50" s="445">
        <f t="shared" ref="I50:I57" si="14">F50*G50*H50</f>
        <v>0</v>
      </c>
      <c r="J50" s="106"/>
      <c r="K50" s="445">
        <v>0</v>
      </c>
      <c r="L50" s="621">
        <f t="shared" ref="L50:M57" si="15">$G$16</f>
        <v>1</v>
      </c>
      <c r="M50" s="621">
        <f t="shared" si="15"/>
        <v>1</v>
      </c>
      <c r="N50" s="382">
        <f t="shared" ref="N50:N57" si="16">K50*L50*M50</f>
        <v>0</v>
      </c>
    </row>
    <row r="51" spans="1:14">
      <c r="A51" s="1061">
        <f t="shared" si="1"/>
        <v>37</v>
      </c>
      <c r="B51" s="682">
        <v>36520</v>
      </c>
      <c r="C51" s="4" t="s">
        <v>809</v>
      </c>
      <c r="D51" s="445">
        <v>442997.33579999983</v>
      </c>
      <c r="E51" s="578">
        <v>0</v>
      </c>
      <c r="F51" s="578">
        <f t="shared" si="12"/>
        <v>442997.33579999983</v>
      </c>
      <c r="G51" s="620">
        <f t="shared" si="13"/>
        <v>1</v>
      </c>
      <c r="H51" s="620">
        <f t="shared" si="13"/>
        <v>1</v>
      </c>
      <c r="I51" s="578">
        <f t="shared" si="14"/>
        <v>442997.33579999983</v>
      </c>
      <c r="J51" s="106"/>
      <c r="K51" s="445">
        <v>436358.87886923063</v>
      </c>
      <c r="L51" s="621">
        <f t="shared" si="15"/>
        <v>1</v>
      </c>
      <c r="M51" s="621">
        <f t="shared" si="15"/>
        <v>1</v>
      </c>
      <c r="N51" s="391">
        <f t="shared" si="16"/>
        <v>436358.87886923063</v>
      </c>
    </row>
    <row r="52" spans="1:14">
      <c r="A52" s="1061">
        <f t="shared" si="1"/>
        <v>38</v>
      </c>
      <c r="B52" s="682">
        <v>36602</v>
      </c>
      <c r="C52" s="4" t="s">
        <v>874</v>
      </c>
      <c r="D52" s="445">
        <v>12749.945823999993</v>
      </c>
      <c r="E52" s="578">
        <v>0</v>
      </c>
      <c r="F52" s="578">
        <f t="shared" si="12"/>
        <v>12749.945823999993</v>
      </c>
      <c r="G52" s="620">
        <f t="shared" si="13"/>
        <v>1</v>
      </c>
      <c r="H52" s="620">
        <f t="shared" si="13"/>
        <v>1</v>
      </c>
      <c r="I52" s="578">
        <f t="shared" si="14"/>
        <v>12749.945823999993</v>
      </c>
      <c r="J52" s="106"/>
      <c r="K52" s="445">
        <v>12299.139644923074</v>
      </c>
      <c r="L52" s="621">
        <f t="shared" si="15"/>
        <v>1</v>
      </c>
      <c r="M52" s="621">
        <f t="shared" si="15"/>
        <v>1</v>
      </c>
      <c r="N52" s="391">
        <f t="shared" si="16"/>
        <v>12299.139644923074</v>
      </c>
    </row>
    <row r="53" spans="1:14">
      <c r="A53" s="1061">
        <f t="shared" si="1"/>
        <v>39</v>
      </c>
      <c r="B53" s="682">
        <v>36603</v>
      </c>
      <c r="C53" s="4" t="s">
        <v>1013</v>
      </c>
      <c r="D53" s="445">
        <v>46459.05186799998</v>
      </c>
      <c r="E53" s="578">
        <v>0</v>
      </c>
      <c r="F53" s="578">
        <f t="shared" si="12"/>
        <v>46459.05186799998</v>
      </c>
      <c r="G53" s="620">
        <f t="shared" si="13"/>
        <v>1</v>
      </c>
      <c r="H53" s="620">
        <f t="shared" si="13"/>
        <v>1</v>
      </c>
      <c r="I53" s="578">
        <f t="shared" si="14"/>
        <v>46459.05186799998</v>
      </c>
      <c r="J53" s="106"/>
      <c r="K53" s="445">
        <v>45899.445118307682</v>
      </c>
      <c r="L53" s="621">
        <f t="shared" si="15"/>
        <v>1</v>
      </c>
      <c r="M53" s="621">
        <f t="shared" si="15"/>
        <v>1</v>
      </c>
      <c r="N53" s="391">
        <f t="shared" si="16"/>
        <v>45899.445118307682</v>
      </c>
    </row>
    <row r="54" spans="1:14">
      <c r="A54" s="1061">
        <f t="shared" si="1"/>
        <v>40</v>
      </c>
      <c r="B54" s="682">
        <v>36700</v>
      </c>
      <c r="C54" s="4" t="s">
        <v>861</v>
      </c>
      <c r="D54" s="445">
        <v>124025.35</v>
      </c>
      <c r="E54" s="578">
        <v>0</v>
      </c>
      <c r="F54" s="578">
        <f t="shared" si="12"/>
        <v>124025.35</v>
      </c>
      <c r="G54" s="620">
        <f t="shared" si="13"/>
        <v>1</v>
      </c>
      <c r="H54" s="620">
        <f t="shared" si="13"/>
        <v>1</v>
      </c>
      <c r="I54" s="578">
        <f t="shared" si="14"/>
        <v>124025.35</v>
      </c>
      <c r="J54" s="106"/>
      <c r="K54" s="445">
        <v>119387.63538461538</v>
      </c>
      <c r="L54" s="621">
        <f t="shared" si="15"/>
        <v>1</v>
      </c>
      <c r="M54" s="621">
        <f t="shared" si="15"/>
        <v>1</v>
      </c>
      <c r="N54" s="391">
        <f t="shared" si="16"/>
        <v>119387.63538461538</v>
      </c>
    </row>
    <row r="55" spans="1:14">
      <c r="A55" s="1061">
        <f t="shared" si="1"/>
        <v>41</v>
      </c>
      <c r="B55" s="682">
        <v>36701</v>
      </c>
      <c r="C55" s="4" t="s">
        <v>16</v>
      </c>
      <c r="D55" s="445">
        <v>17880916.630299509</v>
      </c>
      <c r="E55" s="578">
        <v>0</v>
      </c>
      <c r="F55" s="578">
        <f t="shared" si="12"/>
        <v>17880916.630299509</v>
      </c>
      <c r="G55" s="620">
        <f t="shared" si="13"/>
        <v>1</v>
      </c>
      <c r="H55" s="620">
        <f t="shared" si="13"/>
        <v>1</v>
      </c>
      <c r="I55" s="578">
        <f t="shared" si="14"/>
        <v>17880916.630299509</v>
      </c>
      <c r="J55" s="106"/>
      <c r="K55" s="445">
        <v>17587856.574696023</v>
      </c>
      <c r="L55" s="621">
        <f t="shared" si="15"/>
        <v>1</v>
      </c>
      <c r="M55" s="621">
        <f t="shared" si="15"/>
        <v>1</v>
      </c>
      <c r="N55" s="391">
        <f t="shared" si="16"/>
        <v>17587856.574696023</v>
      </c>
    </row>
    <row r="56" spans="1:14">
      <c r="A56" s="1061">
        <f t="shared" si="1"/>
        <v>42</v>
      </c>
      <c r="B56" s="682">
        <v>36900</v>
      </c>
      <c r="C56" s="4" t="s">
        <v>1014</v>
      </c>
      <c r="D56" s="445">
        <v>257230.06083400006</v>
      </c>
      <c r="E56" s="578">
        <v>0</v>
      </c>
      <c r="F56" s="578">
        <f t="shared" si="12"/>
        <v>257230.06083400006</v>
      </c>
      <c r="G56" s="620">
        <f t="shared" si="13"/>
        <v>1</v>
      </c>
      <c r="H56" s="620">
        <f t="shared" si="13"/>
        <v>1</v>
      </c>
      <c r="I56" s="578">
        <f t="shared" si="14"/>
        <v>257230.06083400006</v>
      </c>
      <c r="J56" s="106"/>
      <c r="K56" s="445">
        <v>250741.58560915387</v>
      </c>
      <c r="L56" s="621">
        <f t="shared" si="15"/>
        <v>1</v>
      </c>
      <c r="M56" s="621">
        <f t="shared" si="15"/>
        <v>1</v>
      </c>
      <c r="N56" s="391">
        <f t="shared" si="16"/>
        <v>250741.58560915387</v>
      </c>
    </row>
    <row r="57" spans="1:14">
      <c r="A57" s="1061">
        <f t="shared" si="1"/>
        <v>43</v>
      </c>
      <c r="B57" s="682">
        <v>36901</v>
      </c>
      <c r="C57" s="4" t="s">
        <v>1014</v>
      </c>
      <c r="D57" s="445">
        <v>1418955.5419524994</v>
      </c>
      <c r="E57" s="1141">
        <v>0</v>
      </c>
      <c r="F57" s="1141">
        <f t="shared" si="12"/>
        <v>1418955.5419524994</v>
      </c>
      <c r="G57" s="620">
        <f t="shared" si="13"/>
        <v>1</v>
      </c>
      <c r="H57" s="620">
        <f t="shared" si="13"/>
        <v>1</v>
      </c>
      <c r="I57" s="1141">
        <f t="shared" si="14"/>
        <v>1418955.5419524994</v>
      </c>
      <c r="J57" s="106"/>
      <c r="K57" s="445">
        <v>1395684.7836025963</v>
      </c>
      <c r="L57" s="621">
        <f t="shared" si="15"/>
        <v>1</v>
      </c>
      <c r="M57" s="621">
        <f t="shared" si="15"/>
        <v>1</v>
      </c>
      <c r="N57" s="392">
        <f t="shared" si="16"/>
        <v>1395684.7836025963</v>
      </c>
    </row>
    <row r="58" spans="1:14">
      <c r="A58" s="1061">
        <f t="shared" si="1"/>
        <v>44</v>
      </c>
      <c r="B58" s="682"/>
      <c r="C58" s="4"/>
      <c r="D58" s="1142"/>
      <c r="E58" s="578"/>
      <c r="F58" s="578"/>
      <c r="G58" s="620"/>
      <c r="H58" s="620"/>
      <c r="I58" s="578"/>
      <c r="J58" s="106"/>
      <c r="K58" s="1142"/>
      <c r="N58" s="391"/>
    </row>
    <row r="59" spans="1:14">
      <c r="A59" s="1061">
        <f t="shared" si="1"/>
        <v>45</v>
      </c>
      <c r="B59" s="465"/>
      <c r="C59" s="4" t="s">
        <v>1437</v>
      </c>
      <c r="D59" s="445">
        <f>SUM(D50:D58)</f>
        <v>20183333.91657801</v>
      </c>
      <c r="E59" s="445">
        <f>SUM(E50:E58)</f>
        <v>0</v>
      </c>
      <c r="F59" s="445">
        <f>SUM(F50:F58)</f>
        <v>20183333.91657801</v>
      </c>
      <c r="G59" s="620"/>
      <c r="H59" s="620"/>
      <c r="I59" s="445">
        <f>SUM(I50:I58)</f>
        <v>20183333.91657801</v>
      </c>
      <c r="J59" s="106"/>
      <c r="K59" s="445">
        <f>SUM(K50:K58)</f>
        <v>19848228.042924847</v>
      </c>
      <c r="N59" s="382">
        <f>SUM(N50:N58)</f>
        <v>19848228.042924847</v>
      </c>
    </row>
    <row r="60" spans="1:14">
      <c r="A60" s="1061">
        <f t="shared" si="1"/>
        <v>46</v>
      </c>
      <c r="B60" s="465"/>
      <c r="C60" s="1"/>
      <c r="D60" s="578"/>
      <c r="E60" s="578"/>
      <c r="F60" s="578"/>
      <c r="G60" s="620"/>
      <c r="H60" s="620"/>
      <c r="I60" s="578"/>
      <c r="J60" s="106"/>
      <c r="K60" s="578"/>
      <c r="N60" s="391"/>
    </row>
    <row r="61" spans="1:14">
      <c r="A61" s="1061">
        <f t="shared" si="1"/>
        <v>47</v>
      </c>
      <c r="B61" s="465"/>
      <c r="C61" s="17" t="s">
        <v>307</v>
      </c>
      <c r="D61" s="578"/>
      <c r="E61" s="578"/>
      <c r="F61" s="578"/>
      <c r="G61" s="620"/>
      <c r="H61" s="620"/>
      <c r="I61" s="578"/>
      <c r="J61" s="106"/>
      <c r="K61" s="578"/>
      <c r="N61" s="391"/>
    </row>
    <row r="62" spans="1:14">
      <c r="A62" s="1061">
        <f t="shared" si="1"/>
        <v>48</v>
      </c>
      <c r="B62" s="682">
        <v>37400</v>
      </c>
      <c r="C62" s="4" t="s">
        <v>1168</v>
      </c>
      <c r="D62" s="445">
        <v>-0.01</v>
      </c>
      <c r="E62" s="445">
        <v>0</v>
      </c>
      <c r="F62" s="445">
        <f t="shared" ref="F62:F81" si="17">D62-E62</f>
        <v>-0.01</v>
      </c>
      <c r="G62" s="620">
        <f t="shared" ref="G62:H81" si="18">$G$16</f>
        <v>1</v>
      </c>
      <c r="H62" s="620">
        <f t="shared" si="18"/>
        <v>1</v>
      </c>
      <c r="I62" s="445">
        <f t="shared" ref="I62:I81" si="19">F62*G62*H62</f>
        <v>-0.01</v>
      </c>
      <c r="J62" s="106"/>
      <c r="K62" s="445">
        <v>-9.9999999999999985E-3</v>
      </c>
      <c r="L62" s="621">
        <f t="shared" ref="L62:M81" si="20">$G$16</f>
        <v>1</v>
      </c>
      <c r="M62" s="621">
        <f t="shared" si="20"/>
        <v>1</v>
      </c>
      <c r="N62" s="382">
        <f t="shared" ref="N62:N81" si="21">K62*L62*M62</f>
        <v>-9.9999999999999985E-3</v>
      </c>
    </row>
    <row r="63" spans="1:14">
      <c r="A63" s="1061">
        <f t="shared" si="1"/>
        <v>49</v>
      </c>
      <c r="B63" s="682">
        <v>37401</v>
      </c>
      <c r="C63" s="4" t="s">
        <v>300</v>
      </c>
      <c r="D63" s="445">
        <v>0</v>
      </c>
      <c r="E63" s="578">
        <v>0</v>
      </c>
      <c r="F63" s="578">
        <f t="shared" si="17"/>
        <v>0</v>
      </c>
      <c r="G63" s="620">
        <f t="shared" si="18"/>
        <v>1</v>
      </c>
      <c r="H63" s="620">
        <f t="shared" si="18"/>
        <v>1</v>
      </c>
      <c r="I63" s="578">
        <f t="shared" si="19"/>
        <v>0</v>
      </c>
      <c r="J63" s="106"/>
      <c r="K63" s="445">
        <v>0</v>
      </c>
      <c r="L63" s="621">
        <f t="shared" si="20"/>
        <v>1</v>
      </c>
      <c r="M63" s="621">
        <f t="shared" si="20"/>
        <v>1</v>
      </c>
      <c r="N63" s="391">
        <f t="shared" si="21"/>
        <v>0</v>
      </c>
    </row>
    <row r="64" spans="1:14">
      <c r="A64" s="1061">
        <f t="shared" si="1"/>
        <v>50</v>
      </c>
      <c r="B64" s="682">
        <v>37402</v>
      </c>
      <c r="C64" s="4" t="s">
        <v>1018</v>
      </c>
      <c r="D64" s="445">
        <v>102780.61280030801</v>
      </c>
      <c r="E64" s="578">
        <v>0</v>
      </c>
      <c r="F64" s="578">
        <f t="shared" si="17"/>
        <v>102780.61280030801</v>
      </c>
      <c r="G64" s="620">
        <f t="shared" si="18"/>
        <v>1</v>
      </c>
      <c r="H64" s="620">
        <f t="shared" si="18"/>
        <v>1</v>
      </c>
      <c r="I64" s="578">
        <f t="shared" si="19"/>
        <v>102780.61280030801</v>
      </c>
      <c r="J64" s="106"/>
      <c r="K64" s="445">
        <v>91057.892046392459</v>
      </c>
      <c r="L64" s="621">
        <f t="shared" si="20"/>
        <v>1</v>
      </c>
      <c r="M64" s="621">
        <f t="shared" si="20"/>
        <v>1</v>
      </c>
      <c r="N64" s="391">
        <f t="shared" si="21"/>
        <v>91057.892046392459</v>
      </c>
    </row>
    <row r="65" spans="1:14">
      <c r="A65" s="1061">
        <f t="shared" si="1"/>
        <v>51</v>
      </c>
      <c r="B65" s="682">
        <v>37403</v>
      </c>
      <c r="C65" s="4" t="s">
        <v>1015</v>
      </c>
      <c r="D65" s="445">
        <v>0</v>
      </c>
      <c r="E65" s="578">
        <v>0</v>
      </c>
      <c r="F65" s="578">
        <f t="shared" si="17"/>
        <v>0</v>
      </c>
      <c r="G65" s="620">
        <f t="shared" si="18"/>
        <v>1</v>
      </c>
      <c r="H65" s="620">
        <f t="shared" si="18"/>
        <v>1</v>
      </c>
      <c r="I65" s="578">
        <f t="shared" si="19"/>
        <v>0</v>
      </c>
      <c r="J65" s="106"/>
      <c r="K65" s="445">
        <v>0</v>
      </c>
      <c r="L65" s="621">
        <f t="shared" si="20"/>
        <v>1</v>
      </c>
      <c r="M65" s="621">
        <f t="shared" si="20"/>
        <v>1</v>
      </c>
      <c r="N65" s="391">
        <f t="shared" si="21"/>
        <v>0</v>
      </c>
    </row>
    <row r="66" spans="1:14">
      <c r="A66" s="1061">
        <f t="shared" si="1"/>
        <v>52</v>
      </c>
      <c r="B66" s="682">
        <v>37500</v>
      </c>
      <c r="C66" s="4" t="s">
        <v>874</v>
      </c>
      <c r="D66" s="445">
        <v>87793.437809000054</v>
      </c>
      <c r="E66" s="578">
        <v>0</v>
      </c>
      <c r="F66" s="578">
        <f t="shared" si="17"/>
        <v>87793.437809000054</v>
      </c>
      <c r="G66" s="620">
        <f t="shared" si="18"/>
        <v>1</v>
      </c>
      <c r="H66" s="620">
        <f t="shared" si="18"/>
        <v>1</v>
      </c>
      <c r="I66" s="578">
        <f t="shared" si="19"/>
        <v>87793.437809000054</v>
      </c>
      <c r="J66" s="106"/>
      <c r="K66" s="445">
        <v>84146.00864088464</v>
      </c>
      <c r="L66" s="621">
        <f t="shared" si="20"/>
        <v>1</v>
      </c>
      <c r="M66" s="621">
        <f t="shared" si="20"/>
        <v>1</v>
      </c>
      <c r="N66" s="391">
        <f t="shared" si="21"/>
        <v>84146.00864088464</v>
      </c>
    </row>
    <row r="67" spans="1:14">
      <c r="A67" s="1061">
        <f t="shared" si="1"/>
        <v>53</v>
      </c>
      <c r="B67" s="682">
        <v>37501</v>
      </c>
      <c r="C67" s="4" t="s">
        <v>1016</v>
      </c>
      <c r="D67" s="445">
        <v>61297.716710499997</v>
      </c>
      <c r="E67" s="578">
        <v>0</v>
      </c>
      <c r="F67" s="578">
        <f t="shared" si="17"/>
        <v>61297.716710499997</v>
      </c>
      <c r="G67" s="620">
        <f t="shared" si="18"/>
        <v>1</v>
      </c>
      <c r="H67" s="620">
        <f t="shared" si="18"/>
        <v>1</v>
      </c>
      <c r="I67" s="578">
        <f t="shared" si="19"/>
        <v>61297.716710499997</v>
      </c>
      <c r="J67" s="106"/>
      <c r="K67" s="445">
        <v>60214.697191288462</v>
      </c>
      <c r="L67" s="621">
        <f t="shared" si="20"/>
        <v>1</v>
      </c>
      <c r="M67" s="621">
        <f t="shared" si="20"/>
        <v>1</v>
      </c>
      <c r="N67" s="391">
        <f t="shared" si="21"/>
        <v>60214.697191288462</v>
      </c>
    </row>
    <row r="68" spans="1:14">
      <c r="A68" s="1061">
        <f t="shared" si="1"/>
        <v>54</v>
      </c>
      <c r="B68" s="682">
        <v>37502</v>
      </c>
      <c r="C68" s="4" t="s">
        <v>1018</v>
      </c>
      <c r="D68" s="445">
        <v>30989.066461500002</v>
      </c>
      <c r="E68" s="578">
        <v>0</v>
      </c>
      <c r="F68" s="578">
        <f t="shared" si="17"/>
        <v>30989.066461500002</v>
      </c>
      <c r="G68" s="620">
        <f t="shared" si="18"/>
        <v>1</v>
      </c>
      <c r="H68" s="620">
        <f t="shared" si="18"/>
        <v>1</v>
      </c>
      <c r="I68" s="578">
        <f t="shared" si="19"/>
        <v>30989.066461500002</v>
      </c>
      <c r="J68" s="106"/>
      <c r="K68" s="445">
        <v>30486.714047326932</v>
      </c>
      <c r="L68" s="621">
        <f t="shared" si="20"/>
        <v>1</v>
      </c>
      <c r="M68" s="621">
        <f t="shared" si="20"/>
        <v>1</v>
      </c>
      <c r="N68" s="391">
        <f t="shared" si="21"/>
        <v>30486.714047326932</v>
      </c>
    </row>
    <row r="69" spans="1:14">
      <c r="A69" s="1061">
        <f t="shared" si="1"/>
        <v>55</v>
      </c>
      <c r="B69" s="682">
        <v>37503</v>
      </c>
      <c r="C69" s="4" t="s">
        <v>1017</v>
      </c>
      <c r="D69" s="445">
        <v>1585.2851179999996</v>
      </c>
      <c r="E69" s="578">
        <v>0</v>
      </c>
      <c r="F69" s="578">
        <f t="shared" si="17"/>
        <v>1585.2851179999996</v>
      </c>
      <c r="G69" s="620">
        <f t="shared" si="18"/>
        <v>1</v>
      </c>
      <c r="H69" s="620">
        <f t="shared" si="18"/>
        <v>1</v>
      </c>
      <c r="I69" s="578">
        <f t="shared" si="19"/>
        <v>1585.2851179999996</v>
      </c>
      <c r="J69" s="106"/>
      <c r="K69" s="445">
        <v>1541.8340702307692</v>
      </c>
      <c r="L69" s="621">
        <f t="shared" si="20"/>
        <v>1</v>
      </c>
      <c r="M69" s="621">
        <f t="shared" si="20"/>
        <v>1</v>
      </c>
      <c r="N69" s="391">
        <f t="shared" si="21"/>
        <v>1541.8340702307692</v>
      </c>
    </row>
    <row r="70" spans="1:14">
      <c r="A70" s="1061">
        <f t="shared" si="1"/>
        <v>56</v>
      </c>
      <c r="B70" s="682">
        <v>37600</v>
      </c>
      <c r="C70" s="4" t="s">
        <v>861</v>
      </c>
      <c r="D70" s="445">
        <v>12749426.089028159</v>
      </c>
      <c r="E70" s="578">
        <v>0</v>
      </c>
      <c r="F70" s="578">
        <f t="shared" si="17"/>
        <v>12749426.089028159</v>
      </c>
      <c r="G70" s="620">
        <f t="shared" si="18"/>
        <v>1</v>
      </c>
      <c r="H70" s="620">
        <f t="shared" si="18"/>
        <v>1</v>
      </c>
      <c r="I70" s="578">
        <f t="shared" si="19"/>
        <v>12749426.089028159</v>
      </c>
      <c r="J70" s="106"/>
      <c r="K70" s="445">
        <v>12974183.652307035</v>
      </c>
      <c r="L70" s="621">
        <f t="shared" si="20"/>
        <v>1</v>
      </c>
      <c r="M70" s="621">
        <f t="shared" si="20"/>
        <v>1</v>
      </c>
      <c r="N70" s="391">
        <f t="shared" si="21"/>
        <v>12974183.652307035</v>
      </c>
    </row>
    <row r="71" spans="1:14">
      <c r="A71" s="1061">
        <f t="shared" si="1"/>
        <v>57</v>
      </c>
      <c r="B71" s="682">
        <v>37601</v>
      </c>
      <c r="C71" s="4" t="s">
        <v>16</v>
      </c>
      <c r="D71" s="445">
        <v>25096678.237261418</v>
      </c>
      <c r="E71" s="578">
        <v>0</v>
      </c>
      <c r="F71" s="578">
        <f t="shared" si="17"/>
        <v>25096678.237261418</v>
      </c>
      <c r="G71" s="620">
        <f t="shared" si="18"/>
        <v>1</v>
      </c>
      <c r="H71" s="620">
        <f t="shared" si="18"/>
        <v>1</v>
      </c>
      <c r="I71" s="578">
        <f t="shared" si="19"/>
        <v>25096678.237261418</v>
      </c>
      <c r="J71" s="106"/>
      <c r="K71" s="445">
        <v>24995887.743360639</v>
      </c>
      <c r="L71" s="621">
        <f t="shared" si="20"/>
        <v>1</v>
      </c>
      <c r="M71" s="621">
        <f t="shared" si="20"/>
        <v>1</v>
      </c>
      <c r="N71" s="391">
        <f t="shared" si="21"/>
        <v>24995887.743360639</v>
      </c>
    </row>
    <row r="72" spans="1:14">
      <c r="A72" s="1061">
        <f t="shared" si="1"/>
        <v>58</v>
      </c>
      <c r="B72" s="682">
        <v>37602</v>
      </c>
      <c r="C72" s="4" t="s">
        <v>862</v>
      </c>
      <c r="D72" s="445">
        <v>12840750.53466784</v>
      </c>
      <c r="E72" s="578">
        <v>0</v>
      </c>
      <c r="F72" s="578">
        <f t="shared" si="17"/>
        <v>12840750.53466784</v>
      </c>
      <c r="G72" s="620">
        <f t="shared" si="18"/>
        <v>1</v>
      </c>
      <c r="H72" s="620">
        <f t="shared" si="18"/>
        <v>1</v>
      </c>
      <c r="I72" s="578">
        <f t="shared" si="19"/>
        <v>12840750.53466784</v>
      </c>
      <c r="J72" s="106"/>
      <c r="K72" s="445">
        <v>11938882.399967462</v>
      </c>
      <c r="L72" s="621">
        <f t="shared" si="20"/>
        <v>1</v>
      </c>
      <c r="M72" s="621">
        <f t="shared" si="20"/>
        <v>1</v>
      </c>
      <c r="N72" s="391">
        <f t="shared" si="21"/>
        <v>11938882.399967462</v>
      </c>
    </row>
    <row r="73" spans="1:14">
      <c r="A73" s="1061">
        <f t="shared" si="1"/>
        <v>59</v>
      </c>
      <c r="B73" s="682">
        <v>37800</v>
      </c>
      <c r="C73" s="4" t="s">
        <v>234</v>
      </c>
      <c r="D73" s="445">
        <v>1889109.3664089912</v>
      </c>
      <c r="E73" s="578">
        <v>0</v>
      </c>
      <c r="F73" s="578">
        <f t="shared" si="17"/>
        <v>1889109.3664089912</v>
      </c>
      <c r="G73" s="620">
        <f t="shared" si="18"/>
        <v>1</v>
      </c>
      <c r="H73" s="620">
        <f t="shared" si="18"/>
        <v>1</v>
      </c>
      <c r="I73" s="578">
        <f t="shared" si="19"/>
        <v>1889109.3664089912</v>
      </c>
      <c r="J73" s="106"/>
      <c r="K73" s="445">
        <v>1795528.7667832826</v>
      </c>
      <c r="L73" s="621">
        <f t="shared" si="20"/>
        <v>1</v>
      </c>
      <c r="M73" s="621">
        <f t="shared" si="20"/>
        <v>1</v>
      </c>
      <c r="N73" s="391">
        <f t="shared" si="21"/>
        <v>1795528.7667832826</v>
      </c>
    </row>
    <row r="74" spans="1:14">
      <c r="A74" s="1061">
        <f t="shared" si="1"/>
        <v>60</v>
      </c>
      <c r="B74" s="682">
        <v>37900</v>
      </c>
      <c r="C74" s="4" t="s">
        <v>1211</v>
      </c>
      <c r="D74" s="445">
        <v>578353.97001379193</v>
      </c>
      <c r="E74" s="578">
        <v>0</v>
      </c>
      <c r="F74" s="578">
        <f t="shared" si="17"/>
        <v>578353.97001379193</v>
      </c>
      <c r="G74" s="620">
        <f t="shared" si="18"/>
        <v>1</v>
      </c>
      <c r="H74" s="620">
        <f t="shared" si="18"/>
        <v>1</v>
      </c>
      <c r="I74" s="578">
        <f t="shared" si="19"/>
        <v>578353.97001379193</v>
      </c>
      <c r="J74" s="106"/>
      <c r="K74" s="445">
        <v>546784.67133280472</v>
      </c>
      <c r="L74" s="621">
        <f t="shared" si="20"/>
        <v>1</v>
      </c>
      <c r="M74" s="621">
        <f t="shared" si="20"/>
        <v>1</v>
      </c>
      <c r="N74" s="391">
        <f t="shared" si="21"/>
        <v>546784.67133280472</v>
      </c>
    </row>
    <row r="75" spans="1:14">
      <c r="A75" s="1061">
        <f t="shared" si="1"/>
        <v>61</v>
      </c>
      <c r="B75" s="682">
        <v>37905</v>
      </c>
      <c r="C75" s="4" t="s">
        <v>742</v>
      </c>
      <c r="D75" s="445">
        <v>843333.22205199965</v>
      </c>
      <c r="E75" s="578">
        <v>0</v>
      </c>
      <c r="F75" s="578">
        <f t="shared" si="17"/>
        <v>843333.22205199965</v>
      </c>
      <c r="G75" s="620">
        <f t="shared" si="18"/>
        <v>1</v>
      </c>
      <c r="H75" s="620">
        <f t="shared" si="18"/>
        <v>1</v>
      </c>
      <c r="I75" s="578">
        <f t="shared" si="19"/>
        <v>843333.22205199965</v>
      </c>
      <c r="J75" s="106"/>
      <c r="K75" s="445">
        <v>825031.44093707681</v>
      </c>
      <c r="L75" s="621">
        <f t="shared" si="20"/>
        <v>1</v>
      </c>
      <c r="M75" s="621">
        <f t="shared" si="20"/>
        <v>1</v>
      </c>
      <c r="N75" s="391">
        <f t="shared" si="21"/>
        <v>825031.44093707681</v>
      </c>
    </row>
    <row r="76" spans="1:14">
      <c r="A76" s="1061">
        <f t="shared" si="1"/>
        <v>62</v>
      </c>
      <c r="B76" s="682">
        <v>38000</v>
      </c>
      <c r="C76" s="4" t="s">
        <v>1072</v>
      </c>
      <c r="D76" s="445">
        <v>41673200.205828369</v>
      </c>
      <c r="E76" s="578">
        <v>0</v>
      </c>
      <c r="F76" s="578">
        <f t="shared" si="17"/>
        <v>41673200.205828369</v>
      </c>
      <c r="G76" s="620">
        <f t="shared" si="18"/>
        <v>1</v>
      </c>
      <c r="H76" s="620">
        <f t="shared" si="18"/>
        <v>1</v>
      </c>
      <c r="I76" s="578">
        <f t="shared" si="19"/>
        <v>41673200.205828369</v>
      </c>
      <c r="J76" s="106"/>
      <c r="K76" s="445">
        <v>42277011.127153352</v>
      </c>
      <c r="L76" s="621">
        <f t="shared" si="20"/>
        <v>1</v>
      </c>
      <c r="M76" s="621">
        <f t="shared" si="20"/>
        <v>1</v>
      </c>
      <c r="N76" s="391">
        <f t="shared" si="21"/>
        <v>42277011.127153352</v>
      </c>
    </row>
    <row r="77" spans="1:14">
      <c r="A77" s="1061">
        <f t="shared" si="1"/>
        <v>63</v>
      </c>
      <c r="B77" s="682">
        <v>38100</v>
      </c>
      <c r="C77" s="4" t="s">
        <v>863</v>
      </c>
      <c r="D77" s="445">
        <v>15658295.2331923</v>
      </c>
      <c r="E77" s="578">
        <v>0</v>
      </c>
      <c r="F77" s="578">
        <f t="shared" si="17"/>
        <v>15658295.2331923</v>
      </c>
      <c r="G77" s="620">
        <f t="shared" si="18"/>
        <v>1</v>
      </c>
      <c r="H77" s="620">
        <f t="shared" si="18"/>
        <v>1</v>
      </c>
      <c r="I77" s="578">
        <f t="shared" si="19"/>
        <v>15658295.2331923</v>
      </c>
      <c r="J77" s="106"/>
      <c r="K77" s="445">
        <v>14811873.896610765</v>
      </c>
      <c r="L77" s="621">
        <f t="shared" si="20"/>
        <v>1</v>
      </c>
      <c r="M77" s="621">
        <f t="shared" si="20"/>
        <v>1</v>
      </c>
      <c r="N77" s="391">
        <f t="shared" si="21"/>
        <v>14811873.896610765</v>
      </c>
    </row>
    <row r="78" spans="1:14">
      <c r="A78" s="1061">
        <f t="shared" si="1"/>
        <v>64</v>
      </c>
      <c r="B78" s="682">
        <v>38200</v>
      </c>
      <c r="C78" s="4" t="s">
        <v>456</v>
      </c>
      <c r="D78" s="445">
        <v>21351302.371157583</v>
      </c>
      <c r="E78" s="578">
        <v>0</v>
      </c>
      <c r="F78" s="578">
        <f t="shared" si="17"/>
        <v>21351302.371157583</v>
      </c>
      <c r="G78" s="620">
        <f t="shared" si="18"/>
        <v>1</v>
      </c>
      <c r="H78" s="620">
        <f t="shared" si="18"/>
        <v>1</v>
      </c>
      <c r="I78" s="578">
        <f t="shared" si="19"/>
        <v>21351302.371157583</v>
      </c>
      <c r="J78" s="106"/>
      <c r="K78" s="445">
        <v>20684388.699045144</v>
      </c>
      <c r="L78" s="621">
        <f t="shared" si="20"/>
        <v>1</v>
      </c>
      <c r="M78" s="621">
        <f t="shared" si="20"/>
        <v>1</v>
      </c>
      <c r="N78" s="391">
        <f t="shared" si="21"/>
        <v>20684388.699045144</v>
      </c>
    </row>
    <row r="79" spans="1:14">
      <c r="A79" s="1061">
        <f t="shared" si="1"/>
        <v>65</v>
      </c>
      <c r="B79" s="682">
        <v>38300</v>
      </c>
      <c r="C79" s="4" t="s">
        <v>1073</v>
      </c>
      <c r="D79" s="445">
        <v>3198188.7724547056</v>
      </c>
      <c r="E79" s="578">
        <v>0</v>
      </c>
      <c r="F79" s="578">
        <f t="shared" si="17"/>
        <v>3198188.7724547056</v>
      </c>
      <c r="G79" s="620">
        <f t="shared" si="18"/>
        <v>1</v>
      </c>
      <c r="H79" s="620">
        <f t="shared" si="18"/>
        <v>1</v>
      </c>
      <c r="I79" s="578">
        <f t="shared" si="19"/>
        <v>3198188.7724547056</v>
      </c>
      <c r="J79" s="106"/>
      <c r="K79" s="445">
        <v>3063132.3177689635</v>
      </c>
      <c r="L79" s="621">
        <f t="shared" si="20"/>
        <v>1</v>
      </c>
      <c r="M79" s="621">
        <f t="shared" si="20"/>
        <v>1</v>
      </c>
      <c r="N79" s="391">
        <f t="shared" si="21"/>
        <v>3063132.3177689635</v>
      </c>
    </row>
    <row r="80" spans="1:14">
      <c r="A80" s="1061">
        <f t="shared" si="1"/>
        <v>66</v>
      </c>
      <c r="B80" s="682">
        <v>38400</v>
      </c>
      <c r="C80" s="4" t="s">
        <v>457</v>
      </c>
      <c r="D80" s="445">
        <v>74171.935953999986</v>
      </c>
      <c r="E80" s="578">
        <v>0</v>
      </c>
      <c r="F80" s="578">
        <f t="shared" si="17"/>
        <v>74171.935953999986</v>
      </c>
      <c r="G80" s="620">
        <f t="shared" si="18"/>
        <v>1</v>
      </c>
      <c r="H80" s="620">
        <f t="shared" si="18"/>
        <v>1</v>
      </c>
      <c r="I80" s="578">
        <f t="shared" si="19"/>
        <v>74171.935953999986</v>
      </c>
      <c r="J80" s="106"/>
      <c r="K80" s="445">
        <v>72220.333526076938</v>
      </c>
      <c r="L80" s="621">
        <f t="shared" si="20"/>
        <v>1</v>
      </c>
      <c r="M80" s="621">
        <f t="shared" si="20"/>
        <v>1</v>
      </c>
      <c r="N80" s="391">
        <f t="shared" si="21"/>
        <v>72220.333526076938</v>
      </c>
    </row>
    <row r="81" spans="1:14">
      <c r="A81" s="1061">
        <f t="shared" ref="A81:A145" si="22">A80+1</f>
        <v>67</v>
      </c>
      <c r="B81" s="682">
        <v>38500</v>
      </c>
      <c r="C81" s="4" t="s">
        <v>458</v>
      </c>
      <c r="D81" s="445">
        <v>2675605.280075232</v>
      </c>
      <c r="E81" s="578">
        <v>0</v>
      </c>
      <c r="F81" s="578">
        <f t="shared" si="17"/>
        <v>2675605.280075232</v>
      </c>
      <c r="G81" s="620">
        <f t="shared" si="18"/>
        <v>1</v>
      </c>
      <c r="H81" s="620">
        <f t="shared" si="18"/>
        <v>1</v>
      </c>
      <c r="I81" s="578">
        <f t="shared" si="19"/>
        <v>2675605.280075232</v>
      </c>
      <c r="J81" s="106"/>
      <c r="K81" s="445">
        <v>2591259.9568336639</v>
      </c>
      <c r="L81" s="621">
        <f t="shared" si="20"/>
        <v>1</v>
      </c>
      <c r="M81" s="621">
        <f t="shared" si="20"/>
        <v>1</v>
      </c>
      <c r="N81" s="391">
        <f t="shared" si="21"/>
        <v>2591259.9568336639</v>
      </c>
    </row>
    <row r="82" spans="1:14">
      <c r="A82" s="1061">
        <f t="shared" si="22"/>
        <v>68</v>
      </c>
      <c r="B82" s="682"/>
      <c r="C82" s="4"/>
      <c r="D82" s="1142"/>
      <c r="E82" s="1142"/>
      <c r="F82" s="1142"/>
      <c r="G82" s="620"/>
      <c r="H82" s="620"/>
      <c r="I82" s="1142"/>
      <c r="J82" s="106"/>
      <c r="K82" s="1142"/>
      <c r="N82" s="788"/>
    </row>
    <row r="83" spans="1:14">
      <c r="A83" s="1061">
        <f t="shared" si="22"/>
        <v>69</v>
      </c>
      <c r="B83" s="682"/>
      <c r="C83" s="4" t="s">
        <v>1436</v>
      </c>
      <c r="D83" s="445">
        <f>SUM(D62:D82)</f>
        <v>138912861.3269937</v>
      </c>
      <c r="E83" s="445">
        <f>SUM(E62:E82)</f>
        <v>0</v>
      </c>
      <c r="F83" s="445">
        <f>SUM(F62:F82)</f>
        <v>138912861.3269937</v>
      </c>
      <c r="G83" s="620"/>
      <c r="H83" s="620"/>
      <c r="I83" s="445">
        <f>SUM(I62:I82)</f>
        <v>138912861.3269937</v>
      </c>
      <c r="J83" s="106"/>
      <c r="K83" s="445">
        <f>SUM(K62:K82)</f>
        <v>136843632.14162239</v>
      </c>
      <c r="N83" s="382">
        <f>SUM(N62:N82)</f>
        <v>136843632.14162239</v>
      </c>
    </row>
    <row r="84" spans="1:14">
      <c r="A84" s="1061">
        <f t="shared" si="22"/>
        <v>70</v>
      </c>
      <c r="B84" s="682"/>
      <c r="C84" s="4"/>
      <c r="D84" s="578"/>
      <c r="E84" s="578"/>
      <c r="F84" s="578"/>
      <c r="G84" s="620"/>
      <c r="H84" s="620"/>
      <c r="I84" s="578"/>
      <c r="J84" s="106"/>
      <c r="K84" s="578"/>
      <c r="N84" s="391"/>
    </row>
    <row r="85" spans="1:14">
      <c r="A85" s="1061">
        <f t="shared" si="22"/>
        <v>71</v>
      </c>
      <c r="B85" s="465"/>
      <c r="C85" s="17" t="s">
        <v>309</v>
      </c>
      <c r="D85" s="578"/>
      <c r="E85" s="578"/>
      <c r="F85" s="578"/>
      <c r="G85" s="620"/>
      <c r="H85" s="620"/>
      <c r="I85" s="578"/>
      <c r="J85" s="106"/>
      <c r="K85" s="578"/>
      <c r="N85" s="391"/>
    </row>
    <row r="86" spans="1:14">
      <c r="A86" s="1061">
        <f t="shared" si="22"/>
        <v>72</v>
      </c>
      <c r="B86" s="682">
        <v>38900</v>
      </c>
      <c r="C86" s="4" t="s">
        <v>1168</v>
      </c>
      <c r="D86" s="445">
        <v>0</v>
      </c>
      <c r="E86" s="445">
        <v>0</v>
      </c>
      <c r="F86" s="445">
        <f t="shared" ref="F86:F107" si="23">D86-E86</f>
        <v>0</v>
      </c>
      <c r="G86" s="620">
        <f t="shared" ref="G86:H99" si="24">$G$16</f>
        <v>1</v>
      </c>
      <c r="H86" s="620">
        <f t="shared" si="24"/>
        <v>1</v>
      </c>
      <c r="I86" s="445">
        <f t="shared" ref="I86:I107" si="25">F86*G86*H86</f>
        <v>0</v>
      </c>
      <c r="J86" s="106"/>
      <c r="K86" s="445">
        <v>0</v>
      </c>
      <c r="L86" s="621">
        <f t="shared" ref="L86:M99" si="26">$G$16</f>
        <v>1</v>
      </c>
      <c r="M86" s="621">
        <f t="shared" si="26"/>
        <v>1</v>
      </c>
      <c r="N86" s="382">
        <f t="shared" ref="N86:N106" si="27">K86*L86*M86</f>
        <v>0</v>
      </c>
    </row>
    <row r="87" spans="1:14">
      <c r="A87" s="1061">
        <f t="shared" si="22"/>
        <v>73</v>
      </c>
      <c r="B87" s="682">
        <v>39000</v>
      </c>
      <c r="C87" s="4" t="s">
        <v>556</v>
      </c>
      <c r="D87" s="445">
        <v>44656.23135323693</v>
      </c>
      <c r="E87" s="578">
        <v>0</v>
      </c>
      <c r="F87" s="578">
        <f t="shared" si="23"/>
        <v>44656.23135323693</v>
      </c>
      <c r="G87" s="620">
        <f t="shared" si="24"/>
        <v>1</v>
      </c>
      <c r="H87" s="620">
        <f t="shared" si="24"/>
        <v>1</v>
      </c>
      <c r="I87" s="578">
        <f t="shared" si="25"/>
        <v>44656.23135323693</v>
      </c>
      <c r="J87" s="106"/>
      <c r="K87" s="445">
        <v>-39809.945874493096</v>
      </c>
      <c r="L87" s="621">
        <f t="shared" si="26"/>
        <v>1</v>
      </c>
      <c r="M87" s="621">
        <f t="shared" si="26"/>
        <v>1</v>
      </c>
      <c r="N87" s="391">
        <f t="shared" si="27"/>
        <v>-39809.945874493096</v>
      </c>
    </row>
    <row r="88" spans="1:14">
      <c r="A88" s="1061">
        <f t="shared" si="22"/>
        <v>74</v>
      </c>
      <c r="B88" s="682">
        <v>39002</v>
      </c>
      <c r="C88" s="4" t="s">
        <v>1017</v>
      </c>
      <c r="D88" s="445">
        <v>61418.394922500003</v>
      </c>
      <c r="E88" s="578">
        <v>0</v>
      </c>
      <c r="F88" s="578">
        <f t="shared" si="23"/>
        <v>61418.394922500003</v>
      </c>
      <c r="G88" s="620">
        <f t="shared" si="24"/>
        <v>1</v>
      </c>
      <c r="H88" s="620">
        <f t="shared" si="24"/>
        <v>1</v>
      </c>
      <c r="I88" s="578">
        <f t="shared" si="25"/>
        <v>61418.394922500003</v>
      </c>
      <c r="J88" s="106"/>
      <c r="K88" s="445">
        <v>58155.17863298078</v>
      </c>
      <c r="L88" s="621">
        <f t="shared" si="26"/>
        <v>1</v>
      </c>
      <c r="M88" s="621">
        <f t="shared" si="26"/>
        <v>1</v>
      </c>
      <c r="N88" s="391">
        <f t="shared" si="27"/>
        <v>58155.17863298078</v>
      </c>
    </row>
    <row r="89" spans="1:14">
      <c r="A89" s="1061">
        <f t="shared" si="22"/>
        <v>75</v>
      </c>
      <c r="B89" s="682">
        <v>39003</v>
      </c>
      <c r="C89" s="4" t="s">
        <v>459</v>
      </c>
      <c r="D89" s="445">
        <v>146666.34454299998</v>
      </c>
      <c r="E89" s="578">
        <v>0</v>
      </c>
      <c r="F89" s="578">
        <f t="shared" si="23"/>
        <v>146666.34454299998</v>
      </c>
      <c r="G89" s="620">
        <f t="shared" si="24"/>
        <v>1</v>
      </c>
      <c r="H89" s="620">
        <f t="shared" si="24"/>
        <v>1</v>
      </c>
      <c r="I89" s="578">
        <f t="shared" si="25"/>
        <v>146666.34454299998</v>
      </c>
      <c r="J89" s="106"/>
      <c r="K89" s="445">
        <v>133265.82199234617</v>
      </c>
      <c r="L89" s="621">
        <f t="shared" si="26"/>
        <v>1</v>
      </c>
      <c r="M89" s="621">
        <f t="shared" si="26"/>
        <v>1</v>
      </c>
      <c r="N89" s="391">
        <f t="shared" si="27"/>
        <v>133265.82199234617</v>
      </c>
    </row>
    <row r="90" spans="1:14">
      <c r="A90" s="1061">
        <f t="shared" si="22"/>
        <v>76</v>
      </c>
      <c r="B90" s="682">
        <v>39004</v>
      </c>
      <c r="C90" s="4" t="s">
        <v>1056</v>
      </c>
      <c r="D90" s="445">
        <v>2359.8390864999992</v>
      </c>
      <c r="E90" s="578">
        <v>0</v>
      </c>
      <c r="F90" s="578">
        <f t="shared" si="23"/>
        <v>2359.8390864999992</v>
      </c>
      <c r="G90" s="620">
        <f t="shared" si="24"/>
        <v>1</v>
      </c>
      <c r="H90" s="620">
        <f t="shared" si="24"/>
        <v>1</v>
      </c>
      <c r="I90" s="578">
        <f t="shared" si="25"/>
        <v>2359.8390864999992</v>
      </c>
      <c r="J90" s="106"/>
      <c r="K90" s="445">
        <v>2219.1924463653845</v>
      </c>
      <c r="L90" s="621">
        <f t="shared" si="26"/>
        <v>1</v>
      </c>
      <c r="M90" s="621">
        <f t="shared" si="26"/>
        <v>1</v>
      </c>
      <c r="N90" s="391">
        <f t="shared" si="27"/>
        <v>2219.1924463653845</v>
      </c>
    </row>
    <row r="91" spans="1:14">
      <c r="A91" s="1061">
        <f t="shared" si="22"/>
        <v>77</v>
      </c>
      <c r="B91" s="682">
        <v>39009</v>
      </c>
      <c r="C91" s="4" t="s">
        <v>796</v>
      </c>
      <c r="D91" s="445">
        <v>746249.21066899982</v>
      </c>
      <c r="E91" s="578">
        <v>0</v>
      </c>
      <c r="F91" s="578">
        <f t="shared" si="23"/>
        <v>746249.21066899982</v>
      </c>
      <c r="G91" s="620">
        <f t="shared" si="24"/>
        <v>1</v>
      </c>
      <c r="H91" s="620">
        <f t="shared" si="24"/>
        <v>1</v>
      </c>
      <c r="I91" s="578">
        <f t="shared" si="25"/>
        <v>746249.21066899982</v>
      </c>
      <c r="J91" s="106"/>
      <c r="K91" s="445">
        <v>656203.4521031921</v>
      </c>
      <c r="L91" s="621">
        <f t="shared" si="26"/>
        <v>1</v>
      </c>
      <c r="M91" s="621">
        <f t="shared" si="26"/>
        <v>1</v>
      </c>
      <c r="N91" s="391">
        <f t="shared" si="27"/>
        <v>656203.4521031921</v>
      </c>
    </row>
    <row r="92" spans="1:14">
      <c r="A92" s="1061">
        <f t="shared" si="22"/>
        <v>78</v>
      </c>
      <c r="B92" s="682">
        <v>39100</v>
      </c>
      <c r="C92" s="4" t="s">
        <v>542</v>
      </c>
      <c r="D92" s="445">
        <v>589436.22067368345</v>
      </c>
      <c r="E92" s="578">
        <v>0</v>
      </c>
      <c r="F92" s="578">
        <f t="shared" si="23"/>
        <v>589436.22067368345</v>
      </c>
      <c r="G92" s="620">
        <f t="shared" si="24"/>
        <v>1</v>
      </c>
      <c r="H92" s="620">
        <f t="shared" si="24"/>
        <v>1</v>
      </c>
      <c r="I92" s="578">
        <f t="shared" si="25"/>
        <v>589436.22067368345</v>
      </c>
      <c r="J92" s="106"/>
      <c r="K92" s="445">
        <v>519863.33277257095</v>
      </c>
      <c r="L92" s="621">
        <f t="shared" si="26"/>
        <v>1</v>
      </c>
      <c r="M92" s="621">
        <f t="shared" si="26"/>
        <v>1</v>
      </c>
      <c r="N92" s="391">
        <f t="shared" si="27"/>
        <v>519863.33277257095</v>
      </c>
    </row>
    <row r="93" spans="1:14">
      <c r="A93" s="1061">
        <f t="shared" si="22"/>
        <v>79</v>
      </c>
      <c r="B93" s="682">
        <v>39200</v>
      </c>
      <c r="C93" s="4" t="s">
        <v>348</v>
      </c>
      <c r="D93" s="445">
        <v>132780.76760650004</v>
      </c>
      <c r="E93" s="578">
        <v>0</v>
      </c>
      <c r="F93" s="578">
        <f t="shared" si="23"/>
        <v>132780.76760650004</v>
      </c>
      <c r="G93" s="620">
        <f t="shared" si="24"/>
        <v>1</v>
      </c>
      <c r="H93" s="620">
        <f t="shared" si="24"/>
        <v>1</v>
      </c>
      <c r="I93" s="578">
        <f t="shared" si="25"/>
        <v>132780.76760650004</v>
      </c>
      <c r="J93" s="106"/>
      <c r="K93" s="445">
        <v>106203.01897098079</v>
      </c>
      <c r="L93" s="621">
        <f t="shared" si="26"/>
        <v>1</v>
      </c>
      <c r="M93" s="621">
        <f t="shared" si="26"/>
        <v>1</v>
      </c>
      <c r="N93" s="391">
        <f t="shared" si="27"/>
        <v>106203.01897098079</v>
      </c>
    </row>
    <row r="94" spans="1:14">
      <c r="A94" s="1061">
        <f t="shared" si="22"/>
        <v>80</v>
      </c>
      <c r="B94" s="682">
        <v>39202</v>
      </c>
      <c r="C94" s="4" t="s">
        <v>91</v>
      </c>
      <c r="D94" s="445">
        <v>26530.113153999999</v>
      </c>
      <c r="E94" s="578">
        <v>0</v>
      </c>
      <c r="F94" s="578">
        <f t="shared" si="23"/>
        <v>26530.113153999999</v>
      </c>
      <c r="G94" s="620">
        <f t="shared" si="24"/>
        <v>1</v>
      </c>
      <c r="H94" s="620">
        <f t="shared" si="24"/>
        <v>1</v>
      </c>
      <c r="I94" s="578">
        <f t="shared" si="25"/>
        <v>26530.113153999999</v>
      </c>
      <c r="J94" s="106"/>
      <c r="K94" s="445">
        <v>22089.278156846154</v>
      </c>
      <c r="L94" s="621">
        <f t="shared" si="26"/>
        <v>1</v>
      </c>
      <c r="M94" s="621">
        <f t="shared" si="26"/>
        <v>1</v>
      </c>
      <c r="N94" s="391">
        <f t="shared" si="27"/>
        <v>22089.278156846154</v>
      </c>
    </row>
    <row r="95" spans="1:14">
      <c r="A95" s="1061">
        <f t="shared" si="22"/>
        <v>81</v>
      </c>
      <c r="B95" s="682">
        <v>39400</v>
      </c>
      <c r="C95" s="4" t="s">
        <v>1055</v>
      </c>
      <c r="D95" s="445">
        <v>521314.25797671126</v>
      </c>
      <c r="E95" s="578">
        <v>0</v>
      </c>
      <c r="F95" s="578">
        <f t="shared" si="23"/>
        <v>521314.25797671126</v>
      </c>
      <c r="G95" s="620">
        <f t="shared" si="24"/>
        <v>1</v>
      </c>
      <c r="H95" s="620">
        <f t="shared" si="24"/>
        <v>1</v>
      </c>
      <c r="I95" s="578">
        <f t="shared" si="25"/>
        <v>521314.25797671126</v>
      </c>
      <c r="J95" s="106"/>
      <c r="K95" s="445">
        <v>458490.89784908236</v>
      </c>
      <c r="L95" s="621">
        <f t="shared" si="26"/>
        <v>1</v>
      </c>
      <c r="M95" s="621">
        <f t="shared" si="26"/>
        <v>1</v>
      </c>
      <c r="N95" s="391">
        <f t="shared" si="27"/>
        <v>458490.89784908236</v>
      </c>
    </row>
    <row r="96" spans="1:14">
      <c r="A96" s="1061">
        <f t="shared" si="22"/>
        <v>82</v>
      </c>
      <c r="B96" s="465">
        <v>39603</v>
      </c>
      <c r="C96" s="4" t="s">
        <v>93</v>
      </c>
      <c r="D96" s="445">
        <v>26128.780584000004</v>
      </c>
      <c r="E96" s="578">
        <v>0</v>
      </c>
      <c r="F96" s="578">
        <f t="shared" si="23"/>
        <v>26128.780584000004</v>
      </c>
      <c r="G96" s="620">
        <f t="shared" si="24"/>
        <v>1</v>
      </c>
      <c r="H96" s="620">
        <f t="shared" si="24"/>
        <v>1</v>
      </c>
      <c r="I96" s="578">
        <f t="shared" si="25"/>
        <v>26128.780584000004</v>
      </c>
      <c r="J96" s="106"/>
      <c r="K96" s="445">
        <v>24422.914772615386</v>
      </c>
      <c r="L96" s="621">
        <f t="shared" si="26"/>
        <v>1</v>
      </c>
      <c r="M96" s="621">
        <f t="shared" si="26"/>
        <v>1</v>
      </c>
      <c r="N96" s="391">
        <f t="shared" si="27"/>
        <v>24422.914772615386</v>
      </c>
    </row>
    <row r="97" spans="1:19">
      <c r="A97" s="1061">
        <f t="shared" si="22"/>
        <v>83</v>
      </c>
      <c r="B97" s="465">
        <v>39604</v>
      </c>
      <c r="C97" s="1" t="s">
        <v>94</v>
      </c>
      <c r="D97" s="445">
        <v>39687.803890999989</v>
      </c>
      <c r="E97" s="578">
        <v>0</v>
      </c>
      <c r="F97" s="578">
        <f t="shared" si="23"/>
        <v>39687.803890999989</v>
      </c>
      <c r="G97" s="620">
        <f t="shared" si="24"/>
        <v>1</v>
      </c>
      <c r="H97" s="620">
        <f t="shared" si="24"/>
        <v>1</v>
      </c>
      <c r="I97" s="578">
        <f t="shared" si="25"/>
        <v>39687.803890999989</v>
      </c>
      <c r="J97" s="106"/>
      <c r="K97" s="445">
        <v>34799.788355269229</v>
      </c>
      <c r="L97" s="621">
        <f t="shared" si="26"/>
        <v>1</v>
      </c>
      <c r="M97" s="621">
        <f t="shared" si="26"/>
        <v>1</v>
      </c>
      <c r="N97" s="391">
        <f t="shared" si="27"/>
        <v>34799.788355269229</v>
      </c>
    </row>
    <row r="98" spans="1:19">
      <c r="A98" s="1061">
        <f t="shared" si="22"/>
        <v>84</v>
      </c>
      <c r="B98" s="465">
        <v>39605</v>
      </c>
      <c r="C98" s="4" t="s">
        <v>454</v>
      </c>
      <c r="D98" s="445">
        <v>17683.179726000009</v>
      </c>
      <c r="E98" s="578">
        <v>0</v>
      </c>
      <c r="F98" s="578">
        <f t="shared" si="23"/>
        <v>17683.179726000009</v>
      </c>
      <c r="G98" s="620">
        <f t="shared" si="24"/>
        <v>1</v>
      </c>
      <c r="H98" s="620">
        <f t="shared" si="24"/>
        <v>1</v>
      </c>
      <c r="I98" s="578">
        <f t="shared" si="25"/>
        <v>17683.179726000009</v>
      </c>
      <c r="J98" s="106"/>
      <c r="K98" s="445">
        <v>14280.874541615387</v>
      </c>
      <c r="L98" s="621">
        <f t="shared" si="26"/>
        <v>1</v>
      </c>
      <c r="M98" s="621">
        <f t="shared" si="26"/>
        <v>1</v>
      </c>
      <c r="N98" s="391">
        <f t="shared" si="27"/>
        <v>14280.874541615387</v>
      </c>
    </row>
    <row r="99" spans="1:19">
      <c r="A99" s="1061">
        <f t="shared" si="22"/>
        <v>85</v>
      </c>
      <c r="B99" s="465">
        <v>39700</v>
      </c>
      <c r="C99" s="4" t="s">
        <v>869</v>
      </c>
      <c r="D99" s="445">
        <v>123986.16920288237</v>
      </c>
      <c r="E99" s="578">
        <v>0</v>
      </c>
      <c r="F99" s="578">
        <f t="shared" si="23"/>
        <v>123986.16920288237</v>
      </c>
      <c r="G99" s="620">
        <f t="shared" si="24"/>
        <v>1</v>
      </c>
      <c r="H99" s="620">
        <f t="shared" si="24"/>
        <v>1</v>
      </c>
      <c r="I99" s="578">
        <f t="shared" si="25"/>
        <v>123986.16920288237</v>
      </c>
      <c r="J99" s="106"/>
      <c r="K99" s="445">
        <v>109495.46803550638</v>
      </c>
      <c r="L99" s="621">
        <f t="shared" si="26"/>
        <v>1</v>
      </c>
      <c r="M99" s="621">
        <f t="shared" si="26"/>
        <v>1</v>
      </c>
      <c r="N99" s="391">
        <f t="shared" si="27"/>
        <v>109495.46803550638</v>
      </c>
    </row>
    <row r="100" spans="1:19">
      <c r="A100" s="1061">
        <f t="shared" si="22"/>
        <v>86</v>
      </c>
      <c r="B100" s="465">
        <v>39705</v>
      </c>
      <c r="C100" s="4" t="s">
        <v>666</v>
      </c>
      <c r="D100" s="445">
        <v>-34902.689999999988</v>
      </c>
      <c r="E100" s="578">
        <v>0</v>
      </c>
      <c r="F100" s="578">
        <f t="shared" si="23"/>
        <v>-34902.689999999988</v>
      </c>
      <c r="G100" s="620">
        <f t="shared" ref="G100:H108" si="28">$G$16</f>
        <v>1</v>
      </c>
      <c r="H100" s="620">
        <f t="shared" si="28"/>
        <v>1</v>
      </c>
      <c r="I100" s="578">
        <f t="shared" si="25"/>
        <v>-34902.689999999988</v>
      </c>
      <c r="J100" s="106"/>
      <c r="K100" s="445">
        <v>-35822.780769230769</v>
      </c>
      <c r="L100" s="621">
        <f t="shared" ref="L100:M108" si="29">$G$16</f>
        <v>1</v>
      </c>
      <c r="M100" s="621">
        <f t="shared" si="29"/>
        <v>1</v>
      </c>
      <c r="N100" s="391">
        <f t="shared" si="27"/>
        <v>-35822.780769230769</v>
      </c>
    </row>
    <row r="101" spans="1:19">
      <c r="A101" s="1061">
        <f t="shared" si="22"/>
        <v>87</v>
      </c>
      <c r="B101" s="465">
        <v>39800</v>
      </c>
      <c r="C101" s="4" t="s">
        <v>1173</v>
      </c>
      <c r="D101" s="445">
        <v>1055360.1385439383</v>
      </c>
      <c r="E101" s="578">
        <v>0</v>
      </c>
      <c r="F101" s="578">
        <f t="shared" si="23"/>
        <v>1055360.1385439383</v>
      </c>
      <c r="G101" s="620">
        <f t="shared" si="28"/>
        <v>1</v>
      </c>
      <c r="H101" s="620">
        <f t="shared" si="28"/>
        <v>1</v>
      </c>
      <c r="I101" s="578">
        <f t="shared" si="25"/>
        <v>1055360.1385439383</v>
      </c>
      <c r="J101" s="106"/>
      <c r="K101" s="445">
        <v>936870.7205181896</v>
      </c>
      <c r="L101" s="621">
        <f t="shared" si="29"/>
        <v>1</v>
      </c>
      <c r="M101" s="621">
        <f t="shared" si="29"/>
        <v>1</v>
      </c>
      <c r="N101" s="391">
        <f t="shared" si="27"/>
        <v>936870.7205181896</v>
      </c>
    </row>
    <row r="102" spans="1:19">
      <c r="A102" s="1061">
        <f t="shared" si="22"/>
        <v>88</v>
      </c>
      <c r="B102" s="465">
        <v>39903</v>
      </c>
      <c r="C102" s="4" t="s">
        <v>1198</v>
      </c>
      <c r="D102" s="445">
        <v>14754.001839524566</v>
      </c>
      <c r="E102" s="578">
        <v>0</v>
      </c>
      <c r="F102" s="578">
        <f t="shared" si="23"/>
        <v>14754.001839524566</v>
      </c>
      <c r="G102" s="620">
        <f t="shared" si="28"/>
        <v>1</v>
      </c>
      <c r="H102" s="620">
        <f t="shared" si="28"/>
        <v>1</v>
      </c>
      <c r="I102" s="578">
        <f t="shared" si="25"/>
        <v>14754.001839524566</v>
      </c>
      <c r="J102" s="106"/>
      <c r="K102" s="445">
        <v>10088.051024134495</v>
      </c>
      <c r="L102" s="621">
        <f t="shared" si="29"/>
        <v>1</v>
      </c>
      <c r="M102" s="621">
        <f t="shared" si="29"/>
        <v>1</v>
      </c>
      <c r="N102" s="391">
        <f t="shared" si="27"/>
        <v>10088.051024134495</v>
      </c>
    </row>
    <row r="103" spans="1:19">
      <c r="A103" s="1061">
        <f t="shared" si="22"/>
        <v>89</v>
      </c>
      <c r="B103" s="465">
        <v>39906</v>
      </c>
      <c r="C103" s="4" t="s">
        <v>520</v>
      </c>
      <c r="D103" s="445">
        <v>356878.80758886819</v>
      </c>
      <c r="E103" s="578">
        <v>0</v>
      </c>
      <c r="F103" s="578">
        <f t="shared" si="23"/>
        <v>356878.80758886819</v>
      </c>
      <c r="G103" s="620">
        <f t="shared" si="28"/>
        <v>1</v>
      </c>
      <c r="H103" s="620">
        <f t="shared" si="28"/>
        <v>1</v>
      </c>
      <c r="I103" s="578">
        <f t="shared" si="25"/>
        <v>356878.80758886819</v>
      </c>
      <c r="J103" s="106"/>
      <c r="K103" s="445">
        <v>300723.8939666833</v>
      </c>
      <c r="L103" s="621">
        <f t="shared" si="29"/>
        <v>1</v>
      </c>
      <c r="M103" s="621">
        <f t="shared" si="29"/>
        <v>1</v>
      </c>
      <c r="N103" s="391">
        <f t="shared" si="27"/>
        <v>300723.8939666833</v>
      </c>
    </row>
    <row r="104" spans="1:19">
      <c r="A104" s="1061">
        <f t="shared" si="22"/>
        <v>90</v>
      </c>
      <c r="B104" s="465">
        <v>39907</v>
      </c>
      <c r="C104" s="4" t="s">
        <v>184</v>
      </c>
      <c r="D104" s="445">
        <v>13751.77</v>
      </c>
      <c r="E104" s="578">
        <v>0</v>
      </c>
      <c r="F104" s="578">
        <f t="shared" si="23"/>
        <v>13751.77</v>
      </c>
      <c r="G104" s="620">
        <f t="shared" si="28"/>
        <v>1</v>
      </c>
      <c r="H104" s="620">
        <f t="shared" si="28"/>
        <v>1</v>
      </c>
      <c r="I104" s="578">
        <f t="shared" si="25"/>
        <v>13751.77</v>
      </c>
      <c r="J104" s="106"/>
      <c r="K104" s="445">
        <v>13751.769999999999</v>
      </c>
      <c r="L104" s="621">
        <f t="shared" si="29"/>
        <v>1</v>
      </c>
      <c r="M104" s="621">
        <f t="shared" si="29"/>
        <v>1</v>
      </c>
      <c r="N104" s="391">
        <f t="shared" si="27"/>
        <v>13751.769999999999</v>
      </c>
    </row>
    <row r="105" spans="1:19">
      <c r="A105" s="1061">
        <f t="shared" si="22"/>
        <v>91</v>
      </c>
      <c r="B105" s="465">
        <v>39908</v>
      </c>
      <c r="C105" s="4" t="s">
        <v>352</v>
      </c>
      <c r="D105" s="445">
        <v>123514.83</v>
      </c>
      <c r="E105" s="578">
        <v>0</v>
      </c>
      <c r="F105" s="578">
        <f t="shared" si="23"/>
        <v>123514.83</v>
      </c>
      <c r="G105" s="620">
        <f t="shared" si="28"/>
        <v>1</v>
      </c>
      <c r="H105" s="620">
        <f t="shared" si="28"/>
        <v>1</v>
      </c>
      <c r="I105" s="578">
        <f t="shared" si="25"/>
        <v>123514.83</v>
      </c>
      <c r="J105" s="106"/>
      <c r="K105" s="445">
        <v>123514.83000000002</v>
      </c>
      <c r="L105" s="621">
        <f t="shared" si="29"/>
        <v>1</v>
      </c>
      <c r="M105" s="621">
        <f t="shared" si="29"/>
        <v>1</v>
      </c>
      <c r="N105" s="391">
        <f t="shared" si="27"/>
        <v>123514.83000000002</v>
      </c>
    </row>
    <row r="106" spans="1:19">
      <c r="A106" s="1061">
        <f t="shared" si="22"/>
        <v>92</v>
      </c>
      <c r="B106" s="465"/>
      <c r="C106" s="4" t="s">
        <v>1164</v>
      </c>
      <c r="D106" s="445">
        <v>-6935473.1199999982</v>
      </c>
      <c r="E106" s="578">
        <v>0</v>
      </c>
      <c r="F106" s="578">
        <f t="shared" si="23"/>
        <v>-6935473.1199999982</v>
      </c>
      <c r="G106" s="620">
        <f t="shared" si="28"/>
        <v>1</v>
      </c>
      <c r="H106" s="620">
        <f t="shared" si="28"/>
        <v>1</v>
      </c>
      <c r="I106" s="578">
        <f t="shared" si="25"/>
        <v>-6935473.1199999982</v>
      </c>
      <c r="J106" s="106"/>
      <c r="K106" s="445">
        <v>-6755363.977692307</v>
      </c>
      <c r="L106" s="621">
        <f t="shared" si="29"/>
        <v>1</v>
      </c>
      <c r="M106" s="621">
        <f t="shared" si="29"/>
        <v>1</v>
      </c>
      <c r="N106" s="391">
        <f t="shared" si="27"/>
        <v>-6755363.977692307</v>
      </c>
    </row>
    <row r="107" spans="1:19" s="1055" customFormat="1">
      <c r="A107" s="1109">
        <f t="shared" si="22"/>
        <v>93</v>
      </c>
      <c r="B107" s="1058"/>
      <c r="C107" s="4" t="s">
        <v>1493</v>
      </c>
      <c r="D107" s="445">
        <v>-8.1854523159563541E-12</v>
      </c>
      <c r="E107" s="578"/>
      <c r="F107" s="578">
        <f t="shared" si="23"/>
        <v>-8.1854523159563541E-12</v>
      </c>
      <c r="G107" s="620">
        <f t="shared" si="28"/>
        <v>1</v>
      </c>
      <c r="H107" s="620">
        <f t="shared" si="28"/>
        <v>1</v>
      </c>
      <c r="I107" s="578">
        <f t="shared" si="25"/>
        <v>-8.1854523159563541E-12</v>
      </c>
      <c r="J107" s="106"/>
      <c r="K107" s="445">
        <v>-400.97615384616199</v>
      </c>
      <c r="L107" s="621">
        <f t="shared" si="29"/>
        <v>1</v>
      </c>
      <c r="M107" s="621">
        <f t="shared" si="29"/>
        <v>1</v>
      </c>
      <c r="N107" s="391">
        <f t="shared" ref="N107" si="30">K107*L107*M107</f>
        <v>-400.97615384616199</v>
      </c>
    </row>
    <row r="108" spans="1:19">
      <c r="A108" s="1109">
        <f t="shared" si="22"/>
        <v>94</v>
      </c>
      <c r="B108" s="465"/>
      <c r="C108" s="4" t="s">
        <v>1293</v>
      </c>
      <c r="D108" s="445">
        <v>204969.24000000002</v>
      </c>
      <c r="E108" s="1141"/>
      <c r="F108" s="578">
        <f t="shared" ref="F108" si="31">D108-E108</f>
        <v>204969.24000000002</v>
      </c>
      <c r="G108" s="620">
        <f t="shared" si="28"/>
        <v>1</v>
      </c>
      <c r="H108" s="620">
        <f t="shared" si="28"/>
        <v>1</v>
      </c>
      <c r="I108" s="578">
        <f t="shared" ref="I108" si="32">F108*G108*H108</f>
        <v>204969.24000000002</v>
      </c>
      <c r="J108" s="106"/>
      <c r="K108" s="445">
        <v>55184.026153846164</v>
      </c>
      <c r="L108" s="621">
        <f t="shared" si="29"/>
        <v>1</v>
      </c>
      <c r="M108" s="621">
        <f t="shared" si="29"/>
        <v>1</v>
      </c>
      <c r="N108" s="391">
        <f t="shared" ref="N108" si="33">K108*L108*M108</f>
        <v>55184.026153846164</v>
      </c>
      <c r="P108" s="794"/>
    </row>
    <row r="109" spans="1:19">
      <c r="A109" s="1109">
        <f t="shared" si="22"/>
        <v>95</v>
      </c>
      <c r="B109" s="465"/>
      <c r="C109" s="4"/>
      <c r="D109" s="1142"/>
      <c r="E109" s="578"/>
      <c r="F109" s="1142"/>
      <c r="G109" s="620"/>
      <c r="H109" s="620"/>
      <c r="I109" s="1142"/>
      <c r="J109" s="106"/>
      <c r="K109" s="1142"/>
      <c r="L109" s="621"/>
      <c r="M109" s="621"/>
      <c r="N109" s="788"/>
    </row>
    <row r="110" spans="1:19">
      <c r="A110" s="1109">
        <f t="shared" si="22"/>
        <v>96</v>
      </c>
      <c r="B110" s="507"/>
      <c r="C110" s="4" t="s">
        <v>1435</v>
      </c>
      <c r="D110" s="445">
        <f>SUM(D86:D109)</f>
        <v>-2722249.7086386532</v>
      </c>
      <c r="E110" s="445">
        <f>SUM(E86:E109)</f>
        <v>0</v>
      </c>
      <c r="F110" s="445">
        <f>SUM(F86:F109)</f>
        <v>-2722249.7086386532</v>
      </c>
      <c r="G110" s="1128"/>
      <c r="H110" s="1128"/>
      <c r="I110" s="445">
        <f>SUM(I86:I109)</f>
        <v>-2722249.7086386532</v>
      </c>
      <c r="J110" s="106"/>
      <c r="K110" s="445">
        <f>SUM(K86:K109)</f>
        <v>-3251775.1701976531</v>
      </c>
      <c r="N110" s="382">
        <f>SUM(N86:N109)</f>
        <v>-3251775.1701976531</v>
      </c>
    </row>
    <row r="111" spans="1:19">
      <c r="A111" s="1109">
        <f t="shared" si="22"/>
        <v>97</v>
      </c>
      <c r="B111" s="507"/>
      <c r="C111" s="4"/>
      <c r="D111" s="578"/>
      <c r="E111" s="578"/>
      <c r="F111" s="578"/>
      <c r="G111" s="1128"/>
      <c r="H111" s="1128"/>
      <c r="I111" s="578"/>
      <c r="J111" s="106"/>
      <c r="K111" s="578"/>
      <c r="N111" s="391"/>
    </row>
    <row r="112" spans="1:19">
      <c r="A112" s="1109">
        <f t="shared" si="22"/>
        <v>98</v>
      </c>
      <c r="B112" s="507"/>
      <c r="C112" s="245" t="s">
        <v>1368</v>
      </c>
      <c r="D112" s="445">
        <f>D110+D83+D59+D47+D26+D19</f>
        <v>161386389.78603655</v>
      </c>
      <c r="E112" s="445">
        <f>E110+E83+E59+E47+E26+E19</f>
        <v>0</v>
      </c>
      <c r="F112" s="445">
        <f>F110+F83+F59+F47+F26+F19</f>
        <v>161386389.78603655</v>
      </c>
      <c r="G112" s="1128"/>
      <c r="H112" s="1128"/>
      <c r="I112" s="445">
        <f>I110+I83+I59+I47+I26+I19</f>
        <v>161386389.78603655</v>
      </c>
      <c r="J112" s="106"/>
      <c r="K112" s="445">
        <f>K110+K83+K59+K47+K26+K19</f>
        <v>158361047.4084959</v>
      </c>
      <c r="N112" s="382">
        <f>N110+N83+N59+N47+N26+N19</f>
        <v>158361047.4084959</v>
      </c>
      <c r="P112" s="1055"/>
      <c r="Q112" s="1055"/>
      <c r="S112" s="1057"/>
    </row>
    <row r="113" spans="1:14">
      <c r="A113" s="1109">
        <f t="shared" si="22"/>
        <v>99</v>
      </c>
      <c r="B113" s="507"/>
      <c r="C113" s="4"/>
      <c r="D113" s="578"/>
      <c r="E113" s="106"/>
      <c r="F113" s="106"/>
      <c r="G113" s="1128"/>
      <c r="H113" s="1128"/>
      <c r="I113" s="106"/>
      <c r="J113" s="106"/>
      <c r="K113" s="106"/>
    </row>
    <row r="114" spans="1:14">
      <c r="A114" s="1109">
        <f t="shared" si="22"/>
        <v>100</v>
      </c>
      <c r="B114" s="508"/>
      <c r="C114" s="107"/>
      <c r="D114" s="578"/>
      <c r="E114" s="106"/>
      <c r="F114" s="106"/>
      <c r="G114" s="1128"/>
      <c r="H114" s="1128"/>
      <c r="I114" s="106"/>
      <c r="J114" s="106"/>
      <c r="K114" s="106"/>
    </row>
    <row r="115" spans="1:14">
      <c r="A115" s="1109">
        <f t="shared" si="22"/>
        <v>101</v>
      </c>
      <c r="B115" s="403"/>
      <c r="D115" s="578"/>
      <c r="E115" s="106"/>
      <c r="F115" s="106"/>
      <c r="G115" s="1128"/>
      <c r="H115" s="1128"/>
      <c r="I115" s="106"/>
      <c r="J115" s="106"/>
      <c r="K115" s="106"/>
    </row>
    <row r="116" spans="1:14" ht="15.75">
      <c r="A116" s="1109">
        <f t="shared" si="22"/>
        <v>102</v>
      </c>
      <c r="B116" s="416" t="s">
        <v>7</v>
      </c>
      <c r="D116" s="578"/>
      <c r="E116" s="106"/>
      <c r="F116" s="106"/>
      <c r="G116" s="1128"/>
      <c r="H116" s="1128"/>
      <c r="I116" s="106"/>
      <c r="J116" s="106"/>
      <c r="K116" s="106"/>
    </row>
    <row r="117" spans="1:14">
      <c r="A117" s="1109">
        <f t="shared" si="22"/>
        <v>103</v>
      </c>
      <c r="B117" s="403"/>
      <c r="D117" s="578"/>
      <c r="E117" s="106"/>
      <c r="F117" s="106"/>
      <c r="G117" s="1128"/>
      <c r="H117" s="1128"/>
      <c r="I117" s="106"/>
      <c r="J117" s="106"/>
      <c r="K117" s="106"/>
    </row>
    <row r="118" spans="1:14">
      <c r="A118" s="1109">
        <f t="shared" si="22"/>
        <v>104</v>
      </c>
      <c r="B118" s="507"/>
      <c r="C118" s="17" t="s">
        <v>305</v>
      </c>
      <c r="D118" s="578"/>
      <c r="E118" s="106"/>
      <c r="F118" s="106"/>
      <c r="G118" s="1128"/>
      <c r="H118" s="1128"/>
      <c r="I118" s="106"/>
      <c r="J118" s="106"/>
      <c r="K118" s="106"/>
    </row>
    <row r="119" spans="1:14">
      <c r="A119" s="1109">
        <f t="shared" si="22"/>
        <v>105</v>
      </c>
      <c r="B119" s="682">
        <v>30100</v>
      </c>
      <c r="C119" s="4" t="s">
        <v>299</v>
      </c>
      <c r="D119" s="445">
        <v>0</v>
      </c>
      <c r="E119" s="445">
        <v>0</v>
      </c>
      <c r="F119" s="445">
        <f>D119+E119</f>
        <v>0</v>
      </c>
      <c r="G119" s="620">
        <f>$G$16</f>
        <v>1</v>
      </c>
      <c r="H119" s="622">
        <f>Allocation!$H$17</f>
        <v>0.49090457251500325</v>
      </c>
      <c r="I119" s="445">
        <f>F119*G119*H119</f>
        <v>0</v>
      </c>
      <c r="J119" s="106"/>
      <c r="K119" s="445">
        <v>0</v>
      </c>
      <c r="L119" s="621">
        <f t="shared" ref="L119:M120" si="34">G119</f>
        <v>1</v>
      </c>
      <c r="M119" s="555">
        <f t="shared" si="34"/>
        <v>0.49090457251500325</v>
      </c>
      <c r="N119" s="382">
        <f>K119*L119*M119</f>
        <v>0</v>
      </c>
    </row>
    <row r="120" spans="1:14">
      <c r="A120" s="1109">
        <f t="shared" si="22"/>
        <v>106</v>
      </c>
      <c r="B120" s="682">
        <v>30300</v>
      </c>
      <c r="C120" s="4" t="s">
        <v>558</v>
      </c>
      <c r="D120" s="445">
        <v>0</v>
      </c>
      <c r="E120" s="493">
        <v>0</v>
      </c>
      <c r="F120" s="493">
        <f>D120+E120</f>
        <v>0</v>
      </c>
      <c r="G120" s="620">
        <f>$G$16</f>
        <v>1</v>
      </c>
      <c r="H120" s="622">
        <f>$H$119</f>
        <v>0.49090457251500325</v>
      </c>
      <c r="I120" s="1141">
        <f>F120*G120*H120</f>
        <v>0</v>
      </c>
      <c r="J120" s="106"/>
      <c r="K120" s="445">
        <v>0</v>
      </c>
      <c r="L120" s="621">
        <f t="shared" si="34"/>
        <v>1</v>
      </c>
      <c r="M120" s="555">
        <f t="shared" si="34"/>
        <v>0.49090457251500325</v>
      </c>
      <c r="N120" s="392">
        <f>K120*L120*M120</f>
        <v>0</v>
      </c>
    </row>
    <row r="121" spans="1:14">
      <c r="A121" s="1109">
        <f t="shared" si="22"/>
        <v>107</v>
      </c>
      <c r="B121" s="682"/>
      <c r="C121" s="4"/>
      <c r="D121" s="809"/>
      <c r="E121" s="809"/>
      <c r="F121" s="809"/>
      <c r="G121" s="1128"/>
      <c r="H121" s="1128"/>
      <c r="I121" s="106"/>
      <c r="J121" s="106"/>
      <c r="K121" s="106"/>
    </row>
    <row r="122" spans="1:14">
      <c r="A122" s="1109">
        <f t="shared" si="22"/>
        <v>108</v>
      </c>
      <c r="B122" s="465"/>
      <c r="C122" s="4" t="s">
        <v>306</v>
      </c>
      <c r="D122" s="445">
        <f>SUM(D119:D121)</f>
        <v>0</v>
      </c>
      <c r="E122" s="445">
        <f>SUM(E119:E121)</f>
        <v>0</v>
      </c>
      <c r="F122" s="445">
        <f>SUM(F119:F121)</f>
        <v>0</v>
      </c>
      <c r="G122" s="620"/>
      <c r="H122" s="620"/>
      <c r="I122" s="445">
        <f>SUM(I119:I121)</f>
        <v>0</v>
      </c>
      <c r="J122" s="106"/>
      <c r="K122" s="445">
        <f>SUM(K119:K121)</f>
        <v>0</v>
      </c>
      <c r="N122" s="382">
        <f>SUM(N119:N121)</f>
        <v>0</v>
      </c>
    </row>
    <row r="123" spans="1:14">
      <c r="A123" s="1109">
        <f t="shared" si="22"/>
        <v>109</v>
      </c>
      <c r="B123" s="684"/>
      <c r="D123" s="106"/>
      <c r="E123" s="106"/>
      <c r="F123" s="106"/>
      <c r="G123" s="1128"/>
      <c r="H123" s="1128"/>
      <c r="I123" s="106"/>
      <c r="J123" s="106"/>
      <c r="K123" s="106"/>
    </row>
    <row r="124" spans="1:14">
      <c r="A124" s="1109">
        <f t="shared" si="22"/>
        <v>110</v>
      </c>
      <c r="B124" s="465"/>
      <c r="C124" s="17" t="s">
        <v>307</v>
      </c>
      <c r="D124" s="106"/>
      <c r="E124" s="106"/>
      <c r="F124" s="106"/>
      <c r="G124" s="1128"/>
      <c r="H124" s="1128"/>
      <c r="I124" s="106"/>
      <c r="J124" s="106"/>
      <c r="K124" s="106"/>
    </row>
    <row r="125" spans="1:14">
      <c r="A125" s="1109">
        <f t="shared" si="22"/>
        <v>111</v>
      </c>
      <c r="B125" s="682">
        <v>37400</v>
      </c>
      <c r="C125" s="4" t="s">
        <v>1168</v>
      </c>
      <c r="D125" s="445">
        <v>0</v>
      </c>
      <c r="E125" s="445">
        <v>0</v>
      </c>
      <c r="F125" s="445">
        <f t="shared" ref="F125:F145" si="35">D125+E125</f>
        <v>0</v>
      </c>
      <c r="G125" s="620">
        <f t="shared" ref="G125:G145" si="36">$G$16</f>
        <v>1</v>
      </c>
      <c r="H125" s="622">
        <f t="shared" ref="H125:H145" si="37">$H$119</f>
        <v>0.49090457251500325</v>
      </c>
      <c r="I125" s="445">
        <f t="shared" ref="I125:I145" si="38">F125*G125*H125</f>
        <v>0</v>
      </c>
      <c r="J125" s="106"/>
      <c r="K125" s="445">
        <v>0</v>
      </c>
      <c r="L125" s="621">
        <f t="shared" ref="L125:L145" si="39">G125</f>
        <v>1</v>
      </c>
      <c r="M125" s="622">
        <f t="shared" ref="M125:M145" si="40">H125</f>
        <v>0.49090457251500325</v>
      </c>
      <c r="N125" s="382">
        <f t="shared" ref="N125:N145" si="41">K125*L125*M125</f>
        <v>0</v>
      </c>
    </row>
    <row r="126" spans="1:14">
      <c r="A126" s="1109">
        <f t="shared" si="22"/>
        <v>112</v>
      </c>
      <c r="B126" s="682">
        <v>35010</v>
      </c>
      <c r="C126" s="4" t="s">
        <v>300</v>
      </c>
      <c r="D126" s="578">
        <v>0</v>
      </c>
      <c r="E126" s="578">
        <v>0</v>
      </c>
      <c r="F126" s="578">
        <f t="shared" si="35"/>
        <v>0</v>
      </c>
      <c r="G126" s="620">
        <f t="shared" si="36"/>
        <v>1</v>
      </c>
      <c r="H126" s="622">
        <f t="shared" si="37"/>
        <v>0.49090457251500325</v>
      </c>
      <c r="I126" s="578">
        <f t="shared" si="38"/>
        <v>0</v>
      </c>
      <c r="J126" s="106"/>
      <c r="K126" s="578">
        <v>0</v>
      </c>
      <c r="L126" s="621">
        <f t="shared" si="39"/>
        <v>1</v>
      </c>
      <c r="M126" s="622">
        <f t="shared" si="40"/>
        <v>0.49090457251500325</v>
      </c>
      <c r="N126" s="391">
        <f t="shared" si="41"/>
        <v>0</v>
      </c>
    </row>
    <row r="127" spans="1:14">
      <c r="A127" s="1109">
        <f t="shared" si="22"/>
        <v>113</v>
      </c>
      <c r="B127" s="682">
        <v>37402</v>
      </c>
      <c r="C127" s="4" t="s">
        <v>1018</v>
      </c>
      <c r="D127" s="578">
        <v>0</v>
      </c>
      <c r="E127" s="578">
        <v>0</v>
      </c>
      <c r="F127" s="578">
        <f t="shared" si="35"/>
        <v>0</v>
      </c>
      <c r="G127" s="620">
        <f t="shared" si="36"/>
        <v>1</v>
      </c>
      <c r="H127" s="622">
        <f t="shared" si="37"/>
        <v>0.49090457251500325</v>
      </c>
      <c r="I127" s="578">
        <f t="shared" si="38"/>
        <v>0</v>
      </c>
      <c r="J127" s="106"/>
      <c r="K127" s="578">
        <v>0</v>
      </c>
      <c r="L127" s="621">
        <f t="shared" si="39"/>
        <v>1</v>
      </c>
      <c r="M127" s="622">
        <f t="shared" si="40"/>
        <v>0.49090457251500325</v>
      </c>
      <c r="N127" s="391">
        <f t="shared" si="41"/>
        <v>0</v>
      </c>
    </row>
    <row r="128" spans="1:14">
      <c r="A128" s="1109">
        <f t="shared" si="22"/>
        <v>114</v>
      </c>
      <c r="B128" s="682">
        <v>37403</v>
      </c>
      <c r="C128" s="4" t="s">
        <v>1015</v>
      </c>
      <c r="D128" s="578">
        <v>0</v>
      </c>
      <c r="E128" s="578">
        <v>0</v>
      </c>
      <c r="F128" s="578">
        <f t="shared" si="35"/>
        <v>0</v>
      </c>
      <c r="G128" s="620">
        <f t="shared" si="36"/>
        <v>1</v>
      </c>
      <c r="H128" s="622">
        <f t="shared" si="37"/>
        <v>0.49090457251500325</v>
      </c>
      <c r="I128" s="578">
        <f t="shared" si="38"/>
        <v>0</v>
      </c>
      <c r="J128" s="106"/>
      <c r="K128" s="578">
        <v>0</v>
      </c>
      <c r="L128" s="621">
        <f t="shared" si="39"/>
        <v>1</v>
      </c>
      <c r="M128" s="622">
        <f t="shared" si="40"/>
        <v>0.49090457251500325</v>
      </c>
      <c r="N128" s="391">
        <f t="shared" si="41"/>
        <v>0</v>
      </c>
    </row>
    <row r="129" spans="1:14">
      <c r="A129" s="1109">
        <f t="shared" si="22"/>
        <v>115</v>
      </c>
      <c r="B129" s="682">
        <v>36602</v>
      </c>
      <c r="C129" s="4" t="s">
        <v>874</v>
      </c>
      <c r="D129" s="578">
        <v>0</v>
      </c>
      <c r="E129" s="578">
        <v>0</v>
      </c>
      <c r="F129" s="578">
        <f t="shared" si="35"/>
        <v>0</v>
      </c>
      <c r="G129" s="620">
        <f t="shared" si="36"/>
        <v>1</v>
      </c>
      <c r="H129" s="622">
        <f t="shared" si="37"/>
        <v>0.49090457251500325</v>
      </c>
      <c r="I129" s="578">
        <f t="shared" si="38"/>
        <v>0</v>
      </c>
      <c r="J129" s="106"/>
      <c r="K129" s="578">
        <v>0</v>
      </c>
      <c r="L129" s="621">
        <f t="shared" si="39"/>
        <v>1</v>
      </c>
      <c r="M129" s="622">
        <f t="shared" si="40"/>
        <v>0.49090457251500325</v>
      </c>
      <c r="N129" s="391">
        <f t="shared" si="41"/>
        <v>0</v>
      </c>
    </row>
    <row r="130" spans="1:14">
      <c r="A130" s="1109">
        <f t="shared" si="22"/>
        <v>116</v>
      </c>
      <c r="B130" s="682">
        <v>37501</v>
      </c>
      <c r="C130" s="4" t="s">
        <v>1016</v>
      </c>
      <c r="D130" s="578">
        <v>0</v>
      </c>
      <c r="E130" s="578">
        <v>0</v>
      </c>
      <c r="F130" s="578">
        <f t="shared" si="35"/>
        <v>0</v>
      </c>
      <c r="G130" s="620">
        <f t="shared" si="36"/>
        <v>1</v>
      </c>
      <c r="H130" s="622">
        <f t="shared" si="37"/>
        <v>0.49090457251500325</v>
      </c>
      <c r="I130" s="578">
        <f t="shared" si="38"/>
        <v>0</v>
      </c>
      <c r="J130" s="106"/>
      <c r="K130" s="578">
        <v>0</v>
      </c>
      <c r="L130" s="621">
        <f t="shared" si="39"/>
        <v>1</v>
      </c>
      <c r="M130" s="622">
        <f t="shared" si="40"/>
        <v>0.49090457251500325</v>
      </c>
      <c r="N130" s="391">
        <f t="shared" si="41"/>
        <v>0</v>
      </c>
    </row>
    <row r="131" spans="1:14">
      <c r="A131" s="1109">
        <f t="shared" si="22"/>
        <v>117</v>
      </c>
      <c r="B131" s="682">
        <v>37402</v>
      </c>
      <c r="C131" s="4" t="s">
        <v>1018</v>
      </c>
      <c r="D131" s="578">
        <v>0</v>
      </c>
      <c r="E131" s="578">
        <v>0</v>
      </c>
      <c r="F131" s="578">
        <f t="shared" si="35"/>
        <v>0</v>
      </c>
      <c r="G131" s="620">
        <f t="shared" si="36"/>
        <v>1</v>
      </c>
      <c r="H131" s="622">
        <f t="shared" si="37"/>
        <v>0.49090457251500325</v>
      </c>
      <c r="I131" s="578">
        <f t="shared" si="38"/>
        <v>0</v>
      </c>
      <c r="J131" s="106"/>
      <c r="K131" s="578">
        <v>0</v>
      </c>
      <c r="L131" s="621">
        <f t="shared" si="39"/>
        <v>1</v>
      </c>
      <c r="M131" s="622">
        <f t="shared" si="40"/>
        <v>0.49090457251500325</v>
      </c>
      <c r="N131" s="391">
        <f t="shared" si="41"/>
        <v>0</v>
      </c>
    </row>
    <row r="132" spans="1:14">
      <c r="A132" s="1109">
        <f t="shared" si="22"/>
        <v>118</v>
      </c>
      <c r="B132" s="682">
        <v>37503</v>
      </c>
      <c r="C132" s="4" t="s">
        <v>1017</v>
      </c>
      <c r="D132" s="578">
        <v>0</v>
      </c>
      <c r="E132" s="578">
        <v>0</v>
      </c>
      <c r="F132" s="578">
        <f t="shared" si="35"/>
        <v>0</v>
      </c>
      <c r="G132" s="620">
        <f t="shared" si="36"/>
        <v>1</v>
      </c>
      <c r="H132" s="622">
        <f t="shared" si="37"/>
        <v>0.49090457251500325</v>
      </c>
      <c r="I132" s="578">
        <f t="shared" si="38"/>
        <v>0</v>
      </c>
      <c r="J132" s="106"/>
      <c r="K132" s="578">
        <v>0</v>
      </c>
      <c r="L132" s="621">
        <f t="shared" si="39"/>
        <v>1</v>
      </c>
      <c r="M132" s="622">
        <f t="shared" si="40"/>
        <v>0.49090457251500325</v>
      </c>
      <c r="N132" s="391">
        <f t="shared" si="41"/>
        <v>0</v>
      </c>
    </row>
    <row r="133" spans="1:14">
      <c r="A133" s="1109">
        <f t="shared" si="22"/>
        <v>119</v>
      </c>
      <c r="B133" s="682">
        <v>36700</v>
      </c>
      <c r="C133" s="4" t="s">
        <v>861</v>
      </c>
      <c r="D133" s="578">
        <v>0</v>
      </c>
      <c r="E133" s="578">
        <v>0</v>
      </c>
      <c r="F133" s="578">
        <f t="shared" si="35"/>
        <v>0</v>
      </c>
      <c r="G133" s="620">
        <f t="shared" si="36"/>
        <v>1</v>
      </c>
      <c r="H133" s="622">
        <f t="shared" si="37"/>
        <v>0.49090457251500325</v>
      </c>
      <c r="I133" s="578">
        <f t="shared" si="38"/>
        <v>0</v>
      </c>
      <c r="J133" s="106"/>
      <c r="K133" s="578">
        <v>0</v>
      </c>
      <c r="L133" s="621">
        <f t="shared" si="39"/>
        <v>1</v>
      </c>
      <c r="M133" s="622">
        <f t="shared" si="40"/>
        <v>0.49090457251500325</v>
      </c>
      <c r="N133" s="391">
        <f t="shared" si="41"/>
        <v>0</v>
      </c>
    </row>
    <row r="134" spans="1:14">
      <c r="A134" s="1109">
        <f t="shared" si="22"/>
        <v>120</v>
      </c>
      <c r="B134" s="682">
        <v>36701</v>
      </c>
      <c r="C134" s="4" t="s">
        <v>16</v>
      </c>
      <c r="D134" s="578">
        <v>0</v>
      </c>
      <c r="E134" s="578">
        <v>0</v>
      </c>
      <c r="F134" s="578">
        <f t="shared" si="35"/>
        <v>0</v>
      </c>
      <c r="G134" s="620">
        <f t="shared" si="36"/>
        <v>1</v>
      </c>
      <c r="H134" s="622">
        <f t="shared" si="37"/>
        <v>0.49090457251500325</v>
      </c>
      <c r="I134" s="578">
        <f t="shared" si="38"/>
        <v>0</v>
      </c>
      <c r="J134" s="106"/>
      <c r="K134" s="578">
        <v>0</v>
      </c>
      <c r="L134" s="621">
        <f t="shared" si="39"/>
        <v>1</v>
      </c>
      <c r="M134" s="622">
        <f t="shared" si="40"/>
        <v>0.49090457251500325</v>
      </c>
      <c r="N134" s="391">
        <f t="shared" si="41"/>
        <v>0</v>
      </c>
    </row>
    <row r="135" spans="1:14">
      <c r="A135" s="1109">
        <f t="shared" si="22"/>
        <v>121</v>
      </c>
      <c r="B135" s="682">
        <v>37602</v>
      </c>
      <c r="C135" s="4" t="s">
        <v>862</v>
      </c>
      <c r="D135" s="578">
        <v>0</v>
      </c>
      <c r="E135" s="578">
        <v>0</v>
      </c>
      <c r="F135" s="578">
        <f t="shared" si="35"/>
        <v>0</v>
      </c>
      <c r="G135" s="620">
        <f t="shared" si="36"/>
        <v>1</v>
      </c>
      <c r="H135" s="622">
        <f t="shared" si="37"/>
        <v>0.49090457251500325</v>
      </c>
      <c r="I135" s="578">
        <f t="shared" si="38"/>
        <v>0</v>
      </c>
      <c r="J135" s="106"/>
      <c r="K135" s="578">
        <v>0</v>
      </c>
      <c r="L135" s="621">
        <f t="shared" si="39"/>
        <v>1</v>
      </c>
      <c r="M135" s="622">
        <f t="shared" si="40"/>
        <v>0.49090457251500325</v>
      </c>
      <c r="N135" s="391">
        <f t="shared" si="41"/>
        <v>0</v>
      </c>
    </row>
    <row r="136" spans="1:14">
      <c r="A136" s="1109">
        <f t="shared" si="22"/>
        <v>122</v>
      </c>
      <c r="B136" s="682">
        <v>37800</v>
      </c>
      <c r="C136" s="4" t="s">
        <v>234</v>
      </c>
      <c r="D136" s="578">
        <v>0</v>
      </c>
      <c r="E136" s="578">
        <v>0</v>
      </c>
      <c r="F136" s="578">
        <f t="shared" si="35"/>
        <v>0</v>
      </c>
      <c r="G136" s="620">
        <f t="shared" si="36"/>
        <v>1</v>
      </c>
      <c r="H136" s="622">
        <f t="shared" si="37"/>
        <v>0.49090457251500325</v>
      </c>
      <c r="I136" s="578">
        <f t="shared" si="38"/>
        <v>0</v>
      </c>
      <c r="J136" s="106"/>
      <c r="K136" s="578">
        <v>0</v>
      </c>
      <c r="L136" s="621">
        <f t="shared" si="39"/>
        <v>1</v>
      </c>
      <c r="M136" s="622">
        <f t="shared" si="40"/>
        <v>0.49090457251500325</v>
      </c>
      <c r="N136" s="391">
        <f t="shared" si="41"/>
        <v>0</v>
      </c>
    </row>
    <row r="137" spans="1:14">
      <c r="A137" s="1109">
        <f t="shared" si="22"/>
        <v>123</v>
      </c>
      <c r="B137" s="682">
        <v>37900</v>
      </c>
      <c r="C137" s="4" t="s">
        <v>1211</v>
      </c>
      <c r="D137" s="578">
        <v>0</v>
      </c>
      <c r="E137" s="578">
        <v>0</v>
      </c>
      <c r="F137" s="578">
        <f t="shared" si="35"/>
        <v>0</v>
      </c>
      <c r="G137" s="620">
        <f t="shared" si="36"/>
        <v>1</v>
      </c>
      <c r="H137" s="622">
        <f t="shared" si="37"/>
        <v>0.49090457251500325</v>
      </c>
      <c r="I137" s="578">
        <f t="shared" si="38"/>
        <v>0</v>
      </c>
      <c r="J137" s="106"/>
      <c r="K137" s="578">
        <v>0</v>
      </c>
      <c r="L137" s="621">
        <f t="shared" si="39"/>
        <v>1</v>
      </c>
      <c r="M137" s="622">
        <f t="shared" si="40"/>
        <v>0.49090457251500325</v>
      </c>
      <c r="N137" s="391">
        <f t="shared" si="41"/>
        <v>0</v>
      </c>
    </row>
    <row r="138" spans="1:14">
      <c r="A138" s="1109">
        <f t="shared" si="22"/>
        <v>124</v>
      </c>
      <c r="B138" s="682">
        <v>37905</v>
      </c>
      <c r="C138" s="4" t="s">
        <v>742</v>
      </c>
      <c r="D138" s="578">
        <v>0</v>
      </c>
      <c r="E138" s="578">
        <v>0</v>
      </c>
      <c r="F138" s="578">
        <f t="shared" si="35"/>
        <v>0</v>
      </c>
      <c r="G138" s="620">
        <f t="shared" si="36"/>
        <v>1</v>
      </c>
      <c r="H138" s="622">
        <f t="shared" si="37"/>
        <v>0.49090457251500325</v>
      </c>
      <c r="I138" s="578">
        <f t="shared" si="38"/>
        <v>0</v>
      </c>
      <c r="J138" s="106"/>
      <c r="K138" s="578">
        <v>0</v>
      </c>
      <c r="L138" s="621">
        <f t="shared" si="39"/>
        <v>1</v>
      </c>
      <c r="M138" s="622">
        <f t="shared" si="40"/>
        <v>0.49090457251500325</v>
      </c>
      <c r="N138" s="391">
        <f t="shared" si="41"/>
        <v>0</v>
      </c>
    </row>
    <row r="139" spans="1:14">
      <c r="A139" s="1109">
        <f t="shared" si="22"/>
        <v>125</v>
      </c>
      <c r="B139" s="682">
        <v>38000</v>
      </c>
      <c r="C139" s="4" t="s">
        <v>1072</v>
      </c>
      <c r="D139" s="578">
        <v>0</v>
      </c>
      <c r="E139" s="578">
        <v>0</v>
      </c>
      <c r="F139" s="578">
        <f t="shared" si="35"/>
        <v>0</v>
      </c>
      <c r="G139" s="620">
        <f t="shared" si="36"/>
        <v>1</v>
      </c>
      <c r="H139" s="622">
        <f t="shared" si="37"/>
        <v>0.49090457251500325</v>
      </c>
      <c r="I139" s="578">
        <f t="shared" si="38"/>
        <v>0</v>
      </c>
      <c r="J139" s="106"/>
      <c r="K139" s="578">
        <v>0</v>
      </c>
      <c r="L139" s="621">
        <f t="shared" si="39"/>
        <v>1</v>
      </c>
      <c r="M139" s="622">
        <f t="shared" si="40"/>
        <v>0.49090457251500325</v>
      </c>
      <c r="N139" s="391">
        <f t="shared" si="41"/>
        <v>0</v>
      </c>
    </row>
    <row r="140" spans="1:14">
      <c r="A140" s="1109">
        <f t="shared" si="22"/>
        <v>126</v>
      </c>
      <c r="B140" s="682">
        <v>38100</v>
      </c>
      <c r="C140" s="4" t="s">
        <v>863</v>
      </c>
      <c r="D140" s="578">
        <v>0</v>
      </c>
      <c r="E140" s="578">
        <v>0</v>
      </c>
      <c r="F140" s="578">
        <f t="shared" si="35"/>
        <v>0</v>
      </c>
      <c r="G140" s="620">
        <f t="shared" si="36"/>
        <v>1</v>
      </c>
      <c r="H140" s="622">
        <f t="shared" si="37"/>
        <v>0.49090457251500325</v>
      </c>
      <c r="I140" s="578">
        <f t="shared" si="38"/>
        <v>0</v>
      </c>
      <c r="J140" s="106"/>
      <c r="K140" s="578">
        <v>0</v>
      </c>
      <c r="L140" s="621">
        <f t="shared" si="39"/>
        <v>1</v>
      </c>
      <c r="M140" s="622">
        <f t="shared" si="40"/>
        <v>0.49090457251500325</v>
      </c>
      <c r="N140" s="391">
        <f t="shared" si="41"/>
        <v>0</v>
      </c>
    </row>
    <row r="141" spans="1:14">
      <c r="A141" s="1109">
        <f t="shared" si="22"/>
        <v>127</v>
      </c>
      <c r="B141" s="682">
        <v>38200</v>
      </c>
      <c r="C141" s="4" t="s">
        <v>456</v>
      </c>
      <c r="D141" s="578">
        <v>0</v>
      </c>
      <c r="E141" s="578">
        <v>0</v>
      </c>
      <c r="F141" s="578">
        <f t="shared" si="35"/>
        <v>0</v>
      </c>
      <c r="G141" s="620">
        <f t="shared" si="36"/>
        <v>1</v>
      </c>
      <c r="H141" s="622">
        <f t="shared" si="37"/>
        <v>0.49090457251500325</v>
      </c>
      <c r="I141" s="578">
        <f t="shared" si="38"/>
        <v>0</v>
      </c>
      <c r="J141" s="106"/>
      <c r="K141" s="578">
        <v>0</v>
      </c>
      <c r="L141" s="621">
        <f t="shared" si="39"/>
        <v>1</v>
      </c>
      <c r="M141" s="622">
        <f t="shared" si="40"/>
        <v>0.49090457251500325</v>
      </c>
      <c r="N141" s="391">
        <f t="shared" si="41"/>
        <v>0</v>
      </c>
    </row>
    <row r="142" spans="1:14">
      <c r="A142" s="1109">
        <f t="shared" si="22"/>
        <v>128</v>
      </c>
      <c r="B142" s="682">
        <v>38300</v>
      </c>
      <c r="C142" s="4" t="s">
        <v>1073</v>
      </c>
      <c r="D142" s="578">
        <v>0</v>
      </c>
      <c r="E142" s="578">
        <v>0</v>
      </c>
      <c r="F142" s="578">
        <f t="shared" si="35"/>
        <v>0</v>
      </c>
      <c r="G142" s="620">
        <f t="shared" si="36"/>
        <v>1</v>
      </c>
      <c r="H142" s="622">
        <f t="shared" si="37"/>
        <v>0.49090457251500325</v>
      </c>
      <c r="I142" s="578">
        <f t="shared" si="38"/>
        <v>0</v>
      </c>
      <c r="J142" s="106"/>
      <c r="K142" s="578">
        <v>0</v>
      </c>
      <c r="L142" s="621">
        <f t="shared" si="39"/>
        <v>1</v>
      </c>
      <c r="M142" s="622">
        <f t="shared" si="40"/>
        <v>0.49090457251500325</v>
      </c>
      <c r="N142" s="391">
        <f t="shared" si="41"/>
        <v>0</v>
      </c>
    </row>
    <row r="143" spans="1:14">
      <c r="A143" s="1109">
        <f t="shared" si="22"/>
        <v>129</v>
      </c>
      <c r="B143" s="682">
        <v>38400</v>
      </c>
      <c r="C143" s="4" t="s">
        <v>457</v>
      </c>
      <c r="D143" s="578">
        <v>0</v>
      </c>
      <c r="E143" s="578">
        <v>0</v>
      </c>
      <c r="F143" s="578">
        <f t="shared" si="35"/>
        <v>0</v>
      </c>
      <c r="G143" s="620">
        <f t="shared" si="36"/>
        <v>1</v>
      </c>
      <c r="H143" s="622">
        <f t="shared" si="37"/>
        <v>0.49090457251500325</v>
      </c>
      <c r="I143" s="578">
        <f t="shared" si="38"/>
        <v>0</v>
      </c>
      <c r="J143" s="106"/>
      <c r="K143" s="578">
        <v>0</v>
      </c>
      <c r="L143" s="621">
        <f t="shared" si="39"/>
        <v>1</v>
      </c>
      <c r="M143" s="622">
        <f t="shared" si="40"/>
        <v>0.49090457251500325</v>
      </c>
      <c r="N143" s="391">
        <f t="shared" si="41"/>
        <v>0</v>
      </c>
    </row>
    <row r="144" spans="1:14">
      <c r="A144" s="1109">
        <f t="shared" si="22"/>
        <v>130</v>
      </c>
      <c r="B144" s="682">
        <v>38500</v>
      </c>
      <c r="C144" s="4" t="s">
        <v>458</v>
      </c>
      <c r="D144" s="578">
        <v>0</v>
      </c>
      <c r="E144" s="578">
        <v>0</v>
      </c>
      <c r="F144" s="578">
        <f t="shared" si="35"/>
        <v>0</v>
      </c>
      <c r="G144" s="620">
        <f t="shared" si="36"/>
        <v>1</v>
      </c>
      <c r="H144" s="622">
        <f t="shared" si="37"/>
        <v>0.49090457251500325</v>
      </c>
      <c r="I144" s="578">
        <f t="shared" si="38"/>
        <v>0</v>
      </c>
      <c r="J144" s="106"/>
      <c r="K144" s="578">
        <v>0</v>
      </c>
      <c r="L144" s="621">
        <f t="shared" si="39"/>
        <v>1</v>
      </c>
      <c r="M144" s="622">
        <f t="shared" si="40"/>
        <v>0.49090457251500325</v>
      </c>
      <c r="N144" s="391">
        <f t="shared" si="41"/>
        <v>0</v>
      </c>
    </row>
    <row r="145" spans="1:19">
      <c r="A145" s="1109">
        <f t="shared" si="22"/>
        <v>131</v>
      </c>
      <c r="B145" s="682">
        <v>38600</v>
      </c>
      <c r="C145" s="4" t="s">
        <v>111</v>
      </c>
      <c r="D145" s="1141">
        <v>0</v>
      </c>
      <c r="E145" s="1141">
        <v>0</v>
      </c>
      <c r="F145" s="1141">
        <f t="shared" si="35"/>
        <v>0</v>
      </c>
      <c r="G145" s="620">
        <f t="shared" si="36"/>
        <v>1</v>
      </c>
      <c r="H145" s="622">
        <f t="shared" si="37"/>
        <v>0.49090457251500325</v>
      </c>
      <c r="I145" s="1141">
        <f t="shared" si="38"/>
        <v>0</v>
      </c>
      <c r="J145" s="106"/>
      <c r="K145" s="1141">
        <v>0</v>
      </c>
      <c r="L145" s="621">
        <f t="shared" si="39"/>
        <v>1</v>
      </c>
      <c r="M145" s="622">
        <f t="shared" si="40"/>
        <v>0.49090457251500325</v>
      </c>
      <c r="N145" s="392">
        <f t="shared" si="41"/>
        <v>0</v>
      </c>
    </row>
    <row r="146" spans="1:19">
      <c r="A146" s="1109">
        <f t="shared" ref="A146:A209" si="42">A145+1</f>
        <v>132</v>
      </c>
      <c r="B146" s="682"/>
      <c r="C146" s="4"/>
      <c r="D146" s="106"/>
      <c r="E146" s="106"/>
      <c r="F146" s="106"/>
      <c r="G146" s="1128"/>
      <c r="H146" s="1128"/>
      <c r="I146" s="106"/>
      <c r="J146" s="106"/>
      <c r="K146" s="106"/>
      <c r="M146" s="622"/>
    </row>
    <row r="147" spans="1:19">
      <c r="A147" s="1109">
        <f t="shared" si="42"/>
        <v>133</v>
      </c>
      <c r="B147" s="682"/>
      <c r="C147" s="4" t="s">
        <v>308</v>
      </c>
      <c r="D147" s="445">
        <f>SUM(D125:D146)</f>
        <v>0</v>
      </c>
      <c r="E147" s="445">
        <f>SUM(E125:E146)</f>
        <v>0</v>
      </c>
      <c r="F147" s="445">
        <f>SUM(F125:F146)</f>
        <v>0</v>
      </c>
      <c r="G147" s="1128"/>
      <c r="H147" s="1128"/>
      <c r="I147" s="445">
        <f>SUM(I125:I146)</f>
        <v>0</v>
      </c>
      <c r="J147" s="106"/>
      <c r="K147" s="445">
        <f>SUM(K125:K146)</f>
        <v>0</v>
      </c>
      <c r="M147" s="622"/>
      <c r="N147" s="382">
        <f>SUM(N125:N146)</f>
        <v>0</v>
      </c>
    </row>
    <row r="148" spans="1:19">
      <c r="A148" s="1109">
        <f t="shared" si="42"/>
        <v>134</v>
      </c>
      <c r="B148" s="682"/>
      <c r="C148" s="4"/>
      <c r="D148" s="106"/>
      <c r="E148" s="106"/>
      <c r="F148" s="106"/>
      <c r="G148" s="1128"/>
      <c r="H148" s="1128"/>
      <c r="I148" s="106"/>
      <c r="J148" s="106"/>
      <c r="K148" s="106"/>
      <c r="M148" s="622"/>
    </row>
    <row r="149" spans="1:19">
      <c r="A149" s="1109">
        <f t="shared" si="42"/>
        <v>135</v>
      </c>
      <c r="B149" s="465"/>
      <c r="C149" s="17" t="s">
        <v>309</v>
      </c>
      <c r="D149" s="106"/>
      <c r="E149" s="106"/>
      <c r="F149" s="106"/>
      <c r="G149" s="1128"/>
      <c r="H149" s="1128"/>
      <c r="I149" s="106"/>
      <c r="J149" s="106"/>
      <c r="K149" s="106"/>
      <c r="M149" s="622"/>
    </row>
    <row r="150" spans="1:19">
      <c r="A150" s="1109">
        <f t="shared" si="42"/>
        <v>136</v>
      </c>
      <c r="B150" s="682">
        <v>39001</v>
      </c>
      <c r="C150" s="4" t="s">
        <v>556</v>
      </c>
      <c r="D150" s="445">
        <v>88685.677838000003</v>
      </c>
      <c r="E150" s="812">
        <v>0</v>
      </c>
      <c r="F150" s="445">
        <f t="shared" ref="F150:F165" si="43">D150+E150</f>
        <v>88685.677838000003</v>
      </c>
      <c r="G150" s="622">
        <f t="shared" ref="G150:G166" si="44">$G$16</f>
        <v>1</v>
      </c>
      <c r="H150" s="622">
        <f t="shared" ref="H150:H166" si="45">$H$119</f>
        <v>0.49090457251500325</v>
      </c>
      <c r="I150" s="578">
        <f t="shared" ref="I150:I166" si="46">F150*G150*H150</f>
        <v>43536.204767266689</v>
      </c>
      <c r="J150" s="106"/>
      <c r="K150" s="445">
        <v>85879.037494846169</v>
      </c>
      <c r="L150" s="622">
        <f t="shared" ref="L150:L166" si="47">G150</f>
        <v>1</v>
      </c>
      <c r="M150" s="555">
        <f t="shared" ref="M150:M166" si="48">H150</f>
        <v>0.49090457251500325</v>
      </c>
      <c r="N150" s="382">
        <f t="shared" ref="N150:N166" si="49">K150*L150*M150</f>
        <v>42158.412189407391</v>
      </c>
      <c r="P150" s="682"/>
      <c r="R150" s="78"/>
      <c r="S150" s="78"/>
    </row>
    <row r="151" spans="1:19">
      <c r="A151" s="1109">
        <f t="shared" si="42"/>
        <v>137</v>
      </c>
      <c r="B151" s="682">
        <v>39004</v>
      </c>
      <c r="C151" s="4" t="s">
        <v>459</v>
      </c>
      <c r="D151" s="445">
        <v>6348.1</v>
      </c>
      <c r="E151" s="578">
        <v>0</v>
      </c>
      <c r="F151" s="578">
        <f t="shared" si="43"/>
        <v>6348.1</v>
      </c>
      <c r="G151" s="620">
        <f t="shared" si="44"/>
        <v>1</v>
      </c>
      <c r="H151" s="622">
        <f t="shared" si="45"/>
        <v>0.49090457251500325</v>
      </c>
      <c r="I151" s="578">
        <f t="shared" si="46"/>
        <v>3116.3113167824922</v>
      </c>
      <c r="J151" s="106"/>
      <c r="K151" s="445">
        <v>6348.1</v>
      </c>
      <c r="L151" s="621">
        <f t="shared" si="47"/>
        <v>1</v>
      </c>
      <c r="M151" s="622">
        <f t="shared" si="48"/>
        <v>0.49090457251500325</v>
      </c>
      <c r="N151" s="391">
        <f t="shared" si="49"/>
        <v>3116.3113167824922</v>
      </c>
      <c r="P151" s="682"/>
      <c r="R151" s="78"/>
      <c r="S151" s="78"/>
    </row>
    <row r="152" spans="1:19">
      <c r="A152" s="1109">
        <f t="shared" si="42"/>
        <v>138</v>
      </c>
      <c r="B152" s="682">
        <v>39009</v>
      </c>
      <c r="C152" s="4" t="s">
        <v>1056</v>
      </c>
      <c r="D152" s="445">
        <v>38834</v>
      </c>
      <c r="E152" s="578">
        <v>0</v>
      </c>
      <c r="F152" s="578">
        <f t="shared" si="43"/>
        <v>38834</v>
      </c>
      <c r="G152" s="620">
        <f t="shared" si="44"/>
        <v>1</v>
      </c>
      <c r="H152" s="622">
        <f t="shared" si="45"/>
        <v>0.49090457251500325</v>
      </c>
      <c r="I152" s="578">
        <f t="shared" si="46"/>
        <v>19063.788169047635</v>
      </c>
      <c r="J152" s="106"/>
      <c r="K152" s="445">
        <v>38834</v>
      </c>
      <c r="L152" s="621">
        <f t="shared" si="47"/>
        <v>1</v>
      </c>
      <c r="M152" s="622">
        <f t="shared" si="48"/>
        <v>0.49090457251500325</v>
      </c>
      <c r="N152" s="391">
        <f t="shared" si="49"/>
        <v>19063.788169047635</v>
      </c>
      <c r="P152" s="682"/>
      <c r="R152" s="78"/>
      <c r="S152" s="78"/>
    </row>
    <row r="153" spans="1:19">
      <c r="A153" s="1109">
        <f t="shared" si="42"/>
        <v>139</v>
      </c>
      <c r="B153" s="682">
        <v>39100</v>
      </c>
      <c r="C153" s="4" t="s">
        <v>796</v>
      </c>
      <c r="D153" s="445">
        <v>41004.220500000003</v>
      </c>
      <c r="E153" s="578">
        <v>0</v>
      </c>
      <c r="F153" s="578">
        <f t="shared" si="43"/>
        <v>41004.220500000003</v>
      </c>
      <c r="G153" s="620">
        <f t="shared" si="44"/>
        <v>1</v>
      </c>
      <c r="H153" s="622">
        <f t="shared" si="45"/>
        <v>0.49090457251500325</v>
      </c>
      <c r="I153" s="578">
        <f t="shared" si="46"/>
        <v>20129.159335863435</v>
      </c>
      <c r="J153" s="106"/>
      <c r="K153" s="445">
        <v>40234.098596153854</v>
      </c>
      <c r="L153" s="621">
        <f t="shared" si="47"/>
        <v>1</v>
      </c>
      <c r="M153" s="622">
        <f t="shared" si="48"/>
        <v>0.49090457251500325</v>
      </c>
      <c r="N153" s="391">
        <f t="shared" si="49"/>
        <v>19751.102971871398</v>
      </c>
      <c r="P153" s="682"/>
      <c r="R153" s="78"/>
      <c r="S153" s="78"/>
    </row>
    <row r="154" spans="1:19">
      <c r="A154" s="1109">
        <f t="shared" si="42"/>
        <v>140</v>
      </c>
      <c r="B154" s="682">
        <v>39200</v>
      </c>
      <c r="C154" s="4" t="s">
        <v>1096</v>
      </c>
      <c r="D154" s="445">
        <v>4041.2681614999992</v>
      </c>
      <c r="E154" s="578">
        <v>0</v>
      </c>
      <c r="F154" s="578">
        <f t="shared" si="43"/>
        <v>4041.2681614999992</v>
      </c>
      <c r="G154" s="620">
        <f t="shared" si="44"/>
        <v>1</v>
      </c>
      <c r="H154" s="622">
        <f t="shared" si="45"/>
        <v>0.49090457251500325</v>
      </c>
      <c r="I154" s="578">
        <f t="shared" si="46"/>
        <v>1983.8770192396503</v>
      </c>
      <c r="J154" s="106"/>
      <c r="K154" s="445">
        <v>3941.1102742499997</v>
      </c>
      <c r="L154" s="621">
        <f t="shared" si="47"/>
        <v>1</v>
      </c>
      <c r="M154" s="622">
        <f t="shared" si="48"/>
        <v>0.49090457251500325</v>
      </c>
      <c r="N154" s="391">
        <f t="shared" si="49"/>
        <v>1934.7090544151833</v>
      </c>
      <c r="P154" s="682"/>
      <c r="R154" s="78"/>
      <c r="S154" s="78"/>
    </row>
    <row r="155" spans="1:19">
      <c r="A155" s="1109">
        <f t="shared" si="42"/>
        <v>141</v>
      </c>
      <c r="B155" s="682">
        <v>39400</v>
      </c>
      <c r="C155" s="4" t="s">
        <v>1055</v>
      </c>
      <c r="D155" s="445">
        <v>137827.05662400011</v>
      </c>
      <c r="E155" s="578">
        <v>0</v>
      </c>
      <c r="F155" s="578">
        <f t="shared" si="43"/>
        <v>137827.05662400011</v>
      </c>
      <c r="G155" s="620">
        <f t="shared" si="44"/>
        <v>1</v>
      </c>
      <c r="H155" s="622">
        <f t="shared" si="45"/>
        <v>0.49090457251500325</v>
      </c>
      <c r="I155" s="578">
        <f t="shared" si="46"/>
        <v>67659.93231300592</v>
      </c>
      <c r="J155" s="106"/>
      <c r="K155" s="445">
        <v>132241.58986030775</v>
      </c>
      <c r="L155" s="621">
        <f t="shared" si="47"/>
        <v>1</v>
      </c>
      <c r="M155" s="622">
        <f t="shared" si="48"/>
        <v>0.49090457251500325</v>
      </c>
      <c r="N155" s="391">
        <f t="shared" si="49"/>
        <v>64918.001139078762</v>
      </c>
      <c r="P155" s="682"/>
      <c r="R155" s="78"/>
      <c r="S155" s="78"/>
    </row>
    <row r="156" spans="1:19">
      <c r="A156" s="1109">
        <f t="shared" si="42"/>
        <v>142</v>
      </c>
      <c r="B156" s="682">
        <v>39600</v>
      </c>
      <c r="C156" s="4" t="s">
        <v>557</v>
      </c>
      <c r="D156" s="445">
        <v>5229.3787325000012</v>
      </c>
      <c r="E156" s="578">
        <v>0</v>
      </c>
      <c r="F156" s="578">
        <f t="shared" si="43"/>
        <v>5229.3787325000012</v>
      </c>
      <c r="G156" s="620">
        <f t="shared" si="44"/>
        <v>1</v>
      </c>
      <c r="H156" s="622">
        <f t="shared" si="45"/>
        <v>0.49090457251500325</v>
      </c>
      <c r="I156" s="578">
        <f t="shared" si="46"/>
        <v>2567.1259311969625</v>
      </c>
      <c r="J156" s="106"/>
      <c r="K156" s="445">
        <v>7493.1800433653852</v>
      </c>
      <c r="L156" s="621">
        <f t="shared" si="47"/>
        <v>1</v>
      </c>
      <c r="M156" s="622">
        <f t="shared" si="48"/>
        <v>0.49090457251500325</v>
      </c>
      <c r="N156" s="391">
        <f t="shared" si="49"/>
        <v>3678.4363459662382</v>
      </c>
      <c r="P156" s="682"/>
      <c r="R156" s="78"/>
      <c r="S156" s="78"/>
    </row>
    <row r="157" spans="1:19">
      <c r="A157" s="1109">
        <f t="shared" si="42"/>
        <v>143</v>
      </c>
      <c r="B157" s="465">
        <v>39700</v>
      </c>
      <c r="C157" s="4" t="s">
        <v>454</v>
      </c>
      <c r="D157" s="445">
        <v>216863.88054700012</v>
      </c>
      <c r="E157" s="578">
        <v>0</v>
      </c>
      <c r="F157" s="578">
        <f t="shared" si="43"/>
        <v>216863.88054700012</v>
      </c>
      <c r="G157" s="620">
        <f t="shared" si="44"/>
        <v>1</v>
      </c>
      <c r="H157" s="622">
        <f t="shared" si="45"/>
        <v>0.49090457251500325</v>
      </c>
      <c r="I157" s="578">
        <f t="shared" si="46"/>
        <v>106459.47057386982</v>
      </c>
      <c r="J157" s="106"/>
      <c r="K157" s="445">
        <v>209046.36745496161</v>
      </c>
      <c r="L157" s="621">
        <f t="shared" si="47"/>
        <v>1</v>
      </c>
      <c r="M157" s="622">
        <f t="shared" si="48"/>
        <v>0.49090457251500325</v>
      </c>
      <c r="N157" s="391">
        <f t="shared" si="49"/>
        <v>102621.81765129222</v>
      </c>
      <c r="P157" s="682"/>
      <c r="R157" s="78"/>
      <c r="S157" s="78"/>
    </row>
    <row r="158" spans="1:19">
      <c r="A158" s="1109">
        <f t="shared" si="42"/>
        <v>144</v>
      </c>
      <c r="B158" s="465">
        <v>39800</v>
      </c>
      <c r="C158" s="4" t="s">
        <v>666</v>
      </c>
      <c r="D158" s="445">
        <v>624630.72807366645</v>
      </c>
      <c r="E158" s="578">
        <v>0</v>
      </c>
      <c r="F158" s="578">
        <f t="shared" si="43"/>
        <v>624630.72807366645</v>
      </c>
      <c r="G158" s="620">
        <f t="shared" si="44"/>
        <v>1</v>
      </c>
      <c r="H158" s="622">
        <f t="shared" si="45"/>
        <v>0.49090457251500325</v>
      </c>
      <c r="I158" s="578">
        <f t="shared" si="46"/>
        <v>306634.08054473845</v>
      </c>
      <c r="J158" s="106"/>
      <c r="K158" s="445">
        <v>602203.95085957681</v>
      </c>
      <c r="L158" s="621">
        <f t="shared" si="47"/>
        <v>1</v>
      </c>
      <c r="M158" s="622">
        <f t="shared" si="48"/>
        <v>0.49090457251500325</v>
      </c>
      <c r="N158" s="391">
        <f t="shared" si="49"/>
        <v>295624.67306356656</v>
      </c>
      <c r="P158" s="682"/>
      <c r="R158" s="78"/>
      <c r="S158" s="78"/>
    </row>
    <row r="159" spans="1:19">
      <c r="A159" s="1109">
        <f t="shared" si="42"/>
        <v>145</v>
      </c>
      <c r="B159" s="465">
        <v>39900</v>
      </c>
      <c r="C159" s="4" t="s">
        <v>1173</v>
      </c>
      <c r="D159" s="445">
        <v>76993.22</v>
      </c>
      <c r="E159" s="578">
        <v>0</v>
      </c>
      <c r="F159" s="578">
        <f t="shared" si="43"/>
        <v>76993.22</v>
      </c>
      <c r="G159" s="620">
        <f t="shared" si="44"/>
        <v>1</v>
      </c>
      <c r="H159" s="622">
        <f t="shared" si="45"/>
        <v>0.49090457251500325</v>
      </c>
      <c r="I159" s="578">
        <f t="shared" si="46"/>
        <v>37796.323750653595</v>
      </c>
      <c r="J159" s="106"/>
      <c r="K159" s="445">
        <v>76993.219999999987</v>
      </c>
      <c r="L159" s="621">
        <f t="shared" si="47"/>
        <v>1</v>
      </c>
      <c r="M159" s="622">
        <f t="shared" si="48"/>
        <v>0.49090457251500325</v>
      </c>
      <c r="N159" s="391">
        <f t="shared" si="49"/>
        <v>37796.323750653595</v>
      </c>
      <c r="P159" s="682"/>
      <c r="R159" s="78"/>
      <c r="S159" s="78"/>
    </row>
    <row r="160" spans="1:19">
      <c r="A160" s="1109">
        <f t="shared" si="42"/>
        <v>146</v>
      </c>
      <c r="B160" s="465">
        <v>39901</v>
      </c>
      <c r="C160" s="4" t="s">
        <v>489</v>
      </c>
      <c r="D160" s="445">
        <v>309938.31893800001</v>
      </c>
      <c r="E160" s="578">
        <v>0</v>
      </c>
      <c r="F160" s="578">
        <f t="shared" si="43"/>
        <v>309938.31893800001</v>
      </c>
      <c r="G160" s="620">
        <f t="shared" si="44"/>
        <v>1</v>
      </c>
      <c r="H160" s="622">
        <f t="shared" si="45"/>
        <v>0.49090457251500325</v>
      </c>
      <c r="I160" s="578">
        <f t="shared" si="46"/>
        <v>152150.13796427764</v>
      </c>
      <c r="J160" s="106"/>
      <c r="K160" s="445">
        <v>292831.89971407695</v>
      </c>
      <c r="L160" s="621">
        <f t="shared" si="47"/>
        <v>1</v>
      </c>
      <c r="M160" s="622">
        <f t="shared" si="48"/>
        <v>0.49090457251500325</v>
      </c>
      <c r="N160" s="391">
        <f t="shared" si="49"/>
        <v>143752.51854789525</v>
      </c>
      <c r="P160" s="682"/>
      <c r="R160" s="78"/>
      <c r="S160" s="78"/>
    </row>
    <row r="161" spans="1:19">
      <c r="A161" s="1109">
        <f t="shared" si="42"/>
        <v>147</v>
      </c>
      <c r="B161" s="465">
        <v>39902</v>
      </c>
      <c r="C161" s="4" t="s">
        <v>979</v>
      </c>
      <c r="D161" s="445">
        <v>8273.14</v>
      </c>
      <c r="E161" s="578">
        <v>0</v>
      </c>
      <c r="F161" s="578">
        <f t="shared" si="43"/>
        <v>8273.14</v>
      </c>
      <c r="G161" s="620">
        <f t="shared" si="44"/>
        <v>1</v>
      </c>
      <c r="H161" s="622">
        <f t="shared" si="45"/>
        <v>0.49090457251500325</v>
      </c>
      <c r="I161" s="578">
        <f t="shared" si="46"/>
        <v>4061.3222550567739</v>
      </c>
      <c r="J161" s="106"/>
      <c r="K161" s="445">
        <v>8273.14</v>
      </c>
      <c r="L161" s="621">
        <f t="shared" si="47"/>
        <v>1</v>
      </c>
      <c r="M161" s="622">
        <f t="shared" si="48"/>
        <v>0.49090457251500325</v>
      </c>
      <c r="N161" s="391">
        <f t="shared" si="49"/>
        <v>4061.3222550567739</v>
      </c>
      <c r="P161" s="682"/>
      <c r="R161" s="78"/>
      <c r="S161" s="78"/>
    </row>
    <row r="162" spans="1:19">
      <c r="A162" s="1109">
        <f t="shared" si="42"/>
        <v>148</v>
      </c>
      <c r="B162" s="465">
        <v>39903</v>
      </c>
      <c r="C162" s="4" t="s">
        <v>1022</v>
      </c>
      <c r="D162" s="445">
        <v>209357.66</v>
      </c>
      <c r="E162" s="578">
        <v>0</v>
      </c>
      <c r="F162" s="578">
        <f t="shared" si="43"/>
        <v>209357.66</v>
      </c>
      <c r="G162" s="620">
        <f t="shared" si="44"/>
        <v>1</v>
      </c>
      <c r="H162" s="622">
        <f t="shared" si="45"/>
        <v>0.49090457251500325</v>
      </c>
      <c r="I162" s="578">
        <f t="shared" si="46"/>
        <v>102774.6325850414</v>
      </c>
      <c r="J162" s="106"/>
      <c r="K162" s="445">
        <v>209357.66</v>
      </c>
      <c r="L162" s="621">
        <f t="shared" si="47"/>
        <v>1</v>
      </c>
      <c r="M162" s="622">
        <f t="shared" si="48"/>
        <v>0.49090457251500325</v>
      </c>
      <c r="N162" s="391">
        <f t="shared" si="49"/>
        <v>102774.6325850414</v>
      </c>
      <c r="P162" s="682"/>
      <c r="R162" s="78"/>
      <c r="S162" s="78"/>
    </row>
    <row r="163" spans="1:19">
      <c r="A163" s="1109">
        <f t="shared" si="42"/>
        <v>149</v>
      </c>
      <c r="B163" s="465">
        <v>39906</v>
      </c>
      <c r="C163" s="4" t="s">
        <v>465</v>
      </c>
      <c r="D163" s="445">
        <v>325080.33999999991</v>
      </c>
      <c r="E163" s="578">
        <v>0</v>
      </c>
      <c r="F163" s="578">
        <f t="shared" si="43"/>
        <v>325080.33999999991</v>
      </c>
      <c r="G163" s="620">
        <f t="shared" si="44"/>
        <v>1</v>
      </c>
      <c r="H163" s="622">
        <f t="shared" si="45"/>
        <v>0.49090457251500325</v>
      </c>
      <c r="I163" s="578">
        <f t="shared" si="46"/>
        <v>159583.42534073186</v>
      </c>
      <c r="J163" s="106"/>
      <c r="K163" s="445">
        <v>316760.233076923</v>
      </c>
      <c r="L163" s="621">
        <f t="shared" si="47"/>
        <v>1</v>
      </c>
      <c r="M163" s="622">
        <f t="shared" si="48"/>
        <v>0.49090457251500325</v>
      </c>
      <c r="N163" s="391">
        <f t="shared" si="49"/>
        <v>155499.04680837967</v>
      </c>
      <c r="P163" s="682"/>
      <c r="R163" s="78"/>
      <c r="S163" s="78"/>
    </row>
    <row r="164" spans="1:19">
      <c r="A164" s="1109">
        <f t="shared" si="42"/>
        <v>150</v>
      </c>
      <c r="B164" s="465">
        <v>39907</v>
      </c>
      <c r="C164" s="4" t="s">
        <v>520</v>
      </c>
      <c r="D164" s="445">
        <v>52185.591001499975</v>
      </c>
      <c r="E164" s="578">
        <v>0</v>
      </c>
      <c r="F164" s="578">
        <f t="shared" si="43"/>
        <v>52185.591001499975</v>
      </c>
      <c r="G164" s="620">
        <f t="shared" si="44"/>
        <v>1</v>
      </c>
      <c r="H164" s="622">
        <f t="shared" si="45"/>
        <v>0.49090457251500325</v>
      </c>
      <c r="I164" s="578">
        <f t="shared" si="46"/>
        <v>25618.145242034145</v>
      </c>
      <c r="J164" s="106"/>
      <c r="K164" s="445">
        <v>47142.13411578846</v>
      </c>
      <c r="L164" s="621">
        <f t="shared" si="47"/>
        <v>1</v>
      </c>
      <c r="M164" s="555">
        <f t="shared" si="48"/>
        <v>0.49090457251500325</v>
      </c>
      <c r="N164" s="391">
        <f t="shared" si="49"/>
        <v>23142.289195556084</v>
      </c>
      <c r="P164" s="682"/>
      <c r="R164" s="78"/>
      <c r="S164" s="78"/>
    </row>
    <row r="165" spans="1:19">
      <c r="A165" s="1109">
        <f t="shared" si="42"/>
        <v>151</v>
      </c>
      <c r="B165" s="465">
        <v>39908</v>
      </c>
      <c r="C165" s="4" t="s">
        <v>184</v>
      </c>
      <c r="D165" s="445">
        <v>898473.13</v>
      </c>
      <c r="E165" s="578">
        <v>0</v>
      </c>
      <c r="F165" s="578">
        <f t="shared" si="43"/>
        <v>898473.13</v>
      </c>
      <c r="G165" s="620">
        <f t="shared" si="44"/>
        <v>1</v>
      </c>
      <c r="H165" s="622">
        <f t="shared" si="45"/>
        <v>0.49090457251500325</v>
      </c>
      <c r="I165" s="578">
        <f t="shared" si="46"/>
        <v>441064.56779886695</v>
      </c>
      <c r="J165" s="106"/>
      <c r="K165" s="445">
        <v>896439.6792307694</v>
      </c>
      <c r="L165" s="621">
        <f t="shared" si="47"/>
        <v>1</v>
      </c>
      <c r="M165" s="555">
        <f t="shared" si="48"/>
        <v>0.49090457251500325</v>
      </c>
      <c r="N165" s="391">
        <f t="shared" si="49"/>
        <v>440066.33751826751</v>
      </c>
      <c r="P165" s="682"/>
      <c r="R165" s="78"/>
      <c r="S165" s="78"/>
    </row>
    <row r="166" spans="1:19">
      <c r="A166" s="1109">
        <f t="shared" si="42"/>
        <v>152</v>
      </c>
      <c r="B166" s="465"/>
      <c r="C166" s="4" t="s">
        <v>1164</v>
      </c>
      <c r="D166" s="445">
        <v>57506.510000000009</v>
      </c>
      <c r="E166" s="1082"/>
      <c r="F166" s="1082"/>
      <c r="G166" s="620">
        <f t="shared" si="44"/>
        <v>1</v>
      </c>
      <c r="H166" s="622">
        <f t="shared" si="45"/>
        <v>0.49090457251500325</v>
      </c>
      <c r="I166" s="1141">
        <f t="shared" si="46"/>
        <v>0</v>
      </c>
      <c r="J166" s="106"/>
      <c r="K166" s="445">
        <v>57509.186153846167</v>
      </c>
      <c r="L166" s="621">
        <f t="shared" si="47"/>
        <v>1</v>
      </c>
      <c r="M166" s="555">
        <f t="shared" si="48"/>
        <v>0.49090457251500325</v>
      </c>
      <c r="N166" s="392">
        <f t="shared" si="49"/>
        <v>28231.522444539598</v>
      </c>
      <c r="R166" s="78"/>
      <c r="S166" s="78"/>
    </row>
    <row r="167" spans="1:19">
      <c r="A167" s="1109">
        <f t="shared" si="42"/>
        <v>153</v>
      </c>
      <c r="B167" s="507"/>
      <c r="C167" s="4"/>
      <c r="D167" s="809"/>
      <c r="E167" s="809"/>
      <c r="F167" s="809"/>
      <c r="G167" s="1128"/>
      <c r="H167" s="1128"/>
      <c r="I167" s="106"/>
      <c r="J167" s="106"/>
      <c r="K167" s="106"/>
    </row>
    <row r="168" spans="1:19">
      <c r="A168" s="1109">
        <f t="shared" si="42"/>
        <v>154</v>
      </c>
      <c r="B168" s="507"/>
      <c r="C168" s="4" t="s">
        <v>4</v>
      </c>
      <c r="D168" s="445">
        <f>SUM(D150:D166)</f>
        <v>3101272.2204161659</v>
      </c>
      <c r="E168" s="445">
        <f>SUM(E150:E166)</f>
        <v>0</v>
      </c>
      <c r="F168" s="445">
        <f>SUM(F150:F166)</f>
        <v>3043765.7104161661</v>
      </c>
      <c r="G168" s="1128"/>
      <c r="H168" s="1128"/>
      <c r="I168" s="445">
        <f>SUM(I150:I166)</f>
        <v>1494198.5049076735</v>
      </c>
      <c r="J168" s="106"/>
      <c r="K168" s="445">
        <f>SUM(K150:K166)</f>
        <v>3031528.5868748655</v>
      </c>
      <c r="N168" s="382">
        <f>SUM(N150:N166)</f>
        <v>1488191.2450068179</v>
      </c>
    </row>
    <row r="169" spans="1:19">
      <c r="A169" s="1109">
        <f t="shared" si="42"/>
        <v>155</v>
      </c>
      <c r="B169" s="507"/>
      <c r="C169" s="4"/>
      <c r="D169" s="106"/>
      <c r="E169" s="106"/>
      <c r="F169" s="106"/>
      <c r="G169" s="1128"/>
      <c r="H169" s="1128"/>
      <c r="I169" s="106"/>
      <c r="J169" s="106"/>
      <c r="K169" s="106"/>
    </row>
    <row r="170" spans="1:19" ht="15.75" thickBot="1">
      <c r="A170" s="1109">
        <f t="shared" si="42"/>
        <v>156</v>
      </c>
      <c r="B170" s="507"/>
      <c r="C170" s="245" t="s">
        <v>1371</v>
      </c>
      <c r="D170" s="425">
        <f>D122+D147+D168</f>
        <v>3101272.2204161659</v>
      </c>
      <c r="E170" s="425">
        <f>E122+E147+E168</f>
        <v>0</v>
      </c>
      <c r="F170" s="425">
        <f>F122+F147+F168</f>
        <v>3043765.7104161661</v>
      </c>
      <c r="G170" s="1128"/>
      <c r="H170" s="1128"/>
      <c r="I170" s="425">
        <f>I122+I147+I168</f>
        <v>1494198.5049076735</v>
      </c>
      <c r="J170" s="106"/>
      <c r="K170" s="425">
        <f>K122+K147+K168</f>
        <v>3031528.5868748655</v>
      </c>
      <c r="N170" s="422">
        <f>N122+N147+N168</f>
        <v>1488191.2450068179</v>
      </c>
      <c r="P170" s="1055"/>
      <c r="Q170" s="1055"/>
    </row>
    <row r="171" spans="1:19" ht="15.75" thickTop="1">
      <c r="A171" s="1109">
        <f t="shared" si="42"/>
        <v>157</v>
      </c>
      <c r="B171" s="403"/>
      <c r="D171" s="578"/>
      <c r="E171" s="424"/>
      <c r="F171" s="106"/>
      <c r="G171" s="1128"/>
      <c r="H171" s="1128"/>
      <c r="I171" s="106"/>
      <c r="J171" s="106"/>
      <c r="K171" s="106"/>
    </row>
    <row r="172" spans="1:19" ht="15.75">
      <c r="A172" s="1109">
        <f t="shared" si="42"/>
        <v>158</v>
      </c>
      <c r="B172" s="416" t="s">
        <v>8</v>
      </c>
      <c r="D172" s="578"/>
      <c r="E172" s="424"/>
      <c r="F172" s="106"/>
      <c r="G172" s="1128"/>
      <c r="H172" s="1128"/>
      <c r="I172" s="106"/>
      <c r="J172" s="106"/>
      <c r="K172" s="106"/>
    </row>
    <row r="173" spans="1:19">
      <c r="A173" s="1109">
        <f t="shared" si="42"/>
        <v>159</v>
      </c>
      <c r="D173" s="578"/>
      <c r="E173" s="106"/>
      <c r="F173" s="106"/>
      <c r="G173" s="1128"/>
      <c r="H173" s="1128"/>
      <c r="I173" s="106"/>
      <c r="J173" s="106"/>
      <c r="K173" s="106"/>
      <c r="L173" s="239"/>
    </row>
    <row r="174" spans="1:19">
      <c r="A174" s="1109">
        <f t="shared" si="42"/>
        <v>160</v>
      </c>
      <c r="B174" s="507"/>
      <c r="C174" s="810" t="s">
        <v>309</v>
      </c>
      <c r="D174" s="578"/>
      <c r="E174" s="106"/>
      <c r="F174" s="106"/>
      <c r="G174" s="1128"/>
      <c r="H174" s="1128"/>
      <c r="I174" s="106"/>
      <c r="J174" s="106"/>
      <c r="K174" s="106"/>
      <c r="L174" s="239"/>
    </row>
    <row r="175" spans="1:19">
      <c r="A175" s="1109">
        <f t="shared" si="42"/>
        <v>161</v>
      </c>
      <c r="B175" s="682">
        <v>39000</v>
      </c>
      <c r="C175" s="115" t="s">
        <v>874</v>
      </c>
      <c r="D175" s="445">
        <v>288628.61663131107</v>
      </c>
      <c r="E175" s="812">
        <v>0</v>
      </c>
      <c r="F175" s="445">
        <f t="shared" ref="F175:F199" si="50">D175+E175</f>
        <v>288628.61663131107</v>
      </c>
      <c r="G175" s="622">
        <f>Allocation!$G$14</f>
        <v>0.1071</v>
      </c>
      <c r="H175" s="622">
        <f>Allocation!$H$14</f>
        <v>0.49090457251500325</v>
      </c>
      <c r="I175" s="578">
        <f t="shared" ref="I175:I199" si="51">F175*G175*H175</f>
        <v>15174.903430706285</v>
      </c>
      <c r="J175" s="106"/>
      <c r="K175" s="445">
        <v>251636.65538667177</v>
      </c>
      <c r="L175" s="622">
        <f t="shared" ref="L175" si="52">G175</f>
        <v>0.1071</v>
      </c>
      <c r="M175" s="555">
        <f t="shared" ref="M175:M199" si="53">H175</f>
        <v>0.49090457251500325</v>
      </c>
      <c r="N175" s="382">
        <f t="shared" ref="N175:N199" si="54">K175*L175*M175</f>
        <v>13230.018525835994</v>
      </c>
      <c r="P175" s="872"/>
      <c r="R175" s="78"/>
      <c r="S175" s="78"/>
    </row>
    <row r="176" spans="1:19">
      <c r="A176" s="1109">
        <f t="shared" si="42"/>
        <v>162</v>
      </c>
      <c r="B176" s="682">
        <v>39005</v>
      </c>
      <c r="C176" s="115" t="s">
        <v>1217</v>
      </c>
      <c r="D176" s="445">
        <v>4065670.6085170005</v>
      </c>
      <c r="E176" s="812">
        <v>0</v>
      </c>
      <c r="F176" s="578">
        <f t="shared" si="50"/>
        <v>4065670.6085170005</v>
      </c>
      <c r="G176" s="622">
        <v>1</v>
      </c>
      <c r="H176" s="622">
        <f>Allocation!$I$20</f>
        <v>1.5418259551017742E-2</v>
      </c>
      <c r="I176" s="578">
        <f t="shared" si="51"/>
        <v>62685.564691059357</v>
      </c>
      <c r="J176" s="106"/>
      <c r="K176" s="445">
        <v>3861438.4353699619</v>
      </c>
      <c r="L176" s="622">
        <f>L175</f>
        <v>0.1071</v>
      </c>
      <c r="M176" s="555">
        <f t="shared" si="53"/>
        <v>1.5418259551017742E-2</v>
      </c>
      <c r="N176" s="391">
        <f t="shared" si="54"/>
        <v>6376.3762899423427</v>
      </c>
      <c r="P176" s="872"/>
      <c r="R176" s="78"/>
      <c r="S176" s="78"/>
    </row>
    <row r="177" spans="1:19">
      <c r="A177" s="1109">
        <f t="shared" si="42"/>
        <v>163</v>
      </c>
      <c r="B177" s="682">
        <v>39009</v>
      </c>
      <c r="C177" s="115" t="s">
        <v>1056</v>
      </c>
      <c r="D177" s="445">
        <v>9125113.919392867</v>
      </c>
      <c r="E177" s="812">
        <v>0</v>
      </c>
      <c r="F177" s="578">
        <f t="shared" si="50"/>
        <v>9125113.919392867</v>
      </c>
      <c r="G177" s="622">
        <f>$G$175</f>
        <v>0.1071</v>
      </c>
      <c r="H177" s="622">
        <f>$H$175</f>
        <v>0.49090457251500325</v>
      </c>
      <c r="I177" s="578">
        <f t="shared" si="51"/>
        <v>479760.89182405302</v>
      </c>
      <c r="J177" s="106"/>
      <c r="K177" s="445">
        <v>8979793.3467648085</v>
      </c>
      <c r="L177" s="622">
        <f t="shared" ref="L177:L180" si="55">L176</f>
        <v>0.1071</v>
      </c>
      <c r="M177" s="555">
        <f t="shared" si="53"/>
        <v>0.49090457251500325</v>
      </c>
      <c r="N177" s="391">
        <f t="shared" si="54"/>
        <v>472120.53487724805</v>
      </c>
      <c r="P177" s="872"/>
      <c r="R177" s="78"/>
      <c r="S177" s="78"/>
    </row>
    <row r="178" spans="1:19">
      <c r="A178" s="1109">
        <f t="shared" si="42"/>
        <v>164</v>
      </c>
      <c r="B178" s="682">
        <v>39100</v>
      </c>
      <c r="C178" s="115" t="s">
        <v>796</v>
      </c>
      <c r="D178" s="445">
        <v>6206960.0491403043</v>
      </c>
      <c r="E178" s="812">
        <v>0</v>
      </c>
      <c r="F178" s="578">
        <f t="shared" si="50"/>
        <v>6206960.0491403043</v>
      </c>
      <c r="G178" s="622">
        <f>$G$175</f>
        <v>0.1071</v>
      </c>
      <c r="H178" s="622">
        <f>$H$175</f>
        <v>0.49090457251500325</v>
      </c>
      <c r="I178" s="578">
        <f t="shared" si="51"/>
        <v>326336.38494783308</v>
      </c>
      <c r="J178" s="106"/>
      <c r="K178" s="445">
        <v>6021582.9994958853</v>
      </c>
      <c r="L178" s="622">
        <f t="shared" si="55"/>
        <v>0.1071</v>
      </c>
      <c r="M178" s="555">
        <f t="shared" si="53"/>
        <v>0.49090457251500325</v>
      </c>
      <c r="N178" s="391">
        <f t="shared" si="54"/>
        <v>316590.02348355495</v>
      </c>
      <c r="P178" s="872"/>
      <c r="R178" s="78"/>
      <c r="S178" s="78"/>
    </row>
    <row r="179" spans="1:19">
      <c r="A179" s="1109">
        <f t="shared" si="42"/>
        <v>165</v>
      </c>
      <c r="B179" s="682">
        <v>39102</v>
      </c>
      <c r="C179" s="115" t="s">
        <v>542</v>
      </c>
      <c r="D179" s="445">
        <v>5859.7</v>
      </c>
      <c r="E179" s="812">
        <v>0</v>
      </c>
      <c r="F179" s="578">
        <f t="shared" si="50"/>
        <v>5859.7</v>
      </c>
      <c r="G179" s="622">
        <f>$G$175</f>
        <v>0.1071</v>
      </c>
      <c r="H179" s="622">
        <f>$H$175</f>
        <v>0.49090457251500325</v>
      </c>
      <c r="I179" s="578">
        <f t="shared" si="51"/>
        <v>308.07888237393621</v>
      </c>
      <c r="J179" s="106"/>
      <c r="K179" s="445">
        <v>5859.699999999998</v>
      </c>
      <c r="L179" s="622">
        <f t="shared" si="55"/>
        <v>0.1071</v>
      </c>
      <c r="M179" s="555">
        <f t="shared" si="53"/>
        <v>0.49090457251500325</v>
      </c>
      <c r="N179" s="391">
        <f t="shared" si="54"/>
        <v>308.07888237393615</v>
      </c>
      <c r="P179" s="872"/>
      <c r="R179" s="78"/>
      <c r="S179" s="78"/>
    </row>
    <row r="180" spans="1:19">
      <c r="A180" s="1109">
        <f t="shared" si="42"/>
        <v>166</v>
      </c>
      <c r="B180" s="683">
        <v>39103</v>
      </c>
      <c r="C180" s="115" t="s">
        <v>797</v>
      </c>
      <c r="D180" s="445">
        <v>2888.48</v>
      </c>
      <c r="E180" s="812">
        <v>0</v>
      </c>
      <c r="F180" s="578">
        <f t="shared" si="50"/>
        <v>2888.48</v>
      </c>
      <c r="G180" s="622">
        <f>$G$175</f>
        <v>0.1071</v>
      </c>
      <c r="H180" s="622">
        <f>$H$175</f>
        <v>0.49090457251500325</v>
      </c>
      <c r="I180" s="578">
        <f t="shared" si="51"/>
        <v>151.86437704310242</v>
      </c>
      <c r="J180" s="106"/>
      <c r="K180" s="445">
        <v>2888.4800000000005</v>
      </c>
      <c r="L180" s="622">
        <f t="shared" si="55"/>
        <v>0.1071</v>
      </c>
      <c r="M180" s="555">
        <f t="shared" si="53"/>
        <v>0.49090457251500325</v>
      </c>
      <c r="N180" s="391">
        <f t="shared" si="54"/>
        <v>151.86437704310245</v>
      </c>
      <c r="P180" s="872"/>
      <c r="R180" s="78"/>
      <c r="S180" s="78"/>
    </row>
    <row r="181" spans="1:19">
      <c r="A181" s="1109">
        <f t="shared" si="42"/>
        <v>167</v>
      </c>
      <c r="B181" s="682">
        <v>39104</v>
      </c>
      <c r="C181" s="106" t="s">
        <v>1218</v>
      </c>
      <c r="D181" s="445">
        <v>11207.548127499997</v>
      </c>
      <c r="E181" s="578">
        <v>0</v>
      </c>
      <c r="F181" s="578">
        <f t="shared" ref="F181" si="56">D181+E181</f>
        <v>11207.548127499997</v>
      </c>
      <c r="G181" s="622">
        <v>1</v>
      </c>
      <c r="H181" s="622">
        <f>$H$176</f>
        <v>1.5418259551017742E-2</v>
      </c>
      <c r="I181" s="578">
        <f t="shared" ref="I181" si="57">F181*G181*H181</f>
        <v>172.80088596031783</v>
      </c>
      <c r="J181" s="106"/>
      <c r="K181" s="445">
        <v>10035.993342019228</v>
      </c>
      <c r="L181" s="622">
        <f t="shared" ref="L181" si="58">L180</f>
        <v>0.1071</v>
      </c>
      <c r="M181" s="555">
        <f t="shared" ref="M181" si="59">H181</f>
        <v>1.5418259551017742E-2</v>
      </c>
      <c r="N181" s="391">
        <f t="shared" ref="N181" si="60">K181*L181*M181</f>
        <v>16.572391626370568</v>
      </c>
      <c r="P181" s="872"/>
      <c r="R181" s="78"/>
      <c r="S181" s="78"/>
    </row>
    <row r="182" spans="1:19">
      <c r="A182" s="1109">
        <f t="shared" si="42"/>
        <v>168</v>
      </c>
      <c r="B182" s="682">
        <v>39200</v>
      </c>
      <c r="C182" s="115" t="s">
        <v>1096</v>
      </c>
      <c r="D182" s="445">
        <v>95320.453223999983</v>
      </c>
      <c r="E182" s="812">
        <v>0</v>
      </c>
      <c r="F182" s="578">
        <f t="shared" si="50"/>
        <v>95320.453223999983</v>
      </c>
      <c r="G182" s="622">
        <f t="shared" ref="G182:G199" si="61">$G$175</f>
        <v>0.1071</v>
      </c>
      <c r="H182" s="622">
        <f t="shared" ref="H182:H199" si="62">$H$175</f>
        <v>0.49090457251500325</v>
      </c>
      <c r="I182" s="578">
        <f t="shared" si="51"/>
        <v>5011.5566832136428</v>
      </c>
      <c r="J182" s="106"/>
      <c r="K182" s="445">
        <v>83629.911637230776</v>
      </c>
      <c r="L182" s="622">
        <f>L180</f>
        <v>0.1071</v>
      </c>
      <c r="M182" s="555">
        <f t="shared" si="53"/>
        <v>0.49090457251500325</v>
      </c>
      <c r="N182" s="391">
        <f t="shared" si="54"/>
        <v>4396.9161749285968</v>
      </c>
      <c r="P182" s="872"/>
      <c r="R182" s="78"/>
      <c r="S182" s="78"/>
    </row>
    <row r="183" spans="1:19">
      <c r="A183" s="1109">
        <f t="shared" si="42"/>
        <v>169</v>
      </c>
      <c r="B183" s="682">
        <v>39300</v>
      </c>
      <c r="C183" s="115" t="s">
        <v>665</v>
      </c>
      <c r="D183" s="445">
        <v>757.51</v>
      </c>
      <c r="E183" s="812">
        <v>0</v>
      </c>
      <c r="F183" s="578">
        <f t="shared" si="50"/>
        <v>757.51</v>
      </c>
      <c r="G183" s="622">
        <f t="shared" si="61"/>
        <v>0.1071</v>
      </c>
      <c r="H183" s="622">
        <f t="shared" si="62"/>
        <v>0.49090457251500325</v>
      </c>
      <c r="I183" s="578">
        <f t="shared" si="51"/>
        <v>39.826754643937477</v>
      </c>
      <c r="J183" s="106"/>
      <c r="K183" s="445">
        <v>757.5100000000001</v>
      </c>
      <c r="L183" s="622">
        <f t="shared" ref="L183:L197" si="63">L181</f>
        <v>0.1071</v>
      </c>
      <c r="M183" s="555">
        <f t="shared" si="53"/>
        <v>0.49090457251500325</v>
      </c>
      <c r="N183" s="391">
        <f t="shared" si="54"/>
        <v>39.826754643937484</v>
      </c>
      <c r="P183" s="872"/>
      <c r="R183" s="78"/>
      <c r="S183" s="78"/>
    </row>
    <row r="184" spans="1:19">
      <c r="A184" s="1109">
        <f t="shared" si="42"/>
        <v>170</v>
      </c>
      <c r="B184" s="682">
        <v>39400</v>
      </c>
      <c r="C184" s="115" t="s">
        <v>1055</v>
      </c>
      <c r="D184" s="445">
        <v>137626.62705636688</v>
      </c>
      <c r="E184" s="812">
        <v>0</v>
      </c>
      <c r="F184" s="578">
        <f t="shared" si="50"/>
        <v>137626.62705636688</v>
      </c>
      <c r="G184" s="622">
        <f t="shared" si="61"/>
        <v>0.1071</v>
      </c>
      <c r="H184" s="622">
        <f t="shared" si="62"/>
        <v>0.49090457251500325</v>
      </c>
      <c r="I184" s="578">
        <f t="shared" si="51"/>
        <v>7235.8409898834479</v>
      </c>
      <c r="J184" s="106"/>
      <c r="K184" s="445">
        <v>105346.66839951764</v>
      </c>
      <c r="L184" s="622">
        <f t="shared" si="63"/>
        <v>0.1071</v>
      </c>
      <c r="M184" s="555">
        <f t="shared" si="53"/>
        <v>0.49090457251500325</v>
      </c>
      <c r="N184" s="391">
        <f t="shared" si="54"/>
        <v>5538.69376629197</v>
      </c>
      <c r="P184" s="872"/>
      <c r="R184" s="78"/>
      <c r="S184" s="78"/>
    </row>
    <row r="185" spans="1:19">
      <c r="A185" s="1109">
        <f t="shared" si="42"/>
        <v>171</v>
      </c>
      <c r="B185" s="682">
        <v>39500</v>
      </c>
      <c r="C185" s="115" t="s">
        <v>1219</v>
      </c>
      <c r="D185" s="445">
        <v>9252.3035</v>
      </c>
      <c r="E185" s="578">
        <v>0</v>
      </c>
      <c r="F185" s="578">
        <f t="shared" ref="F185" si="64">D185+E185</f>
        <v>9252.3035</v>
      </c>
      <c r="G185" s="622">
        <f t="shared" si="61"/>
        <v>0.1071</v>
      </c>
      <c r="H185" s="622">
        <f t="shared" si="62"/>
        <v>0.49090457251500325</v>
      </c>
      <c r="I185" s="578">
        <f t="shared" ref="I185" si="65">F185*G185*H185</f>
        <v>486.44799591522747</v>
      </c>
      <c r="J185" s="106"/>
      <c r="K185" s="445">
        <v>8066.9101730769225</v>
      </c>
      <c r="L185" s="622">
        <f t="shared" si="63"/>
        <v>0.1071</v>
      </c>
      <c r="M185" s="555">
        <f t="shared" ref="M185" si="66">H185</f>
        <v>0.49090457251500325</v>
      </c>
      <c r="N185" s="391">
        <f t="shared" ref="N185" si="67">K185*L185*M185</f>
        <v>424.12489894234767</v>
      </c>
      <c r="P185" s="872"/>
      <c r="R185" s="78"/>
      <c r="S185" s="78"/>
    </row>
    <row r="186" spans="1:19">
      <c r="A186" s="1109">
        <f t="shared" si="42"/>
        <v>172</v>
      </c>
      <c r="B186" s="465">
        <v>39700</v>
      </c>
      <c r="C186" s="4" t="s">
        <v>454</v>
      </c>
      <c r="D186" s="445">
        <v>1321634.2949413599</v>
      </c>
      <c r="E186" s="812">
        <v>0</v>
      </c>
      <c r="F186" s="578">
        <f t="shared" si="50"/>
        <v>1321634.2949413599</v>
      </c>
      <c r="G186" s="622">
        <f t="shared" si="61"/>
        <v>0.1071</v>
      </c>
      <c r="H186" s="622">
        <f t="shared" si="62"/>
        <v>0.49090457251500325</v>
      </c>
      <c r="I186" s="578">
        <f t="shared" si="51"/>
        <v>69486.085719849027</v>
      </c>
      <c r="J186" s="106"/>
      <c r="K186" s="445">
        <v>1265165.259716209</v>
      </c>
      <c r="L186" s="622">
        <f t="shared" si="63"/>
        <v>0.1071</v>
      </c>
      <c r="M186" s="555">
        <f t="shared" si="53"/>
        <v>0.49090457251500325</v>
      </c>
      <c r="N186" s="391">
        <f t="shared" si="54"/>
        <v>66517.176516152773</v>
      </c>
      <c r="P186" s="872"/>
      <c r="R186" s="78"/>
      <c r="S186" s="78"/>
    </row>
    <row r="187" spans="1:19">
      <c r="A187" s="1109">
        <f t="shared" si="42"/>
        <v>173</v>
      </c>
      <c r="B187" s="465">
        <v>39800</v>
      </c>
      <c r="C187" s="4" t="s">
        <v>666</v>
      </c>
      <c r="D187" s="445">
        <v>123789.86367595215</v>
      </c>
      <c r="E187" s="812">
        <v>0</v>
      </c>
      <c r="F187" s="578">
        <f t="shared" si="50"/>
        <v>123789.86367595215</v>
      </c>
      <c r="G187" s="622">
        <f t="shared" si="61"/>
        <v>0.1071</v>
      </c>
      <c r="H187" s="622">
        <f t="shared" si="62"/>
        <v>0.49090457251500325</v>
      </c>
      <c r="I187" s="578">
        <f t="shared" si="51"/>
        <v>6508.360982731072</v>
      </c>
      <c r="J187" s="106"/>
      <c r="K187" s="445">
        <v>118802.21328918682</v>
      </c>
      <c r="L187" s="622">
        <f t="shared" si="63"/>
        <v>0.1071</v>
      </c>
      <c r="M187" s="555">
        <f t="shared" si="53"/>
        <v>0.49090457251500325</v>
      </c>
      <c r="N187" s="391">
        <f t="shared" si="54"/>
        <v>6246.1308759292569</v>
      </c>
      <c r="P187" s="872"/>
      <c r="R187" s="78"/>
      <c r="S187" s="78"/>
    </row>
    <row r="188" spans="1:19">
      <c r="A188" s="1109">
        <f t="shared" si="42"/>
        <v>174</v>
      </c>
      <c r="B188" s="465">
        <v>39900</v>
      </c>
      <c r="C188" s="4" t="s">
        <v>1173</v>
      </c>
      <c r="D188" s="445">
        <v>122835.05835999997</v>
      </c>
      <c r="E188" s="812">
        <v>0</v>
      </c>
      <c r="F188" s="578">
        <f t="shared" si="50"/>
        <v>122835.05835999997</v>
      </c>
      <c r="G188" s="622">
        <f t="shared" si="61"/>
        <v>0.1071</v>
      </c>
      <c r="H188" s="622">
        <f t="shared" si="62"/>
        <v>0.49090457251500325</v>
      </c>
      <c r="I188" s="578">
        <f t="shared" si="51"/>
        <v>6458.1612532870322</v>
      </c>
      <c r="J188" s="106"/>
      <c r="K188" s="445">
        <v>111493.98609692302</v>
      </c>
      <c r="L188" s="622">
        <f t="shared" si="63"/>
        <v>0.1071</v>
      </c>
      <c r="M188" s="555">
        <f t="shared" si="53"/>
        <v>0.49090457251500325</v>
      </c>
      <c r="N188" s="391">
        <f t="shared" si="54"/>
        <v>5861.8944021289872</v>
      </c>
      <c r="P188" s="872"/>
      <c r="R188" s="78"/>
      <c r="S188" s="78"/>
    </row>
    <row r="189" spans="1:19">
      <c r="A189" s="1109">
        <f t="shared" si="42"/>
        <v>175</v>
      </c>
      <c r="B189" s="465">
        <v>39901</v>
      </c>
      <c r="C189" s="4" t="s">
        <v>489</v>
      </c>
      <c r="D189" s="445">
        <v>6745069.471922474</v>
      </c>
      <c r="E189" s="812">
        <v>0</v>
      </c>
      <c r="F189" s="578">
        <f t="shared" si="50"/>
        <v>6745069.471922474</v>
      </c>
      <c r="G189" s="622">
        <f t="shared" si="61"/>
        <v>0.1071</v>
      </c>
      <c r="H189" s="622">
        <f t="shared" si="62"/>
        <v>0.49090457251500325</v>
      </c>
      <c r="I189" s="578">
        <f t="shared" si="51"/>
        <v>354627.96123426658</v>
      </c>
      <c r="J189" s="106"/>
      <c r="K189" s="445">
        <v>8741513.6317943707</v>
      </c>
      <c r="L189" s="622">
        <f t="shared" si="63"/>
        <v>0.1071</v>
      </c>
      <c r="M189" s="555">
        <f t="shared" si="53"/>
        <v>0.49090457251500325</v>
      </c>
      <c r="N189" s="391">
        <f t="shared" si="54"/>
        <v>459592.76924411458</v>
      </c>
      <c r="P189" s="872"/>
      <c r="R189" s="78"/>
      <c r="S189" s="78"/>
    </row>
    <row r="190" spans="1:19">
      <c r="A190" s="1109">
        <f t="shared" si="42"/>
        <v>176</v>
      </c>
      <c r="B190" s="465">
        <v>39902</v>
      </c>
      <c r="C190" s="4" t="s">
        <v>979</v>
      </c>
      <c r="D190" s="445">
        <v>7872023.118954028</v>
      </c>
      <c r="E190" s="812">
        <v>0</v>
      </c>
      <c r="F190" s="578">
        <f t="shared" si="50"/>
        <v>7872023.118954028</v>
      </c>
      <c r="G190" s="622">
        <f t="shared" si="61"/>
        <v>0.1071</v>
      </c>
      <c r="H190" s="622">
        <f t="shared" si="62"/>
        <v>0.49090457251500325</v>
      </c>
      <c r="I190" s="578">
        <f t="shared" si="51"/>
        <v>413878.54062650725</v>
      </c>
      <c r="J190" s="106"/>
      <c r="K190" s="445">
        <v>7204115.7589233164</v>
      </c>
      <c r="L190" s="622">
        <f t="shared" si="63"/>
        <v>0.1071</v>
      </c>
      <c r="M190" s="555">
        <f t="shared" si="53"/>
        <v>0.49090457251500325</v>
      </c>
      <c r="N190" s="391">
        <f t="shared" si="54"/>
        <v>378762.72360386315</v>
      </c>
      <c r="P190" s="872"/>
      <c r="R190" s="78"/>
      <c r="S190" s="78"/>
    </row>
    <row r="191" spans="1:19">
      <c r="A191" s="1109">
        <f t="shared" si="42"/>
        <v>177</v>
      </c>
      <c r="B191" s="465">
        <v>39903</v>
      </c>
      <c r="C191" s="4" t="s">
        <v>1022</v>
      </c>
      <c r="D191" s="445">
        <v>1297282.965919045</v>
      </c>
      <c r="E191" s="812">
        <v>0</v>
      </c>
      <c r="F191" s="578">
        <f t="shared" si="50"/>
        <v>1297282.965919045</v>
      </c>
      <c r="G191" s="622">
        <f t="shared" si="61"/>
        <v>0.1071</v>
      </c>
      <c r="H191" s="622">
        <f t="shared" si="62"/>
        <v>0.49090457251500325</v>
      </c>
      <c r="I191" s="578">
        <f t="shared" si="51"/>
        <v>68205.793174238366</v>
      </c>
      <c r="J191" s="106"/>
      <c r="K191" s="445">
        <v>1156709.8431506916</v>
      </c>
      <c r="L191" s="622">
        <f t="shared" si="63"/>
        <v>0.1071</v>
      </c>
      <c r="M191" s="555">
        <f t="shared" si="53"/>
        <v>0.49090457251500325</v>
      </c>
      <c r="N191" s="391">
        <f t="shared" si="54"/>
        <v>60815.037580216762</v>
      </c>
      <c r="P191" s="872"/>
      <c r="R191" s="78"/>
      <c r="S191" s="78"/>
    </row>
    <row r="192" spans="1:19">
      <c r="A192" s="1109">
        <f t="shared" si="42"/>
        <v>178</v>
      </c>
      <c r="B192" s="465">
        <v>39904</v>
      </c>
      <c r="C192" s="4" t="s">
        <v>1198</v>
      </c>
      <c r="D192" s="445">
        <v>17152.41</v>
      </c>
      <c r="E192" s="812">
        <v>0</v>
      </c>
      <c r="F192" s="578">
        <f t="shared" si="50"/>
        <v>17152.41</v>
      </c>
      <c r="G192" s="622">
        <f t="shared" si="61"/>
        <v>0.1071</v>
      </c>
      <c r="H192" s="622">
        <f t="shared" si="62"/>
        <v>0.49090457251500325</v>
      </c>
      <c r="I192" s="578">
        <f t="shared" si="51"/>
        <v>901.80304500563636</v>
      </c>
      <c r="J192" s="106"/>
      <c r="K192" s="445">
        <v>17152.41</v>
      </c>
      <c r="L192" s="622">
        <f t="shared" si="63"/>
        <v>0.1071</v>
      </c>
      <c r="M192" s="555">
        <f t="shared" si="53"/>
        <v>0.49090457251500325</v>
      </c>
      <c r="N192" s="391">
        <f t="shared" si="54"/>
        <v>901.80304500563636</v>
      </c>
      <c r="P192" s="872"/>
      <c r="R192" s="78"/>
      <c r="S192" s="78"/>
    </row>
    <row r="193" spans="1:19">
      <c r="A193" s="1109">
        <f t="shared" si="42"/>
        <v>179</v>
      </c>
      <c r="B193" s="465">
        <v>39905</v>
      </c>
      <c r="C193" s="4" t="s">
        <v>512</v>
      </c>
      <c r="D193" s="445">
        <v>15409.52</v>
      </c>
      <c r="E193" s="812">
        <v>0</v>
      </c>
      <c r="F193" s="578">
        <f t="shared" si="50"/>
        <v>15409.52</v>
      </c>
      <c r="G193" s="622">
        <f t="shared" si="61"/>
        <v>0.1071</v>
      </c>
      <c r="H193" s="622">
        <f t="shared" si="62"/>
        <v>0.49090457251500325</v>
      </c>
      <c r="I193" s="578">
        <f t="shared" si="51"/>
        <v>810.16907000679521</v>
      </c>
      <c r="J193" s="106"/>
      <c r="K193" s="445">
        <v>15409.519999999999</v>
      </c>
      <c r="L193" s="622">
        <f t="shared" si="63"/>
        <v>0.1071</v>
      </c>
      <c r="M193" s="555">
        <f t="shared" si="53"/>
        <v>0.49090457251500325</v>
      </c>
      <c r="N193" s="391">
        <f t="shared" si="54"/>
        <v>810.1690700067951</v>
      </c>
      <c r="P193" s="872"/>
      <c r="R193" s="78"/>
      <c r="S193" s="78"/>
    </row>
    <row r="194" spans="1:19">
      <c r="A194" s="1109">
        <f t="shared" si="42"/>
        <v>180</v>
      </c>
      <c r="B194" s="465">
        <v>39906</v>
      </c>
      <c r="C194" s="4" t="s">
        <v>465</v>
      </c>
      <c r="D194" s="445">
        <v>1334419.4526767768</v>
      </c>
      <c r="E194" s="812">
        <v>0</v>
      </c>
      <c r="F194" s="578">
        <f t="shared" si="50"/>
        <v>1334419.4526767768</v>
      </c>
      <c r="G194" s="622">
        <f t="shared" si="61"/>
        <v>0.1071</v>
      </c>
      <c r="H194" s="622">
        <f t="shared" si="62"/>
        <v>0.49090457251500325</v>
      </c>
      <c r="I194" s="578">
        <f t="shared" si="51"/>
        <v>70158.276635100963</v>
      </c>
      <c r="J194" s="106"/>
      <c r="K194" s="445">
        <v>1620485.9431288985</v>
      </c>
      <c r="L194" s="622">
        <f t="shared" si="63"/>
        <v>0.1071</v>
      </c>
      <c r="M194" s="555">
        <f t="shared" si="53"/>
        <v>0.49090457251500325</v>
      </c>
      <c r="N194" s="391">
        <f t="shared" si="54"/>
        <v>85198.474027992052</v>
      </c>
      <c r="P194" s="872"/>
      <c r="R194" s="78"/>
      <c r="S194" s="78"/>
    </row>
    <row r="195" spans="1:19">
      <c r="A195" s="1109">
        <f t="shared" si="42"/>
        <v>181</v>
      </c>
      <c r="B195" s="465">
        <v>39907</v>
      </c>
      <c r="C195" s="4" t="s">
        <v>520</v>
      </c>
      <c r="D195" s="445">
        <v>530950.27510041348</v>
      </c>
      <c r="E195" s="812">
        <v>0</v>
      </c>
      <c r="F195" s="578">
        <f t="shared" si="50"/>
        <v>530950.27510041348</v>
      </c>
      <c r="G195" s="622">
        <f t="shared" si="61"/>
        <v>0.1071</v>
      </c>
      <c r="H195" s="622">
        <f t="shared" si="62"/>
        <v>0.49090457251500325</v>
      </c>
      <c r="I195" s="578">
        <f t="shared" si="51"/>
        <v>27915.177799045916</v>
      </c>
      <c r="J195" s="106"/>
      <c r="K195" s="445">
        <v>633630.70261512394</v>
      </c>
      <c r="L195" s="622">
        <f t="shared" si="63"/>
        <v>0.1071</v>
      </c>
      <c r="M195" s="555">
        <f t="shared" si="53"/>
        <v>0.49090457251500325</v>
      </c>
      <c r="N195" s="391">
        <f t="shared" si="54"/>
        <v>33313.691605283428</v>
      </c>
      <c r="P195" s="872"/>
      <c r="R195" s="78"/>
      <c r="S195" s="78"/>
    </row>
    <row r="196" spans="1:19">
      <c r="A196" s="1109">
        <f t="shared" si="42"/>
        <v>182</v>
      </c>
      <c r="B196" s="465">
        <v>39908</v>
      </c>
      <c r="C196" s="4" t="s">
        <v>184</v>
      </c>
      <c r="D196" s="445">
        <v>80961799.254895419</v>
      </c>
      <c r="E196" s="812">
        <v>0</v>
      </c>
      <c r="F196" s="578">
        <f t="shared" si="50"/>
        <v>80961799.254895419</v>
      </c>
      <c r="G196" s="622">
        <f t="shared" si="61"/>
        <v>0.1071</v>
      </c>
      <c r="H196" s="622">
        <f t="shared" si="62"/>
        <v>0.49090457251500325</v>
      </c>
      <c r="I196" s="578">
        <f t="shared" si="51"/>
        <v>4256637.8192452108</v>
      </c>
      <c r="J196" s="106"/>
      <c r="K196" s="445">
        <v>77561732.141543582</v>
      </c>
      <c r="L196" s="622">
        <f t="shared" si="63"/>
        <v>0.1071</v>
      </c>
      <c r="M196" s="555">
        <f t="shared" si="53"/>
        <v>0.49090457251500325</v>
      </c>
      <c r="N196" s="391">
        <f t="shared" si="54"/>
        <v>4077876.2996660839</v>
      </c>
      <c r="P196" s="872"/>
      <c r="R196" s="78"/>
      <c r="S196" s="78"/>
    </row>
    <row r="197" spans="1:19">
      <c r="A197" s="1109">
        <f t="shared" si="42"/>
        <v>183</v>
      </c>
      <c r="B197" s="465">
        <v>39909</v>
      </c>
      <c r="C197" s="4" t="s">
        <v>352</v>
      </c>
      <c r="D197" s="445">
        <v>1098665.8199999996</v>
      </c>
      <c r="E197" s="812">
        <v>0</v>
      </c>
      <c r="F197" s="578">
        <f t="shared" si="50"/>
        <v>1098665.8199999996</v>
      </c>
      <c r="G197" s="622">
        <f t="shared" si="61"/>
        <v>0.1071</v>
      </c>
      <c r="H197" s="622">
        <f t="shared" si="62"/>
        <v>0.49090457251500325</v>
      </c>
      <c r="I197" s="578">
        <f t="shared" si="51"/>
        <v>57763.322000792541</v>
      </c>
      <c r="J197" s="106"/>
      <c r="K197" s="445">
        <v>1109180.6015384616</v>
      </c>
      <c r="L197" s="622">
        <f t="shared" si="63"/>
        <v>0.1071</v>
      </c>
      <c r="M197" s="555">
        <f t="shared" si="53"/>
        <v>0.49090457251500325</v>
      </c>
      <c r="N197" s="391">
        <f t="shared" si="54"/>
        <v>58316.14589020249</v>
      </c>
      <c r="P197" s="872"/>
      <c r="R197" s="78"/>
      <c r="S197" s="78"/>
    </row>
    <row r="198" spans="1:19">
      <c r="A198" s="1109">
        <f t="shared" si="42"/>
        <v>184</v>
      </c>
      <c r="B198" s="1058">
        <v>39924</v>
      </c>
      <c r="C198" s="4" t="s">
        <v>1456</v>
      </c>
      <c r="D198" s="445">
        <v>0</v>
      </c>
      <c r="E198" s="812"/>
      <c r="F198" s="578"/>
      <c r="G198" s="622"/>
      <c r="H198" s="622"/>
      <c r="I198" s="578"/>
      <c r="J198" s="106"/>
      <c r="K198" s="445">
        <v>6.1538461538461538E-3</v>
      </c>
      <c r="L198" s="622"/>
      <c r="M198" s="555"/>
      <c r="N198" s="391"/>
      <c r="P198" s="872"/>
      <c r="R198" s="78"/>
      <c r="S198" s="78"/>
    </row>
    <row r="199" spans="1:19">
      <c r="A199" s="1109">
        <f t="shared" si="42"/>
        <v>185</v>
      </c>
      <c r="B199" s="465"/>
      <c r="C199" s="4" t="s">
        <v>1164</v>
      </c>
      <c r="D199" s="445">
        <v>0</v>
      </c>
      <c r="E199" s="1143">
        <v>0</v>
      </c>
      <c r="F199" s="493">
        <f t="shared" si="50"/>
        <v>0</v>
      </c>
      <c r="G199" s="622">
        <f t="shared" si="61"/>
        <v>0.1071</v>
      </c>
      <c r="H199" s="622">
        <f t="shared" si="62"/>
        <v>0.49090457251500325</v>
      </c>
      <c r="I199" s="1141">
        <f t="shared" si="51"/>
        <v>0</v>
      </c>
      <c r="J199" s="106"/>
      <c r="K199" s="445">
        <v>-0.71230769230769231</v>
      </c>
      <c r="L199" s="622">
        <f>L197</f>
        <v>0.1071</v>
      </c>
      <c r="M199" s="554">
        <f t="shared" si="53"/>
        <v>0.49090457251500325</v>
      </c>
      <c r="N199" s="392">
        <f t="shared" si="54"/>
        <v>-3.7450203551804957E-2</v>
      </c>
      <c r="P199" s="872"/>
      <c r="R199" s="78"/>
      <c r="S199" s="78"/>
    </row>
    <row r="200" spans="1:19">
      <c r="A200" s="1109">
        <f t="shared" si="42"/>
        <v>186</v>
      </c>
      <c r="B200" s="507"/>
      <c r="C200" s="4"/>
      <c r="D200" s="809"/>
      <c r="E200" s="809"/>
      <c r="F200" s="809"/>
      <c r="G200" s="1128"/>
      <c r="H200" s="1128"/>
      <c r="I200" s="106"/>
      <c r="J200" s="106"/>
      <c r="K200" s="106"/>
      <c r="L200" s="239"/>
    </row>
    <row r="201" spans="1:19" ht="15.75" thickBot="1">
      <c r="A201" s="1109">
        <f t="shared" si="42"/>
        <v>187</v>
      </c>
      <c r="B201" s="507"/>
      <c r="C201" s="245" t="s">
        <v>1369</v>
      </c>
      <c r="D201" s="623">
        <f>SUM(D175:D199)</f>
        <v>121390317.32203481</v>
      </c>
      <c r="E201" s="623">
        <f>SUM(E175:E199)</f>
        <v>0</v>
      </c>
      <c r="F201" s="623">
        <f>SUM(F175:F199)</f>
        <v>121390317.32203481</v>
      </c>
      <c r="G201" s="1128"/>
      <c r="H201" s="1128"/>
      <c r="I201" s="623">
        <f>SUM(I175:I199)</f>
        <v>6230715.6322487267</v>
      </c>
      <c r="J201" s="106"/>
      <c r="K201" s="623">
        <f>SUM(K175:K199)</f>
        <v>118886427.9162121</v>
      </c>
      <c r="L201" s="239"/>
      <c r="N201" s="623">
        <f>SUM(N175:N199)</f>
        <v>6053405.3084992077</v>
      </c>
      <c r="P201" s="1055"/>
      <c r="Q201" s="1055"/>
    </row>
    <row r="202" spans="1:19" ht="15.75" thickTop="1">
      <c r="A202" s="1109">
        <f t="shared" si="42"/>
        <v>188</v>
      </c>
      <c r="B202" s="403"/>
      <c r="D202" s="578"/>
      <c r="E202" s="106"/>
      <c r="F202" s="106"/>
      <c r="G202" s="1128"/>
      <c r="H202" s="1128"/>
      <c r="I202" s="106"/>
      <c r="J202" s="106"/>
      <c r="K202" s="106"/>
      <c r="L202" s="239"/>
    </row>
    <row r="203" spans="1:19" ht="15.75">
      <c r="A203" s="1109">
        <f t="shared" si="42"/>
        <v>189</v>
      </c>
      <c r="B203" s="416" t="s">
        <v>9</v>
      </c>
      <c r="D203" s="578"/>
      <c r="E203" s="106"/>
      <c r="F203" s="106"/>
      <c r="G203" s="1128"/>
      <c r="H203" s="1128"/>
      <c r="I203" s="106"/>
      <c r="J203" s="106"/>
      <c r="K203" s="106"/>
      <c r="L203" s="239"/>
    </row>
    <row r="204" spans="1:19">
      <c r="A204" s="1109">
        <f t="shared" si="42"/>
        <v>190</v>
      </c>
      <c r="B204" s="403"/>
      <c r="D204" s="578"/>
      <c r="E204" s="106"/>
      <c r="F204" s="106"/>
      <c r="G204" s="1128"/>
      <c r="H204" s="1128"/>
      <c r="I204" s="106"/>
      <c r="J204" s="106"/>
      <c r="K204" s="106"/>
      <c r="L204" s="239"/>
    </row>
    <row r="205" spans="1:19">
      <c r="A205" s="1109">
        <f t="shared" si="42"/>
        <v>191</v>
      </c>
      <c r="B205" s="507"/>
      <c r="C205" s="810" t="s">
        <v>309</v>
      </c>
      <c r="D205" s="578"/>
      <c r="E205" s="106"/>
      <c r="F205" s="106"/>
      <c r="G205" s="1128"/>
      <c r="H205" s="1128"/>
      <c r="I205" s="106"/>
      <c r="J205" s="106"/>
      <c r="K205" s="106"/>
      <c r="L205" s="239"/>
    </row>
    <row r="206" spans="1:19">
      <c r="A206" s="1109">
        <f t="shared" si="42"/>
        <v>192</v>
      </c>
      <c r="B206" s="682">
        <v>38900</v>
      </c>
      <c r="C206" s="115" t="s">
        <v>300</v>
      </c>
      <c r="D206" s="445">
        <v>0</v>
      </c>
      <c r="E206" s="445">
        <v>0</v>
      </c>
      <c r="F206" s="445">
        <f t="shared" ref="F206:F226" si="68">D206+E206</f>
        <v>0</v>
      </c>
      <c r="G206" s="622">
        <f>Allocation!$G$15</f>
        <v>0.1086</v>
      </c>
      <c r="H206" s="622">
        <f>Allocation!$H$15</f>
        <v>0.52599015110063552</v>
      </c>
      <c r="I206" s="445">
        <f t="shared" ref="I206:I226" si="69">F206*G206*H206</f>
        <v>0</v>
      </c>
      <c r="J206" s="106"/>
      <c r="K206" s="445">
        <v>0</v>
      </c>
      <c r="L206" s="622">
        <f t="shared" ref="L206:L226" si="70">G206</f>
        <v>0.1086</v>
      </c>
      <c r="M206" s="555">
        <f t="shared" ref="M206:M226" si="71">H206</f>
        <v>0.52599015110063552</v>
      </c>
      <c r="N206" s="382">
        <f t="shared" ref="N206:N226" si="72">K206*L206*M206</f>
        <v>0</v>
      </c>
      <c r="P206" s="872"/>
      <c r="R206" s="78"/>
      <c r="S206" s="78"/>
    </row>
    <row r="207" spans="1:19">
      <c r="A207" s="1109">
        <f t="shared" si="42"/>
        <v>193</v>
      </c>
      <c r="B207" s="682">
        <v>38910</v>
      </c>
      <c r="C207" s="115" t="s">
        <v>1220</v>
      </c>
      <c r="D207" s="445">
        <v>0</v>
      </c>
      <c r="E207" s="578">
        <v>0</v>
      </c>
      <c r="F207" s="578">
        <f t="shared" si="68"/>
        <v>0</v>
      </c>
      <c r="G207" s="622">
        <v>1</v>
      </c>
      <c r="H207" s="622">
        <f>Allocation!$I$21</f>
        <v>1.083947E-2</v>
      </c>
      <c r="I207" s="578">
        <f t="shared" si="69"/>
        <v>0</v>
      </c>
      <c r="J207" s="106"/>
      <c r="K207" s="445">
        <v>0</v>
      </c>
      <c r="L207" s="622">
        <f t="shared" si="70"/>
        <v>1</v>
      </c>
      <c r="M207" s="555">
        <f t="shared" si="71"/>
        <v>1.083947E-2</v>
      </c>
      <c r="N207" s="391">
        <f t="shared" si="72"/>
        <v>0</v>
      </c>
      <c r="P207" s="872"/>
      <c r="R207" s="78"/>
      <c r="S207" s="78"/>
    </row>
    <row r="208" spans="1:19">
      <c r="A208" s="1109">
        <f t="shared" si="42"/>
        <v>194</v>
      </c>
      <c r="B208" s="682">
        <v>39000</v>
      </c>
      <c r="C208" s="115" t="s">
        <v>874</v>
      </c>
      <c r="D208" s="445">
        <v>3333416.2322448809</v>
      </c>
      <c r="E208" s="578">
        <v>0</v>
      </c>
      <c r="F208" s="578">
        <f t="shared" si="68"/>
        <v>3333416.2322448809</v>
      </c>
      <c r="G208" s="622">
        <f>$G$206</f>
        <v>0.1086</v>
      </c>
      <c r="H208" s="622">
        <f>$H$206</f>
        <v>0.52599015110063552</v>
      </c>
      <c r="I208" s="578">
        <f t="shared" si="69"/>
        <v>190413.17009402585</v>
      </c>
      <c r="J208" s="106"/>
      <c r="K208" s="445">
        <v>3122743.4456063802</v>
      </c>
      <c r="L208" s="622">
        <f t="shared" si="70"/>
        <v>0.1086</v>
      </c>
      <c r="M208" s="555">
        <f t="shared" si="71"/>
        <v>0.52599015110063552</v>
      </c>
      <c r="N208" s="391">
        <f t="shared" si="72"/>
        <v>178379.00743280788</v>
      </c>
      <c r="P208" s="872"/>
      <c r="R208" s="78"/>
      <c r="S208" s="78"/>
    </row>
    <row r="209" spans="1:19">
      <c r="A209" s="1109">
        <f t="shared" si="42"/>
        <v>195</v>
      </c>
      <c r="B209" s="682">
        <v>39009</v>
      </c>
      <c r="C209" s="115" t="s">
        <v>1056</v>
      </c>
      <c r="D209" s="445">
        <v>3701257.4268990001</v>
      </c>
      <c r="E209" s="578">
        <v>0</v>
      </c>
      <c r="F209" s="578">
        <f t="shared" si="68"/>
        <v>3701257.4268990001</v>
      </c>
      <c r="G209" s="622">
        <f>$G$206</f>
        <v>0.1086</v>
      </c>
      <c r="H209" s="622">
        <f>$H$206</f>
        <v>0.52599015110063552</v>
      </c>
      <c r="I209" s="578">
        <f t="shared" si="69"/>
        <v>211425.18992153328</v>
      </c>
      <c r="J209" s="106"/>
      <c r="K209" s="445">
        <v>3614586.0891651157</v>
      </c>
      <c r="L209" s="622">
        <f t="shared" si="70"/>
        <v>0.1086</v>
      </c>
      <c r="M209" s="555">
        <f t="shared" si="71"/>
        <v>0.52599015110063552</v>
      </c>
      <c r="N209" s="391">
        <f t="shared" si="72"/>
        <v>206474.30379619487</v>
      </c>
      <c r="P209" s="872"/>
      <c r="R209" s="78"/>
      <c r="S209" s="78"/>
    </row>
    <row r="210" spans="1:19">
      <c r="A210" s="1109">
        <f t="shared" ref="A210:A230" si="73">A209+1</f>
        <v>196</v>
      </c>
      <c r="B210" s="682">
        <v>39010</v>
      </c>
      <c r="C210" s="115" t="s">
        <v>1221</v>
      </c>
      <c r="D210" s="445">
        <v>3156390.1220569997</v>
      </c>
      <c r="E210" s="578">
        <v>0</v>
      </c>
      <c r="F210" s="578">
        <f t="shared" ref="F210" si="74">D210+E210</f>
        <v>3156390.1220569997</v>
      </c>
      <c r="G210" s="622">
        <v>1</v>
      </c>
      <c r="H210" s="622">
        <f>$H$207</f>
        <v>1.083947E-2</v>
      </c>
      <c r="I210" s="578">
        <f t="shared" ref="I210" si="75">F210*G210*H210</f>
        <v>34213.596036333191</v>
      </c>
      <c r="J210" s="106"/>
      <c r="K210" s="445">
        <v>2982588.1793999616</v>
      </c>
      <c r="L210" s="622">
        <f t="shared" ref="L210" si="76">G210</f>
        <v>1</v>
      </c>
      <c r="M210" s="555">
        <f t="shared" ref="M210" si="77">H210</f>
        <v>1.083947E-2</v>
      </c>
      <c r="N210" s="391">
        <f t="shared" ref="N210" si="78">K210*L210*M210</f>
        <v>32329.675092960504</v>
      </c>
      <c r="P210" s="872"/>
      <c r="R210" s="78"/>
      <c r="S210" s="78"/>
    </row>
    <row r="211" spans="1:19">
      <c r="A211" s="1109">
        <f t="shared" si="73"/>
        <v>197</v>
      </c>
      <c r="B211" s="682">
        <v>39100</v>
      </c>
      <c r="C211" s="115" t="s">
        <v>796</v>
      </c>
      <c r="D211" s="445">
        <v>377973.40320571238</v>
      </c>
      <c r="E211" s="578">
        <v>0</v>
      </c>
      <c r="F211" s="578">
        <f t="shared" si="68"/>
        <v>377973.40320571238</v>
      </c>
      <c r="G211" s="622">
        <f>$G$206</f>
        <v>0.1086</v>
      </c>
      <c r="H211" s="622">
        <f>$H$206</f>
        <v>0.52599015110063552</v>
      </c>
      <c r="I211" s="578">
        <f t="shared" si="69"/>
        <v>21590.797218611478</v>
      </c>
      <c r="J211" s="106"/>
      <c r="K211" s="445">
        <v>331357.96869666525</v>
      </c>
      <c r="L211" s="622">
        <f t="shared" si="70"/>
        <v>0.1086</v>
      </c>
      <c r="M211" s="555">
        <f t="shared" si="71"/>
        <v>0.52599015110063552</v>
      </c>
      <c r="N211" s="391">
        <f t="shared" si="72"/>
        <v>18928.005643315028</v>
      </c>
      <c r="P211" s="872"/>
      <c r="R211" s="78"/>
      <c r="S211" s="78"/>
    </row>
    <row r="212" spans="1:19">
      <c r="A212" s="1109">
        <f t="shared" si="73"/>
        <v>198</v>
      </c>
      <c r="B212" s="682">
        <v>39103</v>
      </c>
      <c r="C212" s="115" t="s">
        <v>1367</v>
      </c>
      <c r="D212" s="445">
        <v>176.23000000000002</v>
      </c>
      <c r="E212" s="578">
        <v>0</v>
      </c>
      <c r="F212" s="578">
        <f t="shared" ref="F212" si="79">D212+E212</f>
        <v>176.23000000000002</v>
      </c>
      <c r="G212" s="622">
        <f>$G$206</f>
        <v>0.1086</v>
      </c>
      <c r="H212" s="622">
        <f>$H$206</f>
        <v>0.52599015110063552</v>
      </c>
      <c r="I212" s="578">
        <f t="shared" ref="I212" si="80">F212*G212*H212</f>
        <v>10.0667035340713</v>
      </c>
      <c r="J212" s="106"/>
      <c r="K212" s="445">
        <v>177.2746153846154</v>
      </c>
      <c r="L212" s="622">
        <f t="shared" ref="L212" si="81">G212</f>
        <v>0.1086</v>
      </c>
      <c r="M212" s="555">
        <f t="shared" ref="M212" si="82">H212</f>
        <v>0.52599015110063552</v>
      </c>
      <c r="N212" s="391">
        <f t="shared" ref="N212" si="83">K212*L212*M212</f>
        <v>10.126374608145253</v>
      </c>
      <c r="P212" s="872"/>
      <c r="R212" s="78"/>
      <c r="S212" s="78"/>
    </row>
    <row r="213" spans="1:19">
      <c r="A213" s="1109">
        <f t="shared" si="73"/>
        <v>199</v>
      </c>
      <c r="B213" s="465">
        <v>39700</v>
      </c>
      <c r="C213" s="115" t="s">
        <v>454</v>
      </c>
      <c r="D213" s="445">
        <v>-6053083.3907629978</v>
      </c>
      <c r="E213" s="578">
        <v>0</v>
      </c>
      <c r="F213" s="578">
        <f t="shared" si="68"/>
        <v>-6053083.3907629978</v>
      </c>
      <c r="G213" s="622">
        <f>$G$206</f>
        <v>0.1086</v>
      </c>
      <c r="H213" s="622">
        <f>$H$206</f>
        <v>0.52599015110063552</v>
      </c>
      <c r="I213" s="578">
        <f t="shared" si="69"/>
        <v>-345767.44006027433</v>
      </c>
      <c r="J213" s="106"/>
      <c r="K213" s="445">
        <v>-6107431.6217438839</v>
      </c>
      <c r="L213" s="622">
        <f t="shared" si="70"/>
        <v>0.1086</v>
      </c>
      <c r="M213" s="555">
        <f t="shared" si="71"/>
        <v>0.52599015110063552</v>
      </c>
      <c r="N213" s="391">
        <f t="shared" si="72"/>
        <v>-348871.94853718416</v>
      </c>
      <c r="P213" s="872"/>
      <c r="R213" s="78"/>
      <c r="S213" s="78"/>
    </row>
    <row r="214" spans="1:19">
      <c r="A214" s="1109">
        <f t="shared" si="73"/>
        <v>200</v>
      </c>
      <c r="B214" s="465">
        <v>39710</v>
      </c>
      <c r="C214" s="115" t="s">
        <v>1222</v>
      </c>
      <c r="D214" s="445">
        <v>99817.197793999978</v>
      </c>
      <c r="E214" s="578">
        <v>0</v>
      </c>
      <c r="F214" s="578">
        <f t="shared" si="68"/>
        <v>99817.197793999978</v>
      </c>
      <c r="G214" s="622">
        <v>1</v>
      </c>
      <c r="H214" s="622">
        <f>$H$207</f>
        <v>1.083947E-2</v>
      </c>
      <c r="I214" s="578">
        <f t="shared" si="69"/>
        <v>1081.9655209721291</v>
      </c>
      <c r="J214" s="106"/>
      <c r="K214" s="445">
        <v>92294.379790692285</v>
      </c>
      <c r="L214" s="622">
        <f t="shared" si="70"/>
        <v>1</v>
      </c>
      <c r="M214" s="555">
        <f t="shared" si="71"/>
        <v>1.083947E-2</v>
      </c>
      <c r="N214" s="391">
        <f t="shared" si="72"/>
        <v>1000.4221609098154</v>
      </c>
      <c r="P214" s="872"/>
      <c r="R214" s="78"/>
      <c r="S214" s="78"/>
    </row>
    <row r="215" spans="1:19">
      <c r="A215" s="1109">
        <f t="shared" si="73"/>
        <v>201</v>
      </c>
      <c r="B215" s="465">
        <v>39800</v>
      </c>
      <c r="C215" s="115" t="s">
        <v>666</v>
      </c>
      <c r="D215" s="445">
        <v>1745.3314147277765</v>
      </c>
      <c r="E215" s="578">
        <v>0</v>
      </c>
      <c r="F215" s="578">
        <f t="shared" si="68"/>
        <v>1745.3314147277765</v>
      </c>
      <c r="G215" s="622">
        <f t="shared" ref="G215:G222" si="84">$G$206</f>
        <v>0.1086</v>
      </c>
      <c r="H215" s="622">
        <f t="shared" ref="H215:H222" si="85">$H$206</f>
        <v>0.52599015110063552</v>
      </c>
      <c r="I215" s="578">
        <f t="shared" si="69"/>
        <v>99.697746812493719</v>
      </c>
      <c r="J215" s="106"/>
      <c r="K215" s="445">
        <v>1380.6648678124195</v>
      </c>
      <c r="L215" s="622">
        <f t="shared" si="70"/>
        <v>0.1086</v>
      </c>
      <c r="M215" s="555">
        <f t="shared" si="71"/>
        <v>0.52599015110063552</v>
      </c>
      <c r="N215" s="391">
        <f t="shared" si="72"/>
        <v>78.867070896983307</v>
      </c>
      <c r="P215" s="872"/>
      <c r="R215" s="78"/>
      <c r="S215" s="78"/>
    </row>
    <row r="216" spans="1:19">
      <c r="A216" s="1109">
        <f t="shared" si="73"/>
        <v>202</v>
      </c>
      <c r="B216" s="465">
        <v>39900</v>
      </c>
      <c r="C216" s="115" t="s">
        <v>1173</v>
      </c>
      <c r="D216" s="445">
        <v>245634.72903199992</v>
      </c>
      <c r="E216" s="578">
        <v>0</v>
      </c>
      <c r="F216" s="578">
        <f t="shared" si="68"/>
        <v>245634.72903199992</v>
      </c>
      <c r="G216" s="622">
        <f t="shared" si="84"/>
        <v>0.1086</v>
      </c>
      <c r="H216" s="622">
        <f t="shared" si="85"/>
        <v>0.52599015110063552</v>
      </c>
      <c r="I216" s="578">
        <f t="shared" si="69"/>
        <v>14031.277278766835</v>
      </c>
      <c r="J216" s="106"/>
      <c r="K216" s="445">
        <v>202110.47435476913</v>
      </c>
      <c r="L216" s="622">
        <f t="shared" si="70"/>
        <v>0.1086</v>
      </c>
      <c r="M216" s="555">
        <f t="shared" si="71"/>
        <v>0.52599015110063552</v>
      </c>
      <c r="N216" s="391">
        <f t="shared" si="72"/>
        <v>11545.061717414634</v>
      </c>
      <c r="P216" s="872"/>
      <c r="R216" s="78"/>
      <c r="S216" s="78"/>
    </row>
    <row r="217" spans="1:19">
      <c r="A217" s="1109">
        <f t="shared" si="73"/>
        <v>203</v>
      </c>
      <c r="B217" s="465">
        <v>39901</v>
      </c>
      <c r="C217" s="115" t="s">
        <v>489</v>
      </c>
      <c r="D217" s="445">
        <v>3247276.523088837</v>
      </c>
      <c r="E217" s="578">
        <v>0</v>
      </c>
      <c r="F217" s="578">
        <f t="shared" si="68"/>
        <v>3247276.523088837</v>
      </c>
      <c r="G217" s="622">
        <f t="shared" si="84"/>
        <v>0.1086</v>
      </c>
      <c r="H217" s="622">
        <f t="shared" si="85"/>
        <v>0.52599015110063552</v>
      </c>
      <c r="I217" s="578">
        <f t="shared" si="69"/>
        <v>185492.65193829176</v>
      </c>
      <c r="J217" s="106"/>
      <c r="K217" s="445">
        <v>2900495.5391283119</v>
      </c>
      <c r="L217" s="622">
        <f t="shared" si="70"/>
        <v>0.1086</v>
      </c>
      <c r="M217" s="555">
        <f t="shared" si="71"/>
        <v>0.52599015110063552</v>
      </c>
      <c r="N217" s="391">
        <f t="shared" si="72"/>
        <v>165683.64463656026</v>
      </c>
      <c r="P217" s="872"/>
      <c r="R217" s="78"/>
      <c r="S217" s="78"/>
    </row>
    <row r="218" spans="1:19">
      <c r="A218" s="1109">
        <f t="shared" si="73"/>
        <v>204</v>
      </c>
      <c r="B218" s="465">
        <v>39902</v>
      </c>
      <c r="C218" s="115" t="s">
        <v>979</v>
      </c>
      <c r="D218" s="445">
        <v>949412.37050597917</v>
      </c>
      <c r="E218" s="578">
        <v>0</v>
      </c>
      <c r="F218" s="578">
        <f t="shared" si="68"/>
        <v>949412.37050597917</v>
      </c>
      <c r="G218" s="622">
        <f t="shared" si="84"/>
        <v>0.1086</v>
      </c>
      <c r="H218" s="622">
        <f t="shared" si="85"/>
        <v>0.52599015110063552</v>
      </c>
      <c r="I218" s="578">
        <f t="shared" si="69"/>
        <v>54232.837005410831</v>
      </c>
      <c r="J218" s="106"/>
      <c r="K218" s="445">
        <v>870055.90197105356</v>
      </c>
      <c r="L218" s="622">
        <f t="shared" si="70"/>
        <v>0.1086</v>
      </c>
      <c r="M218" s="555">
        <f t="shared" si="71"/>
        <v>0.52599015110063552</v>
      </c>
      <c r="N218" s="391">
        <f t="shared" si="72"/>
        <v>49699.794718331701</v>
      </c>
      <c r="P218" s="872"/>
      <c r="R218" s="78"/>
      <c r="S218" s="78"/>
    </row>
    <row r="219" spans="1:19">
      <c r="A219" s="1109">
        <f t="shared" si="73"/>
        <v>205</v>
      </c>
      <c r="B219" s="465">
        <v>39903</v>
      </c>
      <c r="C219" s="115" t="s">
        <v>1022</v>
      </c>
      <c r="D219" s="445">
        <v>82572.342633080611</v>
      </c>
      <c r="E219" s="578">
        <v>0</v>
      </c>
      <c r="F219" s="578">
        <f t="shared" si="68"/>
        <v>82572.342633080611</v>
      </c>
      <c r="G219" s="622">
        <f t="shared" si="84"/>
        <v>0.1086</v>
      </c>
      <c r="H219" s="622">
        <f t="shared" si="85"/>
        <v>0.52599015110063552</v>
      </c>
      <c r="I219" s="578">
        <f t="shared" si="69"/>
        <v>4716.7411530441959</v>
      </c>
      <c r="J219" s="106"/>
      <c r="K219" s="445">
        <v>58474.821397195323</v>
      </c>
      <c r="L219" s="622">
        <f t="shared" si="70"/>
        <v>0.1086</v>
      </c>
      <c r="M219" s="555">
        <f t="shared" si="71"/>
        <v>0.52599015110063552</v>
      </c>
      <c r="N219" s="391">
        <f t="shared" si="72"/>
        <v>3340.2297634530678</v>
      </c>
      <c r="P219" s="872"/>
      <c r="R219" s="78"/>
      <c r="S219" s="78"/>
    </row>
    <row r="220" spans="1:19">
      <c r="A220" s="1109">
        <f t="shared" si="73"/>
        <v>206</v>
      </c>
      <c r="B220" s="465">
        <v>39906</v>
      </c>
      <c r="C220" s="115" t="s">
        <v>465</v>
      </c>
      <c r="D220" s="445">
        <v>-108920.08236006697</v>
      </c>
      <c r="E220" s="578">
        <v>0</v>
      </c>
      <c r="F220" s="578">
        <f t="shared" si="68"/>
        <v>-108920.08236006697</v>
      </c>
      <c r="G220" s="622">
        <f t="shared" si="84"/>
        <v>0.1086</v>
      </c>
      <c r="H220" s="622">
        <f t="shared" si="85"/>
        <v>0.52599015110063552</v>
      </c>
      <c r="I220" s="578">
        <f t="shared" si="69"/>
        <v>-6221.7907168213305</v>
      </c>
      <c r="J220" s="106"/>
      <c r="K220" s="445">
        <v>-97098.118749693997</v>
      </c>
      <c r="L220" s="622">
        <f t="shared" si="70"/>
        <v>0.1086</v>
      </c>
      <c r="M220" s="555">
        <f t="shared" si="71"/>
        <v>0.52599015110063552</v>
      </c>
      <c r="N220" s="391">
        <f t="shared" si="72"/>
        <v>-5546.4902409874549</v>
      </c>
      <c r="P220" s="872"/>
      <c r="R220" s="78"/>
      <c r="S220" s="78"/>
    </row>
    <row r="221" spans="1:19">
      <c r="A221" s="1109">
        <f t="shared" si="73"/>
        <v>207</v>
      </c>
      <c r="B221" s="465">
        <v>39907</v>
      </c>
      <c r="C221" s="115" t="s">
        <v>520</v>
      </c>
      <c r="D221" s="445">
        <v>-14578.540548000008</v>
      </c>
      <c r="E221" s="578">
        <v>0</v>
      </c>
      <c r="F221" s="578">
        <f t="shared" si="68"/>
        <v>-14578.540548000008</v>
      </c>
      <c r="G221" s="622">
        <f t="shared" si="84"/>
        <v>0.1086</v>
      </c>
      <c r="H221" s="622">
        <f t="shared" si="85"/>
        <v>0.52599015110063552</v>
      </c>
      <c r="I221" s="578">
        <f t="shared" si="69"/>
        <v>-832.76312577968224</v>
      </c>
      <c r="J221" s="106"/>
      <c r="K221" s="445">
        <v>95723.769467846156</v>
      </c>
      <c r="L221" s="622">
        <f t="shared" si="70"/>
        <v>0.1086</v>
      </c>
      <c r="M221" s="555">
        <f t="shared" si="71"/>
        <v>0.52599015110063552</v>
      </c>
      <c r="N221" s="391">
        <f t="shared" si="72"/>
        <v>5467.9839323417873</v>
      </c>
      <c r="P221" s="872"/>
      <c r="R221" s="78"/>
      <c r="S221" s="78"/>
    </row>
    <row r="222" spans="1:19">
      <c r="A222" s="1109">
        <f t="shared" si="73"/>
        <v>208</v>
      </c>
      <c r="B222" s="465">
        <v>39908</v>
      </c>
      <c r="C222" s="115" t="s">
        <v>184</v>
      </c>
      <c r="D222" s="445">
        <v>44598601.490012631</v>
      </c>
      <c r="E222" s="578">
        <v>0</v>
      </c>
      <c r="F222" s="578">
        <f t="shared" si="68"/>
        <v>44598601.490012631</v>
      </c>
      <c r="G222" s="622">
        <f t="shared" si="84"/>
        <v>0.1086</v>
      </c>
      <c r="H222" s="622">
        <f t="shared" si="85"/>
        <v>0.52599015110063552</v>
      </c>
      <c r="I222" s="578">
        <f t="shared" si="69"/>
        <v>2547584.969835713</v>
      </c>
      <c r="J222" s="106"/>
      <c r="K222" s="445">
        <v>42625456.907434508</v>
      </c>
      <c r="L222" s="622">
        <f t="shared" si="70"/>
        <v>0.1086</v>
      </c>
      <c r="M222" s="555">
        <f t="shared" si="71"/>
        <v>0.52599015110063552</v>
      </c>
      <c r="N222" s="391">
        <f t="shared" si="72"/>
        <v>2434873.9584149965</v>
      </c>
      <c r="P222" s="872"/>
      <c r="R222" s="78"/>
      <c r="S222" s="78"/>
    </row>
    <row r="223" spans="1:19">
      <c r="A223" s="1109">
        <f t="shared" si="73"/>
        <v>209</v>
      </c>
      <c r="B223" s="465">
        <v>39910</v>
      </c>
      <c r="C223" s="115" t="s">
        <v>1223</v>
      </c>
      <c r="D223" s="445">
        <v>52981.628231999974</v>
      </c>
      <c r="E223" s="578">
        <v>0</v>
      </c>
      <c r="F223" s="578">
        <f t="shared" si="68"/>
        <v>52981.628231999974</v>
      </c>
      <c r="G223" s="622">
        <v>1</v>
      </c>
      <c r="H223" s="622">
        <f>$H$207</f>
        <v>1.083947E-2</v>
      </c>
      <c r="I223" s="578">
        <f t="shared" si="69"/>
        <v>574.29276977191682</v>
      </c>
      <c r="J223" s="106"/>
      <c r="K223" s="445">
        <v>46616.541062461518</v>
      </c>
      <c r="L223" s="622">
        <f t="shared" si="70"/>
        <v>1</v>
      </c>
      <c r="M223" s="555">
        <f t="shared" si="71"/>
        <v>1.083947E-2</v>
      </c>
      <c r="N223" s="391">
        <f t="shared" si="72"/>
        <v>505.29859835031976</v>
      </c>
      <c r="P223" s="872"/>
      <c r="R223" s="78"/>
      <c r="S223" s="78"/>
    </row>
    <row r="224" spans="1:19">
      <c r="A224" s="1109">
        <f t="shared" si="73"/>
        <v>210</v>
      </c>
      <c r="B224" s="465">
        <v>39916</v>
      </c>
      <c r="C224" s="115" t="s">
        <v>1224</v>
      </c>
      <c r="D224" s="445">
        <v>123450.49649900006</v>
      </c>
      <c r="E224" s="578">
        <v>0</v>
      </c>
      <c r="F224" s="578">
        <f t="shared" ref="F224:F225" si="86">D224+E224</f>
        <v>123450.49649900006</v>
      </c>
      <c r="G224" s="622">
        <v>1</v>
      </c>
      <c r="H224" s="622">
        <f>$H$207</f>
        <v>1.083947E-2</v>
      </c>
      <c r="I224" s="578">
        <f t="shared" ref="I224:I225" si="87">F224*G224*H224</f>
        <v>1338.1379532860162</v>
      </c>
      <c r="J224" s="106"/>
      <c r="K224" s="445">
        <v>114933.26213434618</v>
      </c>
      <c r="L224" s="622">
        <f t="shared" ref="L224:L225" si="88">G224</f>
        <v>1</v>
      </c>
      <c r="M224" s="555">
        <f t="shared" ref="M224:M225" si="89">H224</f>
        <v>1.083947E-2</v>
      </c>
      <c r="N224" s="391">
        <f t="shared" ref="N224:N225" si="90">K224*L224*M224</f>
        <v>1245.8156469073815</v>
      </c>
      <c r="P224" s="872"/>
      <c r="R224" s="78"/>
      <c r="S224" s="78"/>
    </row>
    <row r="225" spans="1:19">
      <c r="A225" s="1109">
        <f t="shared" si="73"/>
        <v>211</v>
      </c>
      <c r="B225" s="465">
        <v>39917</v>
      </c>
      <c r="C225" s="115" t="s">
        <v>1225</v>
      </c>
      <c r="D225" s="445">
        <v>38155.826591999998</v>
      </c>
      <c r="E225" s="578">
        <v>0</v>
      </c>
      <c r="F225" s="578">
        <f t="shared" si="86"/>
        <v>38155.826591999998</v>
      </c>
      <c r="G225" s="622">
        <v>1</v>
      </c>
      <c r="H225" s="622">
        <f>$H$207</f>
        <v>1.083947E-2</v>
      </c>
      <c r="I225" s="578">
        <f t="shared" si="87"/>
        <v>413.58893766918624</v>
      </c>
      <c r="J225" s="106"/>
      <c r="K225" s="445">
        <v>35151.06100553846</v>
      </c>
      <c r="L225" s="622">
        <f t="shared" si="88"/>
        <v>1</v>
      </c>
      <c r="M225" s="555">
        <f t="shared" si="89"/>
        <v>1.083947E-2</v>
      </c>
      <c r="N225" s="391">
        <f t="shared" si="90"/>
        <v>381.01887123770399</v>
      </c>
      <c r="P225" s="872"/>
      <c r="R225" s="78"/>
      <c r="S225" s="78"/>
    </row>
    <row r="226" spans="1:19">
      <c r="A226" s="1109">
        <f t="shared" si="73"/>
        <v>212</v>
      </c>
      <c r="B226" s="465"/>
      <c r="C226" s="4" t="s">
        <v>1164</v>
      </c>
      <c r="D226" s="445">
        <v>0</v>
      </c>
      <c r="E226" s="493">
        <v>0</v>
      </c>
      <c r="F226" s="578">
        <f t="shared" si="68"/>
        <v>0</v>
      </c>
      <c r="G226" s="622">
        <f>$G$206</f>
        <v>0.1086</v>
      </c>
      <c r="H226" s="622">
        <f>$H$206</f>
        <v>0.52599015110063552</v>
      </c>
      <c r="I226" s="1141">
        <f t="shared" si="69"/>
        <v>0</v>
      </c>
      <c r="J226" s="106"/>
      <c r="K226" s="445">
        <v>0</v>
      </c>
      <c r="L226" s="622">
        <f t="shared" si="70"/>
        <v>0.1086</v>
      </c>
      <c r="M226" s="555">
        <f t="shared" si="71"/>
        <v>0.52599015110063552</v>
      </c>
      <c r="N226" s="392">
        <f t="shared" si="72"/>
        <v>0</v>
      </c>
      <c r="P226" s="872"/>
      <c r="R226" s="78"/>
      <c r="S226" s="78"/>
    </row>
    <row r="227" spans="1:19">
      <c r="A227" s="1109">
        <f t="shared" si="73"/>
        <v>213</v>
      </c>
      <c r="B227" s="1"/>
      <c r="C227" s="4"/>
      <c r="D227" s="788"/>
      <c r="E227" s="786"/>
      <c r="F227" s="786"/>
      <c r="L227" s="239"/>
    </row>
    <row r="228" spans="1:19" ht="15.75" thickBot="1">
      <c r="A228" s="1109">
        <f t="shared" si="73"/>
        <v>214</v>
      </c>
      <c r="B228" s="1"/>
      <c r="C228" s="245" t="s">
        <v>1370</v>
      </c>
      <c r="D228" s="426">
        <f>SUM(D206:D227)</f>
        <v>53832279.336539783</v>
      </c>
      <c r="E228" s="426">
        <f>SUM(E206:E227)</f>
        <v>0</v>
      </c>
      <c r="F228" s="426">
        <f>SUM(F206:F227)</f>
        <v>53832279.336539783</v>
      </c>
      <c r="I228" s="426">
        <f>SUM(I206:I227)</f>
        <v>2914396.9862109008</v>
      </c>
      <c r="K228" s="426">
        <f>SUM(K206:K227)</f>
        <v>50889616.539604463</v>
      </c>
      <c r="N228" s="426">
        <f>SUM(N206:N227)</f>
        <v>2755524.7750931149</v>
      </c>
      <c r="P228" s="1055"/>
      <c r="Q228" s="1055"/>
    </row>
    <row r="229" spans="1:19" ht="15.75" thickTop="1">
      <c r="A229" s="1109">
        <f t="shared" si="73"/>
        <v>215</v>
      </c>
    </row>
    <row r="230" spans="1:19" ht="30.75" thickBot="1">
      <c r="A230" s="1109">
        <f t="shared" si="73"/>
        <v>216</v>
      </c>
      <c r="C230" s="509" t="s">
        <v>1166</v>
      </c>
      <c r="D230" s="426">
        <f>D228+D201+D170+D112</f>
        <v>339710258.66502726</v>
      </c>
      <c r="E230" s="426">
        <f>E228+E201+E170+E112</f>
        <v>0</v>
      </c>
      <c r="F230" s="426">
        <f>F228+F201+F170+F112</f>
        <v>339652752.15502727</v>
      </c>
      <c r="I230" s="426">
        <f>I228+I201+I170+I112</f>
        <v>172025700.90940386</v>
      </c>
      <c r="K230" s="426">
        <f>K228+K201+K170+K112</f>
        <v>331168620.45118737</v>
      </c>
      <c r="N230" s="426">
        <f>N228+N201+N170+N112</f>
        <v>168658168.73709506</v>
      </c>
      <c r="P230" s="768"/>
    </row>
    <row r="231" spans="1:19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75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A13" sqref="A13"/>
    </sheetView>
  </sheetViews>
  <sheetFormatPr defaultRowHeight="15"/>
  <cols>
    <col min="1" max="1" width="5" customWidth="1"/>
    <col min="2" max="2" width="9.33203125" customWidth="1"/>
    <col min="3" max="3" width="33.88671875" customWidth="1"/>
    <col min="4" max="4" width="13.6640625" customWidth="1"/>
    <col min="5" max="5" width="10.33203125" customWidth="1"/>
    <col min="6" max="6" width="14.3320312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1093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6.21875" customWidth="1"/>
    <col min="16" max="17" width="12" bestFit="1" customWidth="1"/>
    <col min="18" max="18" width="1.77734375" customWidth="1"/>
    <col min="19" max="19" width="7.77734375" customWidth="1"/>
    <col min="20" max="20" width="7.109375" bestFit="1" customWidth="1"/>
  </cols>
  <sheetData>
    <row r="1" spans="1:19">
      <c r="A1" s="1253" t="str">
        <f>'Table of Contents'!A1:C1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9">
      <c r="A2" s="1253" t="str">
        <f>'Table of Contents'!A2:C2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</row>
    <row r="3" spans="1:19">
      <c r="A3" s="1253" t="s">
        <v>1138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</row>
    <row r="4" spans="1:19" ht="15.75">
      <c r="A4" s="1254" t="str">
        <f>'B.1 F '!A4</f>
        <v>as of May 31, 2017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</row>
    <row r="5" spans="1:19" ht="15.75">
      <c r="A5" s="40"/>
      <c r="B5" s="40"/>
      <c r="C5" s="40"/>
      <c r="D5" s="780"/>
      <c r="E5" s="40"/>
      <c r="F5" s="40"/>
      <c r="G5" s="77"/>
      <c r="H5" s="77"/>
      <c r="I5" s="1"/>
      <c r="J5" s="1"/>
      <c r="K5" s="40"/>
      <c r="P5" s="769"/>
    </row>
    <row r="6" spans="1:19" ht="15.75">
      <c r="A6" s="4" t="str">
        <f>'B.1 F '!A6</f>
        <v>Data:______Base Period__X___Forecasted Period</v>
      </c>
      <c r="B6" s="1"/>
      <c r="C6" s="1"/>
      <c r="D6" s="1"/>
      <c r="E6" s="769"/>
      <c r="F6" s="1"/>
      <c r="G6" s="77"/>
      <c r="K6" s="1"/>
      <c r="N6" s="233" t="s">
        <v>1513</v>
      </c>
    </row>
    <row r="7" spans="1:19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70"/>
      <c r="K7" s="1"/>
      <c r="N7" s="70" t="s">
        <v>1030</v>
      </c>
    </row>
    <row r="8" spans="1:19">
      <c r="A8" s="70" t="str">
        <f>'B.1 F '!A8</f>
        <v>Workpaper Reference No(s).</v>
      </c>
      <c r="B8" s="47"/>
      <c r="C8" s="47"/>
      <c r="D8" s="47"/>
      <c r="E8" s="47"/>
      <c r="F8" s="47"/>
      <c r="G8" s="296"/>
      <c r="H8" s="91"/>
      <c r="I8" s="70"/>
      <c r="J8" s="70"/>
      <c r="K8" s="47"/>
      <c r="L8" s="91"/>
      <c r="N8" s="70" t="str">
        <f>'B.1 B'!F8</f>
        <v>Witness:   Waller</v>
      </c>
    </row>
    <row r="9" spans="1:19">
      <c r="A9" s="503"/>
      <c r="B9" s="85"/>
      <c r="C9" s="504"/>
      <c r="D9" s="323"/>
      <c r="E9" s="85"/>
      <c r="F9" s="85"/>
      <c r="G9" s="436"/>
      <c r="H9" s="437"/>
      <c r="I9" s="427"/>
      <c r="J9" s="70"/>
      <c r="K9" s="323"/>
      <c r="L9" s="470"/>
      <c r="M9" s="470"/>
      <c r="N9" s="94"/>
    </row>
    <row r="10" spans="1:19">
      <c r="A10" s="505"/>
      <c r="B10" s="47"/>
      <c r="C10" s="506"/>
      <c r="D10" s="93"/>
      <c r="E10" s="47"/>
      <c r="F10" s="47"/>
      <c r="G10" s="296" t="s">
        <v>13</v>
      </c>
      <c r="H10" s="46" t="s">
        <v>11</v>
      </c>
      <c r="I10" s="428"/>
      <c r="J10" s="70"/>
      <c r="K10" s="93"/>
      <c r="L10" s="296" t="s">
        <v>13</v>
      </c>
      <c r="M10" s="46" t="s">
        <v>11</v>
      </c>
      <c r="N10" s="428"/>
    </row>
    <row r="11" spans="1:19" ht="15.75">
      <c r="A11" s="505" t="s">
        <v>98</v>
      </c>
      <c r="B11" s="46" t="s">
        <v>273</v>
      </c>
      <c r="C11" s="429" t="s">
        <v>221</v>
      </c>
      <c r="D11" s="948" t="s">
        <v>1372</v>
      </c>
      <c r="E11" s="46"/>
      <c r="F11" s="46" t="s">
        <v>10</v>
      </c>
      <c r="G11" s="46" t="s">
        <v>14</v>
      </c>
      <c r="H11" s="101" t="s">
        <v>610</v>
      </c>
      <c r="I11" s="429" t="s">
        <v>12</v>
      </c>
      <c r="J11" s="46"/>
      <c r="K11" s="619" t="s">
        <v>46</v>
      </c>
      <c r="L11" s="46" t="s">
        <v>14</v>
      </c>
      <c r="M11" s="101" t="s">
        <v>610</v>
      </c>
      <c r="N11" s="429" t="s">
        <v>12</v>
      </c>
    </row>
    <row r="12" spans="1:19" ht="15.75">
      <c r="A12" s="430" t="s">
        <v>104</v>
      </c>
      <c r="B12" s="44" t="s">
        <v>104</v>
      </c>
      <c r="C12" s="431" t="s">
        <v>304</v>
      </c>
      <c r="D12" s="624" t="s">
        <v>110</v>
      </c>
      <c r="E12" s="44" t="s">
        <v>1006</v>
      </c>
      <c r="F12" s="44" t="s">
        <v>110</v>
      </c>
      <c r="G12" s="255" t="s">
        <v>643</v>
      </c>
      <c r="H12" s="255" t="s">
        <v>643</v>
      </c>
      <c r="I12" s="431" t="s">
        <v>109</v>
      </c>
      <c r="J12" s="46"/>
      <c r="K12" s="624" t="s">
        <v>103</v>
      </c>
      <c r="L12" s="255" t="s">
        <v>643</v>
      </c>
      <c r="M12" s="255" t="s">
        <v>643</v>
      </c>
      <c r="N12" s="431" t="s">
        <v>109</v>
      </c>
      <c r="P12" s="575"/>
      <c r="Q12" s="575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9" ht="15.75">
      <c r="B14" s="129" t="s">
        <v>6</v>
      </c>
      <c r="J14" s="81"/>
    </row>
    <row r="15" spans="1:19">
      <c r="A15" s="2">
        <v>1</v>
      </c>
      <c r="B15" s="1"/>
      <c r="C15" s="17" t="s">
        <v>305</v>
      </c>
    </row>
    <row r="16" spans="1:19">
      <c r="A16" s="2">
        <f>A15+1</f>
        <v>2</v>
      </c>
      <c r="B16" s="682">
        <v>30100</v>
      </c>
      <c r="C16" s="4" t="s">
        <v>299</v>
      </c>
      <c r="D16" s="445">
        <v>8329.7199999999993</v>
      </c>
      <c r="E16" s="459">
        <v>0</v>
      </c>
      <c r="F16" s="459">
        <f>D16-E16</f>
        <v>8329.7199999999993</v>
      </c>
      <c r="G16" s="620">
        <v>1</v>
      </c>
      <c r="H16" s="620">
        <f>$G$16</f>
        <v>1</v>
      </c>
      <c r="I16" s="459">
        <f>F16*G16*H16</f>
        <v>8329.7199999999993</v>
      </c>
      <c r="J16" s="1139"/>
      <c r="K16" s="445">
        <v>8329.7199999999993</v>
      </c>
      <c r="L16" s="621">
        <f t="shared" ref="L16:M17" si="0">$G$16</f>
        <v>1</v>
      </c>
      <c r="M16" s="621">
        <f t="shared" si="0"/>
        <v>1</v>
      </c>
      <c r="N16" s="404">
        <f>K16*L16*M16</f>
        <v>8329.7199999999993</v>
      </c>
      <c r="S16" s="682"/>
    </row>
    <row r="17" spans="1:19">
      <c r="A17" s="776">
        <f t="shared" ref="A17:A80" si="1">A16+1</f>
        <v>3</v>
      </c>
      <c r="B17" s="682">
        <v>30200</v>
      </c>
      <c r="C17" s="4" t="s">
        <v>158</v>
      </c>
      <c r="D17" s="445">
        <v>119852.69</v>
      </c>
      <c r="E17" s="806">
        <v>0</v>
      </c>
      <c r="F17" s="806">
        <f t="shared" ref="F17:F75" si="2">D17-E17</f>
        <v>119852.69</v>
      </c>
      <c r="G17" s="620">
        <f>$G$16</f>
        <v>1</v>
      </c>
      <c r="H17" s="620">
        <f>$G$16</f>
        <v>1</v>
      </c>
      <c r="I17" s="806">
        <f>F17*G17*H17</f>
        <v>119852.69</v>
      </c>
      <c r="J17" s="106"/>
      <c r="K17" s="445">
        <v>119852.68999999996</v>
      </c>
      <c r="L17" s="621">
        <f t="shared" si="0"/>
        <v>1</v>
      </c>
      <c r="M17" s="621">
        <f t="shared" si="0"/>
        <v>1</v>
      </c>
      <c r="N17" s="387">
        <f>K17*L17*M17</f>
        <v>119852.68999999996</v>
      </c>
      <c r="S17" s="682"/>
    </row>
    <row r="18" spans="1:19">
      <c r="A18" s="945">
        <f t="shared" si="1"/>
        <v>4</v>
      </c>
      <c r="B18" s="682"/>
      <c r="C18" s="4"/>
      <c r="D18" s="1144"/>
      <c r="E18" s="1144"/>
      <c r="F18" s="1144"/>
      <c r="G18" s="620"/>
      <c r="H18" s="620"/>
      <c r="I18" s="1144"/>
      <c r="J18" s="106"/>
      <c r="K18" s="1144"/>
      <c r="N18" s="789"/>
    </row>
    <row r="19" spans="1:19">
      <c r="A19" s="945">
        <f t="shared" si="1"/>
        <v>5</v>
      </c>
      <c r="B19" s="465"/>
      <c r="C19" s="4" t="s">
        <v>1440</v>
      </c>
      <c r="D19" s="459">
        <f>SUM(D16:D18)</f>
        <v>128182.41</v>
      </c>
      <c r="E19" s="459">
        <f>SUM(E16:E18)</f>
        <v>0</v>
      </c>
      <c r="F19" s="459">
        <f>SUM(F16:F18)</f>
        <v>128182.41</v>
      </c>
      <c r="G19" s="620"/>
      <c r="H19" s="620"/>
      <c r="I19" s="459">
        <f>SUM(I16:I18)</f>
        <v>128182.41</v>
      </c>
      <c r="J19" s="106"/>
      <c r="K19" s="459">
        <f>SUM(K16:K18)</f>
        <v>128182.40999999996</v>
      </c>
      <c r="N19" s="404">
        <f>SUM(N16:N17)</f>
        <v>128182.40999999996</v>
      </c>
    </row>
    <row r="20" spans="1:19">
      <c r="A20" s="776">
        <f t="shared" si="1"/>
        <v>6</v>
      </c>
      <c r="B20" s="465"/>
      <c r="C20" s="1"/>
      <c r="D20" s="806"/>
      <c r="E20" s="806"/>
      <c r="F20" s="806"/>
      <c r="G20" s="620"/>
      <c r="H20" s="620"/>
      <c r="I20" s="806"/>
      <c r="J20" s="106"/>
      <c r="K20" s="806"/>
      <c r="N20" s="387"/>
    </row>
    <row r="21" spans="1:19">
      <c r="A21" s="776">
        <f t="shared" si="1"/>
        <v>7</v>
      </c>
      <c r="B21" s="465"/>
      <c r="C21" s="17" t="s">
        <v>159</v>
      </c>
      <c r="D21" s="806"/>
      <c r="E21" s="806"/>
      <c r="F21" s="806"/>
      <c r="G21" s="620"/>
      <c r="H21" s="620"/>
      <c r="I21" s="806"/>
      <c r="J21" s="106"/>
      <c r="K21" s="806"/>
      <c r="N21" s="387"/>
    </row>
    <row r="22" spans="1:19">
      <c r="A22" s="945">
        <f t="shared" si="1"/>
        <v>8</v>
      </c>
      <c r="B22" s="682">
        <v>32540</v>
      </c>
      <c r="C22" s="4" t="s">
        <v>166</v>
      </c>
      <c r="D22" s="445">
        <v>0</v>
      </c>
      <c r="E22" s="459">
        <v>0</v>
      </c>
      <c r="F22" s="459">
        <f t="shared" si="2"/>
        <v>0</v>
      </c>
      <c r="G22" s="620">
        <f t="shared" ref="G22:H24" si="3">$G$16</f>
        <v>1</v>
      </c>
      <c r="H22" s="620">
        <f t="shared" si="3"/>
        <v>1</v>
      </c>
      <c r="I22" s="459">
        <f t="shared" ref="I22:I24" si="4">F22*G22*H22</f>
        <v>0</v>
      </c>
      <c r="J22" s="106"/>
      <c r="K22" s="445">
        <v>0</v>
      </c>
      <c r="L22" s="621">
        <f t="shared" ref="L22:M24" si="5">$G$16</f>
        <v>1</v>
      </c>
      <c r="M22" s="621">
        <f t="shared" si="5"/>
        <v>1</v>
      </c>
      <c r="N22" s="404">
        <f t="shared" ref="N22:N24" si="6">K22*L22*M22</f>
        <v>0</v>
      </c>
      <c r="S22" s="682"/>
    </row>
    <row r="23" spans="1:19">
      <c r="A23" s="1066">
        <f t="shared" si="1"/>
        <v>9</v>
      </c>
      <c r="B23" s="682">
        <v>33202</v>
      </c>
      <c r="C23" s="4" t="s">
        <v>612</v>
      </c>
      <c r="D23" s="445">
        <v>-28968.38</v>
      </c>
      <c r="E23" s="806">
        <v>0</v>
      </c>
      <c r="F23" s="806">
        <f t="shared" si="2"/>
        <v>-28968.38</v>
      </c>
      <c r="G23" s="620">
        <f t="shared" si="3"/>
        <v>1</v>
      </c>
      <c r="H23" s="620">
        <f t="shared" si="3"/>
        <v>1</v>
      </c>
      <c r="I23" s="806">
        <f t="shared" si="4"/>
        <v>-28968.38</v>
      </c>
      <c r="J23" s="106"/>
      <c r="K23" s="445">
        <v>-28968.38</v>
      </c>
      <c r="L23" s="621">
        <f t="shared" si="5"/>
        <v>1</v>
      </c>
      <c r="M23" s="621">
        <f t="shared" si="5"/>
        <v>1</v>
      </c>
      <c r="N23" s="387">
        <f t="shared" si="6"/>
        <v>-28968.38</v>
      </c>
      <c r="S23" s="682"/>
    </row>
    <row r="24" spans="1:19">
      <c r="A24" s="1066">
        <f t="shared" si="1"/>
        <v>10</v>
      </c>
      <c r="B24" s="682">
        <v>33400</v>
      </c>
      <c r="C24" s="4" t="s">
        <v>1140</v>
      </c>
      <c r="D24" s="445">
        <v>1572.3399999999997</v>
      </c>
      <c r="E24" s="806">
        <v>0</v>
      </c>
      <c r="F24" s="806">
        <f t="shared" si="2"/>
        <v>1572.3399999999997</v>
      </c>
      <c r="G24" s="620">
        <f t="shared" si="3"/>
        <v>1</v>
      </c>
      <c r="H24" s="620">
        <f t="shared" si="3"/>
        <v>1</v>
      </c>
      <c r="I24" s="806">
        <f t="shared" si="4"/>
        <v>1572.3399999999997</v>
      </c>
      <c r="J24" s="106"/>
      <c r="K24" s="445">
        <v>1572.34</v>
      </c>
      <c r="L24" s="621">
        <f t="shared" si="5"/>
        <v>1</v>
      </c>
      <c r="M24" s="621">
        <f t="shared" si="5"/>
        <v>1</v>
      </c>
      <c r="N24" s="387">
        <f t="shared" si="6"/>
        <v>1572.34</v>
      </c>
      <c r="S24" s="682"/>
    </row>
    <row r="25" spans="1:19">
      <c r="A25" s="1066">
        <f t="shared" si="1"/>
        <v>11</v>
      </c>
      <c r="B25" s="682"/>
      <c r="C25" s="1"/>
      <c r="D25" s="1144"/>
      <c r="E25" s="806"/>
      <c r="F25" s="806"/>
      <c r="G25" s="620"/>
      <c r="H25" s="620"/>
      <c r="I25" s="806"/>
      <c r="J25" s="106"/>
      <c r="K25" s="1144"/>
      <c r="N25" s="387"/>
    </row>
    <row r="26" spans="1:19">
      <c r="A26" s="1066">
        <f t="shared" si="1"/>
        <v>12</v>
      </c>
      <c r="B26" s="682"/>
      <c r="C26" s="1" t="s">
        <v>1439</v>
      </c>
      <c r="D26" s="459">
        <f>SUM(D22:D25)</f>
        <v>-27396.04</v>
      </c>
      <c r="E26" s="459">
        <f>SUM(E22:E25)</f>
        <v>0</v>
      </c>
      <c r="F26" s="459">
        <f>SUM(F22:F25)</f>
        <v>-27396.04</v>
      </c>
      <c r="G26" s="620"/>
      <c r="H26" s="620"/>
      <c r="I26" s="459">
        <f>SUM(I22:I25)</f>
        <v>-27396.04</v>
      </c>
      <c r="J26" s="106"/>
      <c r="K26" s="459">
        <f>SUM(K22:K25)</f>
        <v>-27396.04</v>
      </c>
      <c r="N26" s="404">
        <f>SUM(N22:N25)</f>
        <v>-27396.04</v>
      </c>
    </row>
    <row r="27" spans="1:19">
      <c r="A27" s="1066">
        <f t="shared" si="1"/>
        <v>13</v>
      </c>
      <c r="B27" s="682"/>
      <c r="C27" s="4"/>
      <c r="D27" s="806"/>
      <c r="E27" s="806"/>
      <c r="F27" s="806"/>
      <c r="G27" s="620"/>
      <c r="H27" s="620"/>
      <c r="I27" s="806"/>
      <c r="J27" s="106"/>
      <c r="K27" s="806"/>
      <c r="N27" s="387"/>
    </row>
    <row r="28" spans="1:19">
      <c r="A28" s="1066">
        <f t="shared" si="1"/>
        <v>14</v>
      </c>
      <c r="B28" s="682"/>
      <c r="C28" s="17" t="s">
        <v>284</v>
      </c>
      <c r="D28" s="806"/>
      <c r="E28" s="806"/>
      <c r="F28" s="806"/>
      <c r="G28" s="620"/>
      <c r="H28" s="620"/>
      <c r="I28" s="806"/>
      <c r="J28" s="106"/>
      <c r="K28" s="806"/>
      <c r="N28" s="387"/>
    </row>
    <row r="29" spans="1:19">
      <c r="A29" s="1066">
        <f t="shared" si="1"/>
        <v>15</v>
      </c>
      <c r="B29" s="682">
        <v>35010</v>
      </c>
      <c r="C29" s="4" t="s">
        <v>300</v>
      </c>
      <c r="D29" s="445">
        <v>0</v>
      </c>
      <c r="E29" s="459">
        <v>0</v>
      </c>
      <c r="F29" s="459">
        <f t="shared" si="2"/>
        <v>0</v>
      </c>
      <c r="G29" s="620">
        <f t="shared" ref="G29:H45" si="7">$G$16</f>
        <v>1</v>
      </c>
      <c r="H29" s="620">
        <f t="shared" si="7"/>
        <v>1</v>
      </c>
      <c r="I29" s="459">
        <f t="shared" ref="I29:I45" si="8">F29*G29*H29</f>
        <v>0</v>
      </c>
      <c r="J29" s="106"/>
      <c r="K29" s="445">
        <v>0</v>
      </c>
      <c r="L29" s="621">
        <f t="shared" ref="L29:M45" si="9">$G$16</f>
        <v>1</v>
      </c>
      <c r="M29" s="621">
        <f t="shared" si="9"/>
        <v>1</v>
      </c>
      <c r="N29" s="404">
        <f t="shared" ref="N29:N45" si="10">K29*L29*M29</f>
        <v>0</v>
      </c>
      <c r="S29" s="682"/>
    </row>
    <row r="30" spans="1:19">
      <c r="A30" s="1066">
        <f t="shared" si="1"/>
        <v>16</v>
      </c>
      <c r="B30" s="682">
        <v>35020</v>
      </c>
      <c r="C30" s="4" t="s">
        <v>809</v>
      </c>
      <c r="D30" s="445">
        <v>5420.21</v>
      </c>
      <c r="E30" s="806">
        <v>0</v>
      </c>
      <c r="F30" s="806">
        <f t="shared" si="2"/>
        <v>5420.21</v>
      </c>
      <c r="G30" s="620">
        <f t="shared" si="7"/>
        <v>1</v>
      </c>
      <c r="H30" s="620">
        <f t="shared" si="7"/>
        <v>1</v>
      </c>
      <c r="I30" s="806">
        <f t="shared" si="8"/>
        <v>5420.21</v>
      </c>
      <c r="J30" s="106"/>
      <c r="K30" s="445">
        <v>5420.21</v>
      </c>
      <c r="L30" s="621">
        <f t="shared" si="9"/>
        <v>1</v>
      </c>
      <c r="M30" s="621">
        <f t="shared" si="9"/>
        <v>1</v>
      </c>
      <c r="N30" s="387">
        <f t="shared" si="10"/>
        <v>5420.21</v>
      </c>
      <c r="S30" s="682"/>
    </row>
    <row r="31" spans="1:19">
      <c r="A31" s="1066">
        <f t="shared" si="1"/>
        <v>17</v>
      </c>
      <c r="B31" s="682">
        <v>35100</v>
      </c>
      <c r="C31" s="4" t="s">
        <v>988</v>
      </c>
      <c r="D31" s="445">
        <v>5649.706938499995</v>
      </c>
      <c r="E31" s="806">
        <v>0</v>
      </c>
      <c r="F31" s="806">
        <f t="shared" si="2"/>
        <v>5649.706938499995</v>
      </c>
      <c r="G31" s="620">
        <f t="shared" si="7"/>
        <v>1</v>
      </c>
      <c r="H31" s="620">
        <f t="shared" si="7"/>
        <v>1</v>
      </c>
      <c r="I31" s="806">
        <f t="shared" si="8"/>
        <v>5649.706938499995</v>
      </c>
      <c r="J31" s="106"/>
      <c r="K31" s="445">
        <v>5500.106751999996</v>
      </c>
      <c r="L31" s="621">
        <f t="shared" si="9"/>
        <v>1</v>
      </c>
      <c r="M31" s="621">
        <f t="shared" si="9"/>
        <v>1</v>
      </c>
      <c r="N31" s="387">
        <f t="shared" si="10"/>
        <v>5500.106751999996</v>
      </c>
      <c r="S31" s="682"/>
    </row>
    <row r="32" spans="1:19">
      <c r="A32" s="1066">
        <f t="shared" si="1"/>
        <v>18</v>
      </c>
      <c r="B32" s="682">
        <v>35102</v>
      </c>
      <c r="C32" s="4" t="s">
        <v>285</v>
      </c>
      <c r="D32" s="445">
        <v>110845.3518975</v>
      </c>
      <c r="E32" s="806">
        <v>0</v>
      </c>
      <c r="F32" s="806">
        <f t="shared" si="2"/>
        <v>110845.3518975</v>
      </c>
      <c r="G32" s="620">
        <f t="shared" si="7"/>
        <v>1</v>
      </c>
      <c r="H32" s="620">
        <f t="shared" si="7"/>
        <v>1</v>
      </c>
      <c r="I32" s="806">
        <f t="shared" si="8"/>
        <v>110845.3518975</v>
      </c>
      <c r="J32" s="106"/>
      <c r="K32" s="445">
        <v>109879.8057075</v>
      </c>
      <c r="L32" s="621">
        <f t="shared" si="9"/>
        <v>1</v>
      </c>
      <c r="M32" s="621">
        <f t="shared" si="9"/>
        <v>1</v>
      </c>
      <c r="N32" s="387">
        <f t="shared" si="10"/>
        <v>109879.8057075</v>
      </c>
      <c r="S32" s="682"/>
    </row>
    <row r="33" spans="1:19">
      <c r="A33" s="1066">
        <f t="shared" si="1"/>
        <v>19</v>
      </c>
      <c r="B33" s="682">
        <v>35103</v>
      </c>
      <c r="C33" s="4" t="s">
        <v>601</v>
      </c>
      <c r="D33" s="445">
        <v>20161.219591000005</v>
      </c>
      <c r="E33" s="806">
        <v>0</v>
      </c>
      <c r="F33" s="806">
        <f t="shared" si="2"/>
        <v>20161.219591000005</v>
      </c>
      <c r="G33" s="620">
        <f t="shared" si="7"/>
        <v>1</v>
      </c>
      <c r="H33" s="620">
        <f t="shared" si="7"/>
        <v>1</v>
      </c>
      <c r="I33" s="806">
        <f t="shared" si="8"/>
        <v>20161.219591000005</v>
      </c>
      <c r="J33" s="106"/>
      <c r="K33" s="445">
        <v>20054.783043000007</v>
      </c>
      <c r="L33" s="621">
        <f t="shared" si="9"/>
        <v>1</v>
      </c>
      <c r="M33" s="621">
        <f t="shared" si="9"/>
        <v>1</v>
      </c>
      <c r="N33" s="387">
        <f t="shared" si="10"/>
        <v>20054.783043000007</v>
      </c>
      <c r="S33" s="682"/>
    </row>
    <row r="34" spans="1:19">
      <c r="A34" s="1066">
        <f t="shared" si="1"/>
        <v>20</v>
      </c>
      <c r="B34" s="682">
        <v>35104</v>
      </c>
      <c r="C34" s="4" t="s">
        <v>602</v>
      </c>
      <c r="D34" s="445">
        <v>97118.979280500003</v>
      </c>
      <c r="E34" s="806">
        <v>0</v>
      </c>
      <c r="F34" s="806">
        <f t="shared" si="2"/>
        <v>97118.979280500003</v>
      </c>
      <c r="G34" s="620">
        <f t="shared" si="7"/>
        <v>1</v>
      </c>
      <c r="H34" s="620">
        <f t="shared" si="7"/>
        <v>1</v>
      </c>
      <c r="I34" s="806">
        <f t="shared" si="8"/>
        <v>97118.979280500003</v>
      </c>
      <c r="J34" s="106"/>
      <c r="K34" s="445">
        <v>96225.602835499987</v>
      </c>
      <c r="L34" s="621">
        <f t="shared" si="9"/>
        <v>1</v>
      </c>
      <c r="M34" s="621">
        <f t="shared" si="9"/>
        <v>1</v>
      </c>
      <c r="N34" s="387">
        <f t="shared" si="10"/>
        <v>96225.602835499987</v>
      </c>
      <c r="S34" s="682"/>
    </row>
    <row r="35" spans="1:19">
      <c r="A35" s="1066">
        <f t="shared" si="1"/>
        <v>21</v>
      </c>
      <c r="B35" s="682">
        <v>35200</v>
      </c>
      <c r="C35" s="4" t="s">
        <v>455</v>
      </c>
      <c r="D35" s="445">
        <v>1106362.7687232404</v>
      </c>
      <c r="E35" s="806">
        <v>0</v>
      </c>
      <c r="F35" s="806">
        <f t="shared" si="2"/>
        <v>1106362.7687232404</v>
      </c>
      <c r="G35" s="620">
        <f t="shared" si="7"/>
        <v>1</v>
      </c>
      <c r="H35" s="620">
        <f t="shared" si="7"/>
        <v>1</v>
      </c>
      <c r="I35" s="806">
        <f t="shared" si="8"/>
        <v>1106362.7687232404</v>
      </c>
      <c r="J35" s="106"/>
      <c r="K35" s="445">
        <v>1016477.3496214066</v>
      </c>
      <c r="L35" s="621">
        <f t="shared" si="9"/>
        <v>1</v>
      </c>
      <c r="M35" s="621">
        <f t="shared" si="9"/>
        <v>1</v>
      </c>
      <c r="N35" s="387">
        <f t="shared" si="10"/>
        <v>1016477.3496214066</v>
      </c>
      <c r="S35" s="682"/>
    </row>
    <row r="36" spans="1:19">
      <c r="A36" s="1066">
        <f t="shared" si="1"/>
        <v>22</v>
      </c>
      <c r="B36" s="682">
        <v>35201</v>
      </c>
      <c r="C36" s="4" t="s">
        <v>603</v>
      </c>
      <c r="D36" s="445">
        <v>1380382.2222955006</v>
      </c>
      <c r="E36" s="806">
        <v>0</v>
      </c>
      <c r="F36" s="806">
        <f t="shared" si="2"/>
        <v>1380382.2222955006</v>
      </c>
      <c r="G36" s="620">
        <f t="shared" si="7"/>
        <v>1</v>
      </c>
      <c r="H36" s="620">
        <f t="shared" si="7"/>
        <v>1</v>
      </c>
      <c r="I36" s="806">
        <f t="shared" si="8"/>
        <v>1380382.2222955006</v>
      </c>
      <c r="J36" s="106"/>
      <c r="K36" s="445">
        <v>1367547.2333185005</v>
      </c>
      <c r="L36" s="621">
        <f t="shared" si="9"/>
        <v>1</v>
      </c>
      <c r="M36" s="621">
        <f t="shared" si="9"/>
        <v>1</v>
      </c>
      <c r="N36" s="387">
        <f t="shared" si="10"/>
        <v>1367547.2333185005</v>
      </c>
      <c r="S36" s="682"/>
    </row>
    <row r="37" spans="1:19">
      <c r="A37" s="1066">
        <f t="shared" si="1"/>
        <v>23</v>
      </c>
      <c r="B37" s="682">
        <v>35202</v>
      </c>
      <c r="C37" s="4" t="s">
        <v>604</v>
      </c>
      <c r="D37" s="445">
        <v>380998.98592599994</v>
      </c>
      <c r="E37" s="806">
        <v>0</v>
      </c>
      <c r="F37" s="806">
        <f t="shared" si="2"/>
        <v>380998.98592599994</v>
      </c>
      <c r="G37" s="620">
        <f t="shared" si="7"/>
        <v>1</v>
      </c>
      <c r="H37" s="620">
        <f t="shared" si="7"/>
        <v>1</v>
      </c>
      <c r="I37" s="806">
        <f t="shared" si="8"/>
        <v>380998.98592599994</v>
      </c>
      <c r="J37" s="106"/>
      <c r="K37" s="445">
        <v>379065.42822699994</v>
      </c>
      <c r="L37" s="621">
        <f t="shared" si="9"/>
        <v>1</v>
      </c>
      <c r="M37" s="621">
        <f t="shared" si="9"/>
        <v>1</v>
      </c>
      <c r="N37" s="387">
        <f t="shared" si="10"/>
        <v>379065.42822699994</v>
      </c>
      <c r="S37" s="682"/>
    </row>
    <row r="38" spans="1:19">
      <c r="A38" s="1066">
        <f t="shared" si="1"/>
        <v>24</v>
      </c>
      <c r="B38" s="682">
        <v>35203</v>
      </c>
      <c r="C38" s="4" t="s">
        <v>353</v>
      </c>
      <c r="D38" s="445">
        <v>696738.55835200008</v>
      </c>
      <c r="E38" s="806">
        <v>0</v>
      </c>
      <c r="F38" s="806">
        <f t="shared" si="2"/>
        <v>696738.55835200008</v>
      </c>
      <c r="G38" s="620">
        <f t="shared" si="7"/>
        <v>1</v>
      </c>
      <c r="H38" s="620">
        <f t="shared" si="7"/>
        <v>1</v>
      </c>
      <c r="I38" s="806">
        <f t="shared" si="8"/>
        <v>696738.55835200008</v>
      </c>
      <c r="J38" s="106"/>
      <c r="K38" s="445">
        <v>681485.06171199982</v>
      </c>
      <c r="L38" s="621">
        <f t="shared" si="9"/>
        <v>1</v>
      </c>
      <c r="M38" s="621">
        <f t="shared" si="9"/>
        <v>1</v>
      </c>
      <c r="N38" s="387">
        <f t="shared" si="10"/>
        <v>681485.06171199982</v>
      </c>
      <c r="S38" s="682"/>
    </row>
    <row r="39" spans="1:19">
      <c r="A39" s="1066">
        <f t="shared" si="1"/>
        <v>25</v>
      </c>
      <c r="B39" s="682">
        <v>35210</v>
      </c>
      <c r="C39" s="4" t="s">
        <v>605</v>
      </c>
      <c r="D39" s="445">
        <v>166700.34361225017</v>
      </c>
      <c r="E39" s="806">
        <v>0</v>
      </c>
      <c r="F39" s="806">
        <f t="shared" si="2"/>
        <v>166700.34361225017</v>
      </c>
      <c r="G39" s="620">
        <f t="shared" si="7"/>
        <v>1</v>
      </c>
      <c r="H39" s="620">
        <f t="shared" si="7"/>
        <v>1</v>
      </c>
      <c r="I39" s="806">
        <f t="shared" si="8"/>
        <v>166700.34361225017</v>
      </c>
      <c r="J39" s="106"/>
      <c r="K39" s="445">
        <v>166387.91595475018</v>
      </c>
      <c r="L39" s="621">
        <f t="shared" si="9"/>
        <v>1</v>
      </c>
      <c r="M39" s="621">
        <f t="shared" si="9"/>
        <v>1</v>
      </c>
      <c r="N39" s="387">
        <f t="shared" si="10"/>
        <v>166387.91595475018</v>
      </c>
      <c r="S39" s="682"/>
    </row>
    <row r="40" spans="1:19">
      <c r="A40" s="1066">
        <f t="shared" si="1"/>
        <v>26</v>
      </c>
      <c r="B40" s="682">
        <v>35211</v>
      </c>
      <c r="C40" s="4" t="s">
        <v>606</v>
      </c>
      <c r="D40" s="445">
        <v>43316.55656374996</v>
      </c>
      <c r="E40" s="806">
        <v>0</v>
      </c>
      <c r="F40" s="806">
        <f t="shared" si="2"/>
        <v>43316.55656374996</v>
      </c>
      <c r="G40" s="620">
        <f t="shared" si="7"/>
        <v>1</v>
      </c>
      <c r="H40" s="620">
        <f t="shared" si="7"/>
        <v>1</v>
      </c>
      <c r="I40" s="806">
        <f t="shared" si="8"/>
        <v>43316.55656374996</v>
      </c>
      <c r="J40" s="106"/>
      <c r="K40" s="445">
        <v>43076.253775749952</v>
      </c>
      <c r="L40" s="621">
        <f t="shared" si="9"/>
        <v>1</v>
      </c>
      <c r="M40" s="621">
        <f t="shared" si="9"/>
        <v>1</v>
      </c>
      <c r="N40" s="387">
        <f t="shared" si="10"/>
        <v>43076.253775749952</v>
      </c>
      <c r="S40" s="682"/>
    </row>
    <row r="41" spans="1:19">
      <c r="A41" s="1066">
        <f t="shared" si="1"/>
        <v>27</v>
      </c>
      <c r="B41" s="682">
        <v>35301</v>
      </c>
      <c r="C41" s="1" t="s">
        <v>167</v>
      </c>
      <c r="D41" s="445">
        <v>154864.934775</v>
      </c>
      <c r="E41" s="806">
        <v>0</v>
      </c>
      <c r="F41" s="806">
        <f t="shared" si="2"/>
        <v>154864.934775</v>
      </c>
      <c r="G41" s="620">
        <f t="shared" si="7"/>
        <v>1</v>
      </c>
      <c r="H41" s="620">
        <f t="shared" si="7"/>
        <v>1</v>
      </c>
      <c r="I41" s="806">
        <f t="shared" si="8"/>
        <v>154864.934775</v>
      </c>
      <c r="J41" s="106"/>
      <c r="K41" s="445">
        <v>154142.02232999998</v>
      </c>
      <c r="L41" s="621">
        <f t="shared" si="9"/>
        <v>1</v>
      </c>
      <c r="M41" s="621">
        <f t="shared" si="9"/>
        <v>1</v>
      </c>
      <c r="N41" s="387">
        <f t="shared" si="10"/>
        <v>154142.02232999998</v>
      </c>
      <c r="S41" s="682"/>
    </row>
    <row r="42" spans="1:19">
      <c r="A42" s="1066">
        <f t="shared" si="1"/>
        <v>28</v>
      </c>
      <c r="B42" s="682">
        <v>35302</v>
      </c>
      <c r="C42" s="4" t="s">
        <v>612</v>
      </c>
      <c r="D42" s="445">
        <v>213181.89999999997</v>
      </c>
      <c r="E42" s="806">
        <v>0</v>
      </c>
      <c r="F42" s="806">
        <f t="shared" si="2"/>
        <v>213181.89999999997</v>
      </c>
      <c r="G42" s="620">
        <f t="shared" si="7"/>
        <v>1</v>
      </c>
      <c r="H42" s="620">
        <f t="shared" si="7"/>
        <v>1</v>
      </c>
      <c r="I42" s="806">
        <f t="shared" si="8"/>
        <v>213181.89999999997</v>
      </c>
      <c r="J42" s="106"/>
      <c r="K42" s="445">
        <v>213181.89999999994</v>
      </c>
      <c r="L42" s="621">
        <f t="shared" si="9"/>
        <v>1</v>
      </c>
      <c r="M42" s="621">
        <f t="shared" si="9"/>
        <v>1</v>
      </c>
      <c r="N42" s="387">
        <f t="shared" si="10"/>
        <v>213181.89999999994</v>
      </c>
      <c r="S42" s="682"/>
    </row>
    <row r="43" spans="1:19">
      <c r="A43" s="1066">
        <f t="shared" si="1"/>
        <v>29</v>
      </c>
      <c r="B43" s="682">
        <v>35400</v>
      </c>
      <c r="C43" s="4" t="s">
        <v>607</v>
      </c>
      <c r="D43" s="445">
        <v>488916.65222249989</v>
      </c>
      <c r="E43" s="806">
        <v>0</v>
      </c>
      <c r="F43" s="806">
        <f t="shared" si="2"/>
        <v>488916.65222249989</v>
      </c>
      <c r="G43" s="620">
        <f t="shared" si="7"/>
        <v>1</v>
      </c>
      <c r="H43" s="620">
        <f t="shared" si="7"/>
        <v>1</v>
      </c>
      <c r="I43" s="806">
        <f t="shared" si="8"/>
        <v>488916.65222249989</v>
      </c>
      <c r="J43" s="106"/>
      <c r="K43" s="445">
        <v>480605.63777249999</v>
      </c>
      <c r="L43" s="621">
        <f t="shared" si="9"/>
        <v>1</v>
      </c>
      <c r="M43" s="621">
        <f t="shared" si="9"/>
        <v>1</v>
      </c>
      <c r="N43" s="387">
        <f t="shared" si="10"/>
        <v>480605.63777249999</v>
      </c>
      <c r="S43" s="682"/>
    </row>
    <row r="44" spans="1:19">
      <c r="A44" s="1066">
        <f t="shared" si="1"/>
        <v>30</v>
      </c>
      <c r="B44" s="682">
        <v>35500</v>
      </c>
      <c r="C44" s="4" t="s">
        <v>1011</v>
      </c>
      <c r="D44" s="445">
        <v>207206.03372350009</v>
      </c>
      <c r="E44" s="806">
        <v>0</v>
      </c>
      <c r="F44" s="806">
        <f t="shared" si="2"/>
        <v>207206.03372350009</v>
      </c>
      <c r="G44" s="620">
        <f t="shared" si="7"/>
        <v>1</v>
      </c>
      <c r="H44" s="620">
        <f t="shared" si="7"/>
        <v>1</v>
      </c>
      <c r="I44" s="806">
        <f t="shared" si="8"/>
        <v>207206.03372350009</v>
      </c>
      <c r="J44" s="106"/>
      <c r="K44" s="445">
        <v>206591.78199700007</v>
      </c>
      <c r="L44" s="621">
        <f t="shared" si="9"/>
        <v>1</v>
      </c>
      <c r="M44" s="621">
        <f t="shared" si="9"/>
        <v>1</v>
      </c>
      <c r="N44" s="387">
        <f t="shared" si="10"/>
        <v>206591.78199700007</v>
      </c>
      <c r="S44" s="682"/>
    </row>
    <row r="45" spans="1:19">
      <c r="A45" s="1066">
        <f t="shared" si="1"/>
        <v>31</v>
      </c>
      <c r="B45" s="682">
        <v>35600</v>
      </c>
      <c r="C45" s="4" t="s">
        <v>1060</v>
      </c>
      <c r="D45" s="445">
        <v>161950.92083374993</v>
      </c>
      <c r="E45" s="1135">
        <v>0</v>
      </c>
      <c r="F45" s="1135">
        <f t="shared" si="2"/>
        <v>161950.92083374993</v>
      </c>
      <c r="G45" s="620">
        <f t="shared" si="7"/>
        <v>1</v>
      </c>
      <c r="H45" s="620">
        <f t="shared" si="7"/>
        <v>1</v>
      </c>
      <c r="I45" s="1135">
        <f t="shared" si="8"/>
        <v>161950.92083374993</v>
      </c>
      <c r="J45" s="106"/>
      <c r="K45" s="445">
        <v>157700.62047124992</v>
      </c>
      <c r="L45" s="621">
        <f t="shared" si="9"/>
        <v>1</v>
      </c>
      <c r="M45" s="621">
        <f t="shared" si="9"/>
        <v>1</v>
      </c>
      <c r="N45" s="390">
        <f t="shared" si="10"/>
        <v>157700.62047124992</v>
      </c>
      <c r="S45" s="682"/>
    </row>
    <row r="46" spans="1:19">
      <c r="A46" s="1066">
        <f t="shared" si="1"/>
        <v>32</v>
      </c>
      <c r="B46" s="682"/>
      <c r="C46" s="4"/>
      <c r="D46" s="1144"/>
      <c r="E46" s="806"/>
      <c r="F46" s="806"/>
      <c r="G46" s="620"/>
      <c r="H46" s="620"/>
      <c r="I46" s="806"/>
      <c r="J46" s="106"/>
      <c r="K46" s="1144"/>
      <c r="N46" s="387"/>
    </row>
    <row r="47" spans="1:19">
      <c r="A47" s="1066">
        <f t="shared" si="1"/>
        <v>33</v>
      </c>
      <c r="B47" s="682"/>
      <c r="C47" s="4" t="s">
        <v>1438</v>
      </c>
      <c r="D47" s="459">
        <f>SUM(D29:D46)</f>
        <v>5239815.344734991</v>
      </c>
      <c r="E47" s="459">
        <f>SUM(E29:E46)</f>
        <v>0</v>
      </c>
      <c r="F47" s="459">
        <f>SUM(F29:F46)</f>
        <v>5239815.344734991</v>
      </c>
      <c r="G47" s="620"/>
      <c r="H47" s="620"/>
      <c r="I47" s="459">
        <f>SUM(I29:I46)</f>
        <v>5239815.344734991</v>
      </c>
      <c r="J47" s="106"/>
      <c r="K47" s="459">
        <f>SUM(K29:K46)</f>
        <v>5103341.7135181567</v>
      </c>
      <c r="N47" s="404">
        <f>SUM(N29:N46)</f>
        <v>5103341.7135181567</v>
      </c>
    </row>
    <row r="48" spans="1:19">
      <c r="A48" s="1066">
        <f t="shared" si="1"/>
        <v>34</v>
      </c>
      <c r="B48" s="682"/>
      <c r="C48" s="4"/>
      <c r="D48" s="806"/>
      <c r="E48" s="806"/>
      <c r="F48" s="806"/>
      <c r="G48" s="620"/>
      <c r="H48" s="620"/>
      <c r="I48" s="806"/>
      <c r="J48" s="106"/>
      <c r="K48" s="806"/>
      <c r="N48" s="387"/>
    </row>
    <row r="49" spans="1:19">
      <c r="A49" s="1066">
        <f t="shared" si="1"/>
        <v>35</v>
      </c>
      <c r="B49" s="682"/>
      <c r="C49" s="17" t="s">
        <v>1012</v>
      </c>
      <c r="D49" s="806"/>
      <c r="E49" s="806"/>
      <c r="F49" s="806"/>
      <c r="G49" s="620"/>
      <c r="H49" s="620"/>
      <c r="I49" s="806"/>
      <c r="J49" s="106"/>
      <c r="K49" s="806"/>
      <c r="N49" s="387"/>
    </row>
    <row r="50" spans="1:19">
      <c r="A50" s="1066">
        <f t="shared" si="1"/>
        <v>36</v>
      </c>
      <c r="B50" s="682">
        <v>36510</v>
      </c>
      <c r="C50" s="4" t="s">
        <v>300</v>
      </c>
      <c r="D50" s="445">
        <v>0</v>
      </c>
      <c r="E50" s="459">
        <v>0</v>
      </c>
      <c r="F50" s="459">
        <f t="shared" si="2"/>
        <v>0</v>
      </c>
      <c r="G50" s="620">
        <f t="shared" ref="G50:H57" si="11">$G$16</f>
        <v>1</v>
      </c>
      <c r="H50" s="620">
        <f t="shared" si="11"/>
        <v>1</v>
      </c>
      <c r="I50" s="459">
        <f t="shared" ref="I50:I57" si="12">F50*G50*H50</f>
        <v>0</v>
      </c>
      <c r="J50" s="106"/>
      <c r="K50" s="445">
        <v>0</v>
      </c>
      <c r="L50" s="621">
        <f t="shared" ref="L50:M57" si="13">$G$16</f>
        <v>1</v>
      </c>
      <c r="M50" s="621">
        <f t="shared" si="13"/>
        <v>1</v>
      </c>
      <c r="N50" s="404">
        <f t="shared" ref="N50:N57" si="14">K50*L50*M50</f>
        <v>0</v>
      </c>
      <c r="S50" s="682"/>
    </row>
    <row r="51" spans="1:19">
      <c r="A51" s="1066">
        <f t="shared" si="1"/>
        <v>37</v>
      </c>
      <c r="B51" s="682">
        <v>36520</v>
      </c>
      <c r="C51" s="4" t="s">
        <v>809</v>
      </c>
      <c r="D51" s="445">
        <v>457857.93129999959</v>
      </c>
      <c r="E51" s="806">
        <v>0</v>
      </c>
      <c r="F51" s="806">
        <f t="shared" si="2"/>
        <v>457857.93129999959</v>
      </c>
      <c r="G51" s="620">
        <f t="shared" si="11"/>
        <v>1</v>
      </c>
      <c r="H51" s="620">
        <f t="shared" si="11"/>
        <v>1</v>
      </c>
      <c r="I51" s="806">
        <f t="shared" si="12"/>
        <v>457857.93129999959</v>
      </c>
      <c r="J51" s="106"/>
      <c r="K51" s="445">
        <v>452087.24749999971</v>
      </c>
      <c r="L51" s="621">
        <f t="shared" si="13"/>
        <v>1</v>
      </c>
      <c r="M51" s="621">
        <f t="shared" si="13"/>
        <v>1</v>
      </c>
      <c r="N51" s="387">
        <f t="shared" si="14"/>
        <v>452087.24749999971</v>
      </c>
      <c r="S51" s="682"/>
    </row>
    <row r="52" spans="1:19">
      <c r="A52" s="1066">
        <f t="shared" si="1"/>
        <v>38</v>
      </c>
      <c r="B52" s="682">
        <v>36602</v>
      </c>
      <c r="C52" s="4" t="s">
        <v>874</v>
      </c>
      <c r="D52" s="445">
        <v>13847.584352</v>
      </c>
      <c r="E52" s="806">
        <v>0</v>
      </c>
      <c r="F52" s="806">
        <f t="shared" si="2"/>
        <v>13847.584352</v>
      </c>
      <c r="G52" s="620">
        <f t="shared" si="11"/>
        <v>1</v>
      </c>
      <c r="H52" s="620">
        <f t="shared" si="11"/>
        <v>1</v>
      </c>
      <c r="I52" s="806">
        <f t="shared" si="12"/>
        <v>13847.584352</v>
      </c>
      <c r="J52" s="106"/>
      <c r="K52" s="445">
        <v>13411.469043999994</v>
      </c>
      <c r="L52" s="621">
        <f t="shared" si="13"/>
        <v>1</v>
      </c>
      <c r="M52" s="621">
        <f t="shared" si="13"/>
        <v>1</v>
      </c>
      <c r="N52" s="387">
        <f t="shared" si="14"/>
        <v>13411.469043999994</v>
      </c>
      <c r="S52" s="682"/>
    </row>
    <row r="53" spans="1:19">
      <c r="A53" s="1066">
        <f t="shared" si="1"/>
        <v>39</v>
      </c>
      <c r="B53" s="682">
        <v>36603</v>
      </c>
      <c r="C53" s="4" t="s">
        <v>1013</v>
      </c>
      <c r="D53" s="445">
        <v>47821.560763999994</v>
      </c>
      <c r="E53" s="806">
        <v>0</v>
      </c>
      <c r="F53" s="806">
        <f t="shared" si="2"/>
        <v>47821.560763999994</v>
      </c>
      <c r="G53" s="620">
        <f t="shared" si="11"/>
        <v>1</v>
      </c>
      <c r="H53" s="620">
        <f t="shared" si="11"/>
        <v>1</v>
      </c>
      <c r="I53" s="806">
        <f t="shared" si="12"/>
        <v>47821.560763999994</v>
      </c>
      <c r="J53" s="106"/>
      <c r="K53" s="445">
        <v>47280.206782999987</v>
      </c>
      <c r="L53" s="621">
        <f t="shared" si="13"/>
        <v>1</v>
      </c>
      <c r="M53" s="621">
        <f t="shared" si="13"/>
        <v>1</v>
      </c>
      <c r="N53" s="387">
        <f t="shared" si="14"/>
        <v>47280.206782999987</v>
      </c>
      <c r="S53" s="682"/>
    </row>
    <row r="54" spans="1:19">
      <c r="A54" s="1066">
        <f t="shared" si="1"/>
        <v>40</v>
      </c>
      <c r="B54" s="682">
        <v>36700</v>
      </c>
      <c r="C54" s="4" t="s">
        <v>861</v>
      </c>
      <c r="D54" s="445">
        <v>135619.65000000008</v>
      </c>
      <c r="E54" s="806">
        <v>0</v>
      </c>
      <c r="F54" s="806">
        <f t="shared" si="2"/>
        <v>135619.65000000008</v>
      </c>
      <c r="G54" s="620">
        <f t="shared" si="11"/>
        <v>1</v>
      </c>
      <c r="H54" s="620">
        <f t="shared" si="11"/>
        <v>1</v>
      </c>
      <c r="I54" s="806">
        <f t="shared" si="12"/>
        <v>135619.65000000008</v>
      </c>
      <c r="J54" s="106"/>
      <c r="K54" s="445">
        <v>130981.93000000007</v>
      </c>
      <c r="L54" s="621">
        <f t="shared" si="13"/>
        <v>1</v>
      </c>
      <c r="M54" s="621">
        <f t="shared" si="13"/>
        <v>1</v>
      </c>
      <c r="N54" s="387">
        <f t="shared" si="14"/>
        <v>130981.93000000007</v>
      </c>
      <c r="S54" s="682"/>
    </row>
    <row r="55" spans="1:19">
      <c r="A55" s="1066">
        <f t="shared" si="1"/>
        <v>41</v>
      </c>
      <c r="B55" s="682">
        <v>36701</v>
      </c>
      <c r="C55" s="4" t="s">
        <v>16</v>
      </c>
      <c r="D55" s="445">
        <v>18552063.393450242</v>
      </c>
      <c r="E55" s="806">
        <v>0</v>
      </c>
      <c r="F55" s="806">
        <f t="shared" si="2"/>
        <v>18552063.393450242</v>
      </c>
      <c r="G55" s="620">
        <f t="shared" si="11"/>
        <v>1</v>
      </c>
      <c r="H55" s="620">
        <f t="shared" si="11"/>
        <v>1</v>
      </c>
      <c r="I55" s="806">
        <f t="shared" si="12"/>
        <v>18552063.393450242</v>
      </c>
      <c r="J55" s="106"/>
      <c r="K55" s="445">
        <v>18289712.331949748</v>
      </c>
      <c r="L55" s="621">
        <f t="shared" si="13"/>
        <v>1</v>
      </c>
      <c r="M55" s="621">
        <f t="shared" si="13"/>
        <v>1</v>
      </c>
      <c r="N55" s="387">
        <f t="shared" si="14"/>
        <v>18289712.331949748</v>
      </c>
      <c r="S55" s="682"/>
    </row>
    <row r="56" spans="1:19">
      <c r="A56" s="1066">
        <f t="shared" si="1"/>
        <v>42</v>
      </c>
      <c r="B56" s="682">
        <v>36900</v>
      </c>
      <c r="C56" s="4" t="s">
        <v>1014</v>
      </c>
      <c r="D56" s="445">
        <v>273635.76948299992</v>
      </c>
      <c r="E56" s="806">
        <v>0</v>
      </c>
      <c r="F56" s="806">
        <f t="shared" si="2"/>
        <v>273635.76948299992</v>
      </c>
      <c r="G56" s="620">
        <f t="shared" si="11"/>
        <v>1</v>
      </c>
      <c r="H56" s="620">
        <f t="shared" si="11"/>
        <v>1</v>
      </c>
      <c r="I56" s="806">
        <f t="shared" si="12"/>
        <v>273635.76948299992</v>
      </c>
      <c r="J56" s="106"/>
      <c r="K56" s="445">
        <v>267055.03536699997</v>
      </c>
      <c r="L56" s="621">
        <f t="shared" si="13"/>
        <v>1</v>
      </c>
      <c r="M56" s="621">
        <f t="shared" si="13"/>
        <v>1</v>
      </c>
      <c r="N56" s="387">
        <f t="shared" si="14"/>
        <v>267055.03536699997</v>
      </c>
      <c r="S56" s="682"/>
    </row>
    <row r="57" spans="1:19">
      <c r="A57" s="1066">
        <f t="shared" si="1"/>
        <v>43</v>
      </c>
      <c r="B57" s="682">
        <v>36901</v>
      </c>
      <c r="C57" s="4" t="s">
        <v>1014</v>
      </c>
      <c r="D57" s="445">
        <v>1479163.8811027487</v>
      </c>
      <c r="E57" s="1135">
        <v>0</v>
      </c>
      <c r="F57" s="1135">
        <f t="shared" si="2"/>
        <v>1479163.8811027487</v>
      </c>
      <c r="G57" s="620">
        <f t="shared" si="11"/>
        <v>1</v>
      </c>
      <c r="H57" s="620">
        <f t="shared" si="11"/>
        <v>1</v>
      </c>
      <c r="I57" s="1135">
        <f t="shared" si="12"/>
        <v>1479163.8811027487</v>
      </c>
      <c r="J57" s="106"/>
      <c r="K57" s="445">
        <v>1454876.2570157489</v>
      </c>
      <c r="L57" s="621">
        <f t="shared" si="13"/>
        <v>1</v>
      </c>
      <c r="M57" s="621">
        <f t="shared" si="13"/>
        <v>1</v>
      </c>
      <c r="N57" s="390">
        <f t="shared" si="14"/>
        <v>1454876.2570157489</v>
      </c>
      <c r="S57" s="682"/>
    </row>
    <row r="58" spans="1:19">
      <c r="A58" s="1066">
        <f t="shared" si="1"/>
        <v>44</v>
      </c>
      <c r="B58" s="682"/>
      <c r="C58" s="4"/>
      <c r="D58" s="1144"/>
      <c r="E58" s="806"/>
      <c r="F58" s="806"/>
      <c r="G58" s="620"/>
      <c r="H58" s="620"/>
      <c r="I58" s="806"/>
      <c r="J58" s="106"/>
      <c r="K58" s="1144"/>
      <c r="N58" s="387"/>
    </row>
    <row r="59" spans="1:19">
      <c r="A59" s="1066">
        <f t="shared" si="1"/>
        <v>45</v>
      </c>
      <c r="B59" s="465"/>
      <c r="C59" s="4" t="s">
        <v>1437</v>
      </c>
      <c r="D59" s="459">
        <f>SUM(D50:D58)</f>
        <v>20960009.770451989</v>
      </c>
      <c r="E59" s="459">
        <f>SUM(E50:E58)</f>
        <v>0</v>
      </c>
      <c r="F59" s="459">
        <f>SUM(F50:F58)</f>
        <v>20960009.770451989</v>
      </c>
      <c r="G59" s="620"/>
      <c r="H59" s="620"/>
      <c r="I59" s="459">
        <f>SUM(I50:I58)</f>
        <v>20960009.770451989</v>
      </c>
      <c r="J59" s="106"/>
      <c r="K59" s="459">
        <f>SUM(K50:K58)</f>
        <v>20655404.477659497</v>
      </c>
      <c r="N59" s="404">
        <f>SUM(N50:N58)</f>
        <v>20655404.477659497</v>
      </c>
    </row>
    <row r="60" spans="1:19">
      <c r="A60" s="1066">
        <f t="shared" si="1"/>
        <v>46</v>
      </c>
      <c r="B60" s="465"/>
      <c r="C60" s="1"/>
      <c r="D60" s="806"/>
      <c r="E60" s="806"/>
      <c r="F60" s="806"/>
      <c r="G60" s="620"/>
      <c r="H60" s="620"/>
      <c r="I60" s="806"/>
      <c r="J60" s="106"/>
      <c r="K60" s="806"/>
      <c r="N60" s="387"/>
    </row>
    <row r="61" spans="1:19">
      <c r="A61" s="1066">
        <f t="shared" si="1"/>
        <v>47</v>
      </c>
      <c r="B61" s="465"/>
      <c r="C61" s="17" t="s">
        <v>307</v>
      </c>
      <c r="D61" s="806"/>
      <c r="E61" s="806"/>
      <c r="F61" s="806"/>
      <c r="G61" s="620"/>
      <c r="H61" s="620"/>
      <c r="I61" s="806"/>
      <c r="J61" s="106"/>
      <c r="K61" s="806"/>
      <c r="N61" s="387"/>
    </row>
    <row r="62" spans="1:19">
      <c r="A62" s="1066">
        <f t="shared" si="1"/>
        <v>48</v>
      </c>
      <c r="B62" s="682">
        <v>37400</v>
      </c>
      <c r="C62" s="4" t="s">
        <v>1168</v>
      </c>
      <c r="D62" s="445">
        <v>-0.01</v>
      </c>
      <c r="E62" s="459">
        <v>0</v>
      </c>
      <c r="F62" s="459">
        <f t="shared" si="2"/>
        <v>-0.01</v>
      </c>
      <c r="G62" s="620">
        <f t="shared" ref="G62:H81" si="15">$G$16</f>
        <v>1</v>
      </c>
      <c r="H62" s="620">
        <f t="shared" si="15"/>
        <v>1</v>
      </c>
      <c r="I62" s="459">
        <f t="shared" ref="I62:I81" si="16">F62*G62*H62</f>
        <v>-0.01</v>
      </c>
      <c r="J62" s="106"/>
      <c r="K62" s="445">
        <v>-9.9999999999999985E-3</v>
      </c>
      <c r="L62" s="621">
        <f t="shared" ref="L62:M81" si="17">$G$16</f>
        <v>1</v>
      </c>
      <c r="M62" s="621">
        <f t="shared" si="17"/>
        <v>1</v>
      </c>
      <c r="N62" s="404">
        <f t="shared" ref="N62:N81" si="18">K62*L62*M62</f>
        <v>-9.9999999999999985E-3</v>
      </c>
      <c r="S62" s="682"/>
    </row>
    <row r="63" spans="1:19">
      <c r="A63" s="1066">
        <f t="shared" si="1"/>
        <v>49</v>
      </c>
      <c r="B63" s="682">
        <v>37401</v>
      </c>
      <c r="C63" s="4" t="s">
        <v>300</v>
      </c>
      <c r="D63" s="445">
        <v>0</v>
      </c>
      <c r="E63" s="806">
        <v>0</v>
      </c>
      <c r="F63" s="806">
        <f t="shared" si="2"/>
        <v>0</v>
      </c>
      <c r="G63" s="620">
        <f t="shared" si="15"/>
        <v>1</v>
      </c>
      <c r="H63" s="620">
        <f t="shared" si="15"/>
        <v>1</v>
      </c>
      <c r="I63" s="806">
        <f t="shared" si="16"/>
        <v>0</v>
      </c>
      <c r="J63" s="106"/>
      <c r="K63" s="445">
        <v>0</v>
      </c>
      <c r="L63" s="621">
        <f t="shared" si="17"/>
        <v>1</v>
      </c>
      <c r="M63" s="621">
        <f t="shared" si="17"/>
        <v>1</v>
      </c>
      <c r="N63" s="387">
        <f t="shared" si="18"/>
        <v>0</v>
      </c>
      <c r="S63" s="682"/>
    </row>
    <row r="64" spans="1:19">
      <c r="A64" s="1066">
        <f t="shared" si="1"/>
        <v>50</v>
      </c>
      <c r="B64" s="682">
        <v>37402</v>
      </c>
      <c r="C64" s="4" t="s">
        <v>1018</v>
      </c>
      <c r="D64" s="445">
        <v>131274.30587964281</v>
      </c>
      <c r="E64" s="806">
        <v>0</v>
      </c>
      <c r="F64" s="806">
        <f t="shared" si="2"/>
        <v>131274.30587964281</v>
      </c>
      <c r="G64" s="620">
        <f t="shared" si="15"/>
        <v>1</v>
      </c>
      <c r="H64" s="620">
        <f t="shared" si="15"/>
        <v>1</v>
      </c>
      <c r="I64" s="806">
        <f t="shared" si="16"/>
        <v>131274.30587964281</v>
      </c>
      <c r="J64" s="106"/>
      <c r="K64" s="445">
        <v>120247.79277249974</v>
      </c>
      <c r="L64" s="621">
        <f t="shared" si="17"/>
        <v>1</v>
      </c>
      <c r="M64" s="621">
        <f t="shared" si="17"/>
        <v>1</v>
      </c>
      <c r="N64" s="387">
        <f t="shared" si="18"/>
        <v>120247.79277249974</v>
      </c>
      <c r="S64" s="682"/>
    </row>
    <row r="65" spans="1:19">
      <c r="A65" s="1066">
        <f t="shared" si="1"/>
        <v>51</v>
      </c>
      <c r="B65" s="682">
        <v>37403</v>
      </c>
      <c r="C65" s="4" t="s">
        <v>1015</v>
      </c>
      <c r="D65" s="445">
        <v>0</v>
      </c>
      <c r="E65" s="806">
        <v>0</v>
      </c>
      <c r="F65" s="806">
        <f t="shared" si="2"/>
        <v>0</v>
      </c>
      <c r="G65" s="620">
        <f t="shared" si="15"/>
        <v>1</v>
      </c>
      <c r="H65" s="620">
        <f t="shared" si="15"/>
        <v>1</v>
      </c>
      <c r="I65" s="806">
        <f t="shared" si="16"/>
        <v>0</v>
      </c>
      <c r="J65" s="106"/>
      <c r="K65" s="445">
        <v>0</v>
      </c>
      <c r="L65" s="621">
        <f t="shared" si="17"/>
        <v>1</v>
      </c>
      <c r="M65" s="621">
        <f t="shared" si="17"/>
        <v>1</v>
      </c>
      <c r="N65" s="387">
        <f t="shared" si="18"/>
        <v>0</v>
      </c>
      <c r="S65" s="682"/>
    </row>
    <row r="66" spans="1:19">
      <c r="A66" s="1066">
        <f t="shared" si="1"/>
        <v>52</v>
      </c>
      <c r="B66" s="682">
        <v>37500</v>
      </c>
      <c r="C66" s="4" t="s">
        <v>874</v>
      </c>
      <c r="D66" s="445">
        <v>96542.198037500013</v>
      </c>
      <c r="E66" s="806">
        <v>0</v>
      </c>
      <c r="F66" s="806">
        <f t="shared" si="2"/>
        <v>96542.198037500013</v>
      </c>
      <c r="G66" s="620">
        <f t="shared" si="15"/>
        <v>1</v>
      </c>
      <c r="H66" s="620">
        <f t="shared" si="15"/>
        <v>1</v>
      </c>
      <c r="I66" s="806">
        <f t="shared" si="16"/>
        <v>96542.198037500013</v>
      </c>
      <c r="J66" s="106"/>
      <c r="K66" s="445">
        <v>93079.672375500042</v>
      </c>
      <c r="L66" s="621">
        <f t="shared" si="17"/>
        <v>1</v>
      </c>
      <c r="M66" s="621">
        <f t="shared" si="17"/>
        <v>1</v>
      </c>
      <c r="N66" s="387">
        <f t="shared" si="18"/>
        <v>93079.672375500042</v>
      </c>
      <c r="S66" s="682"/>
    </row>
    <row r="67" spans="1:19">
      <c r="A67" s="1066">
        <f t="shared" si="1"/>
        <v>53</v>
      </c>
      <c r="B67" s="682">
        <v>37501</v>
      </c>
      <c r="C67" s="4" t="s">
        <v>1016</v>
      </c>
      <c r="D67" s="445">
        <v>63895.483543749964</v>
      </c>
      <c r="E67" s="806">
        <v>0</v>
      </c>
      <c r="F67" s="806">
        <f t="shared" si="2"/>
        <v>63895.483543749964</v>
      </c>
      <c r="G67" s="620">
        <f t="shared" si="15"/>
        <v>1</v>
      </c>
      <c r="H67" s="620">
        <f t="shared" si="15"/>
        <v>1</v>
      </c>
      <c r="I67" s="806">
        <f t="shared" si="16"/>
        <v>63895.483543749964</v>
      </c>
      <c r="J67" s="106"/>
      <c r="K67" s="445">
        <v>62867.356804749979</v>
      </c>
      <c r="L67" s="621">
        <f t="shared" si="17"/>
        <v>1</v>
      </c>
      <c r="M67" s="621">
        <f t="shared" si="17"/>
        <v>1</v>
      </c>
      <c r="N67" s="387">
        <f t="shared" si="18"/>
        <v>62867.356804749979</v>
      </c>
      <c r="S67" s="682"/>
    </row>
    <row r="68" spans="1:19">
      <c r="A68" s="1066">
        <f t="shared" si="1"/>
        <v>54</v>
      </c>
      <c r="B68" s="682">
        <v>37502</v>
      </c>
      <c r="C68" s="4" t="s">
        <v>1018</v>
      </c>
      <c r="D68" s="445">
        <v>32193.092006250019</v>
      </c>
      <c r="E68" s="806">
        <v>0</v>
      </c>
      <c r="F68" s="806">
        <f t="shared" si="2"/>
        <v>32193.092006250019</v>
      </c>
      <c r="G68" s="620">
        <f t="shared" si="15"/>
        <v>1</v>
      </c>
      <c r="H68" s="620">
        <f t="shared" si="15"/>
        <v>1</v>
      </c>
      <c r="I68" s="806">
        <f t="shared" si="16"/>
        <v>32193.092006250019</v>
      </c>
      <c r="J68" s="106"/>
      <c r="K68" s="445">
        <v>31716.570849250005</v>
      </c>
      <c r="L68" s="621">
        <f t="shared" si="17"/>
        <v>1</v>
      </c>
      <c r="M68" s="621">
        <f t="shared" si="17"/>
        <v>1</v>
      </c>
      <c r="N68" s="387">
        <f t="shared" si="18"/>
        <v>31716.570849250005</v>
      </c>
      <c r="S68" s="682"/>
    </row>
    <row r="69" spans="1:19">
      <c r="A69" s="1066">
        <f t="shared" si="1"/>
        <v>55</v>
      </c>
      <c r="B69" s="682">
        <v>37503</v>
      </c>
      <c r="C69" s="4" t="s">
        <v>1017</v>
      </c>
      <c r="D69" s="445">
        <v>1689.5173249999984</v>
      </c>
      <c r="E69" s="806">
        <v>0</v>
      </c>
      <c r="F69" s="806">
        <f t="shared" si="2"/>
        <v>1689.5173249999984</v>
      </c>
      <c r="G69" s="620">
        <f t="shared" si="15"/>
        <v>1</v>
      </c>
      <c r="H69" s="620">
        <f t="shared" si="15"/>
        <v>1</v>
      </c>
      <c r="I69" s="806">
        <f t="shared" si="16"/>
        <v>1689.5173249999984</v>
      </c>
      <c r="J69" s="106"/>
      <c r="K69" s="445">
        <v>1648.2650009999986</v>
      </c>
      <c r="L69" s="621">
        <f t="shared" si="17"/>
        <v>1</v>
      </c>
      <c r="M69" s="621">
        <f t="shared" si="17"/>
        <v>1</v>
      </c>
      <c r="N69" s="387">
        <f t="shared" si="18"/>
        <v>1648.2650009999986</v>
      </c>
      <c r="S69" s="682"/>
    </row>
    <row r="70" spans="1:19">
      <c r="A70" s="1066">
        <f t="shared" si="1"/>
        <v>56</v>
      </c>
      <c r="B70" s="682">
        <v>37600</v>
      </c>
      <c r="C70" s="4" t="s">
        <v>861</v>
      </c>
      <c r="D70" s="445">
        <v>12660763.323098714</v>
      </c>
      <c r="E70" s="806">
        <v>0</v>
      </c>
      <c r="F70" s="806">
        <f t="shared" si="2"/>
        <v>12660763.323098714</v>
      </c>
      <c r="G70" s="620">
        <f t="shared" si="15"/>
        <v>1</v>
      </c>
      <c r="H70" s="620">
        <f t="shared" si="15"/>
        <v>1</v>
      </c>
      <c r="I70" s="806">
        <f t="shared" si="16"/>
        <v>12660763.323098714</v>
      </c>
      <c r="J70" s="106"/>
      <c r="K70" s="445">
        <v>12578105.133971414</v>
      </c>
      <c r="L70" s="621">
        <f t="shared" si="17"/>
        <v>1</v>
      </c>
      <c r="M70" s="621">
        <f t="shared" si="17"/>
        <v>1</v>
      </c>
      <c r="N70" s="387">
        <f t="shared" si="18"/>
        <v>12578105.133971414</v>
      </c>
      <c r="S70" s="682"/>
    </row>
    <row r="71" spans="1:19">
      <c r="A71" s="1066">
        <f t="shared" si="1"/>
        <v>57</v>
      </c>
      <c r="B71" s="682">
        <v>37601</v>
      </c>
      <c r="C71" s="4" t="s">
        <v>16</v>
      </c>
      <c r="D71" s="445">
        <v>26083231.412915513</v>
      </c>
      <c r="E71" s="806">
        <v>0</v>
      </c>
      <c r="F71" s="806">
        <f t="shared" si="2"/>
        <v>26083231.412915513</v>
      </c>
      <c r="G71" s="620">
        <f t="shared" si="15"/>
        <v>1</v>
      </c>
      <c r="H71" s="620">
        <f t="shared" si="15"/>
        <v>1</v>
      </c>
      <c r="I71" s="806">
        <f t="shared" si="16"/>
        <v>26083231.412915513</v>
      </c>
      <c r="J71" s="106"/>
      <c r="K71" s="445">
        <v>25524888.289815757</v>
      </c>
      <c r="L71" s="621">
        <f t="shared" si="17"/>
        <v>1</v>
      </c>
      <c r="M71" s="621">
        <f t="shared" si="17"/>
        <v>1</v>
      </c>
      <c r="N71" s="387">
        <f t="shared" si="18"/>
        <v>25524888.289815757</v>
      </c>
      <c r="S71" s="682"/>
    </row>
    <row r="72" spans="1:19">
      <c r="A72" s="1066">
        <f t="shared" si="1"/>
        <v>58</v>
      </c>
      <c r="B72" s="682">
        <v>37602</v>
      </c>
      <c r="C72" s="4" t="s">
        <v>862</v>
      </c>
      <c r="D72" s="445">
        <v>15348243.288096942</v>
      </c>
      <c r="E72" s="806">
        <v>0</v>
      </c>
      <c r="F72" s="806">
        <f t="shared" si="2"/>
        <v>15348243.288096942</v>
      </c>
      <c r="G72" s="620">
        <f t="shared" si="15"/>
        <v>1</v>
      </c>
      <c r="H72" s="620">
        <f t="shared" si="15"/>
        <v>1</v>
      </c>
      <c r="I72" s="806">
        <f t="shared" si="16"/>
        <v>15348243.288096942</v>
      </c>
      <c r="J72" s="106"/>
      <c r="K72" s="445">
        <v>14330087.536266159</v>
      </c>
      <c r="L72" s="621">
        <f t="shared" si="17"/>
        <v>1</v>
      </c>
      <c r="M72" s="621">
        <f t="shared" si="17"/>
        <v>1</v>
      </c>
      <c r="N72" s="387">
        <f t="shared" si="18"/>
        <v>14330087.536266159</v>
      </c>
      <c r="S72" s="682"/>
    </row>
    <row r="73" spans="1:19">
      <c r="A73" s="1066">
        <f t="shared" si="1"/>
        <v>59</v>
      </c>
      <c r="B73" s="682">
        <v>37800</v>
      </c>
      <c r="C73" s="4" t="s">
        <v>234</v>
      </c>
      <c r="D73" s="445">
        <v>2142673.7540819012</v>
      </c>
      <c r="E73" s="806">
        <v>0</v>
      </c>
      <c r="F73" s="806">
        <f t="shared" si="2"/>
        <v>2142673.7540819012</v>
      </c>
      <c r="G73" s="620">
        <f t="shared" si="15"/>
        <v>1</v>
      </c>
      <c r="H73" s="620">
        <f t="shared" si="15"/>
        <v>1</v>
      </c>
      <c r="I73" s="806">
        <f t="shared" si="16"/>
        <v>2142673.7540819012</v>
      </c>
      <c r="J73" s="106"/>
      <c r="K73" s="445">
        <v>2038915.9815451743</v>
      </c>
      <c r="L73" s="621">
        <f t="shared" si="17"/>
        <v>1</v>
      </c>
      <c r="M73" s="621">
        <f t="shared" si="17"/>
        <v>1</v>
      </c>
      <c r="N73" s="387">
        <f t="shared" si="18"/>
        <v>2038915.9815451743</v>
      </c>
      <c r="S73" s="682"/>
    </row>
    <row r="74" spans="1:19">
      <c r="A74" s="1066">
        <f t="shared" si="1"/>
        <v>60</v>
      </c>
      <c r="B74" s="682">
        <v>37900</v>
      </c>
      <c r="C74" s="4" t="s">
        <v>1211</v>
      </c>
      <c r="D74" s="445">
        <v>679579.98718646693</v>
      </c>
      <c r="E74" s="806">
        <v>0</v>
      </c>
      <c r="F74" s="806">
        <f t="shared" si="2"/>
        <v>679579.98718646693</v>
      </c>
      <c r="G74" s="620">
        <f t="shared" si="15"/>
        <v>1</v>
      </c>
      <c r="H74" s="620">
        <f t="shared" si="15"/>
        <v>1</v>
      </c>
      <c r="I74" s="806">
        <f t="shared" si="16"/>
        <v>679579.98718646693</v>
      </c>
      <c r="J74" s="106"/>
      <c r="K74" s="445">
        <v>636894.23245869752</v>
      </c>
      <c r="L74" s="621">
        <f t="shared" si="17"/>
        <v>1</v>
      </c>
      <c r="M74" s="621">
        <f t="shared" si="17"/>
        <v>1</v>
      </c>
      <c r="N74" s="387">
        <f t="shared" si="18"/>
        <v>636894.23245869752</v>
      </c>
      <c r="S74" s="682"/>
    </row>
    <row r="75" spans="1:19">
      <c r="A75" s="1066">
        <f t="shared" si="1"/>
        <v>61</v>
      </c>
      <c r="B75" s="682">
        <v>37905</v>
      </c>
      <c r="C75" s="4" t="s">
        <v>742</v>
      </c>
      <c r="D75" s="445">
        <v>892395.7075239995</v>
      </c>
      <c r="E75" s="806">
        <v>0</v>
      </c>
      <c r="F75" s="806">
        <f t="shared" si="2"/>
        <v>892395.7075239995</v>
      </c>
      <c r="G75" s="620">
        <f t="shared" si="15"/>
        <v>1</v>
      </c>
      <c r="H75" s="620">
        <f t="shared" si="15"/>
        <v>1</v>
      </c>
      <c r="I75" s="806">
        <f t="shared" si="16"/>
        <v>892395.7075239995</v>
      </c>
      <c r="J75" s="106"/>
      <c r="K75" s="445">
        <v>872464.07280099951</v>
      </c>
      <c r="L75" s="621">
        <f t="shared" si="17"/>
        <v>1</v>
      </c>
      <c r="M75" s="621">
        <f t="shared" si="17"/>
        <v>1</v>
      </c>
      <c r="N75" s="387">
        <f t="shared" si="18"/>
        <v>872464.07280099951</v>
      </c>
      <c r="S75" s="682"/>
    </row>
    <row r="76" spans="1:19">
      <c r="A76" s="1066">
        <f t="shared" si="1"/>
        <v>62</v>
      </c>
      <c r="B76" s="682">
        <v>38000</v>
      </c>
      <c r="C76" s="4" t="s">
        <v>1072</v>
      </c>
      <c r="D76" s="445">
        <v>41655395.432840094</v>
      </c>
      <c r="E76" s="806">
        <v>0</v>
      </c>
      <c r="F76" s="806">
        <f t="shared" ref="F76:F105" si="19">D76-E76</f>
        <v>41655395.432840094</v>
      </c>
      <c r="G76" s="620">
        <f t="shared" si="15"/>
        <v>1</v>
      </c>
      <c r="H76" s="620">
        <f t="shared" si="15"/>
        <v>1</v>
      </c>
      <c r="I76" s="806">
        <f t="shared" si="16"/>
        <v>41655395.432840094</v>
      </c>
      <c r="J76" s="106"/>
      <c r="K76" s="445">
        <v>41272507.927149758</v>
      </c>
      <c r="L76" s="621">
        <f t="shared" si="17"/>
        <v>1</v>
      </c>
      <c r="M76" s="621">
        <f t="shared" si="17"/>
        <v>1</v>
      </c>
      <c r="N76" s="387">
        <f t="shared" si="18"/>
        <v>41272507.927149758</v>
      </c>
      <c r="S76" s="682"/>
    </row>
    <row r="77" spans="1:19">
      <c r="A77" s="1066">
        <f t="shared" si="1"/>
        <v>63</v>
      </c>
      <c r="B77" s="682">
        <v>38100</v>
      </c>
      <c r="C77" s="4" t="s">
        <v>863</v>
      </c>
      <c r="D77" s="445">
        <v>18671570.976204012</v>
      </c>
      <c r="E77" s="806">
        <v>0</v>
      </c>
      <c r="F77" s="806">
        <f t="shared" si="19"/>
        <v>18671570.976204012</v>
      </c>
      <c r="G77" s="620">
        <f t="shared" si="15"/>
        <v>1</v>
      </c>
      <c r="H77" s="620">
        <f t="shared" si="15"/>
        <v>1</v>
      </c>
      <c r="I77" s="806">
        <f t="shared" si="16"/>
        <v>18671570.976204012</v>
      </c>
      <c r="J77" s="106"/>
      <c r="K77" s="445">
        <v>17358735.30478375</v>
      </c>
      <c r="L77" s="621">
        <f t="shared" si="17"/>
        <v>1</v>
      </c>
      <c r="M77" s="621">
        <f t="shared" si="17"/>
        <v>1</v>
      </c>
      <c r="N77" s="387">
        <f t="shared" si="18"/>
        <v>17358735.30478375</v>
      </c>
      <c r="S77" s="682"/>
    </row>
    <row r="78" spans="1:19">
      <c r="A78" s="1066">
        <f t="shared" si="1"/>
        <v>64</v>
      </c>
      <c r="B78" s="682">
        <v>38200</v>
      </c>
      <c r="C78" s="4" t="s">
        <v>456</v>
      </c>
      <c r="D78" s="445">
        <v>23280850.864318892</v>
      </c>
      <c r="E78" s="806">
        <v>0</v>
      </c>
      <c r="F78" s="806">
        <f t="shared" si="19"/>
        <v>23280850.864318892</v>
      </c>
      <c r="G78" s="620">
        <f t="shared" si="15"/>
        <v>1</v>
      </c>
      <c r="H78" s="620">
        <f t="shared" si="15"/>
        <v>1</v>
      </c>
      <c r="I78" s="806">
        <f t="shared" si="16"/>
        <v>23280850.864318892</v>
      </c>
      <c r="J78" s="106"/>
      <c r="K78" s="445">
        <v>22450522.574529503</v>
      </c>
      <c r="L78" s="621">
        <f t="shared" si="17"/>
        <v>1</v>
      </c>
      <c r="M78" s="621">
        <f t="shared" si="17"/>
        <v>1</v>
      </c>
      <c r="N78" s="387">
        <f t="shared" si="18"/>
        <v>22450522.574529503</v>
      </c>
      <c r="S78" s="682"/>
    </row>
    <row r="79" spans="1:19">
      <c r="A79" s="1066">
        <f t="shared" si="1"/>
        <v>65</v>
      </c>
      <c r="B79" s="682">
        <v>38300</v>
      </c>
      <c r="C79" s="4" t="s">
        <v>1073</v>
      </c>
      <c r="D79" s="445">
        <v>3531551.1178544154</v>
      </c>
      <c r="E79" s="806">
        <v>0</v>
      </c>
      <c r="F79" s="806">
        <f t="shared" si="19"/>
        <v>3531551.1178544154</v>
      </c>
      <c r="G79" s="620">
        <f t="shared" si="15"/>
        <v>1</v>
      </c>
      <c r="H79" s="620">
        <f t="shared" si="15"/>
        <v>1</v>
      </c>
      <c r="I79" s="806">
        <f t="shared" si="16"/>
        <v>3531551.1178544154</v>
      </c>
      <c r="J79" s="106"/>
      <c r="K79" s="445">
        <v>3398827.3738379604</v>
      </c>
      <c r="L79" s="621">
        <f t="shared" si="17"/>
        <v>1</v>
      </c>
      <c r="M79" s="621">
        <f t="shared" si="17"/>
        <v>1</v>
      </c>
      <c r="N79" s="387">
        <f t="shared" si="18"/>
        <v>3398827.3738379604</v>
      </c>
      <c r="S79" s="682"/>
    </row>
    <row r="80" spans="1:19">
      <c r="A80" s="1066">
        <f t="shared" si="1"/>
        <v>66</v>
      </c>
      <c r="B80" s="682">
        <v>38400</v>
      </c>
      <c r="C80" s="4" t="s">
        <v>457</v>
      </c>
      <c r="D80" s="445">
        <v>78773.228390999924</v>
      </c>
      <c r="E80" s="806">
        <v>0</v>
      </c>
      <c r="F80" s="806">
        <f t="shared" si="19"/>
        <v>78773.228390999924</v>
      </c>
      <c r="G80" s="620">
        <f t="shared" si="15"/>
        <v>1</v>
      </c>
      <c r="H80" s="620">
        <f t="shared" si="15"/>
        <v>1</v>
      </c>
      <c r="I80" s="806">
        <f t="shared" si="16"/>
        <v>78773.228390999924</v>
      </c>
      <c r="J80" s="106"/>
      <c r="K80" s="445">
        <v>76960.481160999945</v>
      </c>
      <c r="L80" s="621">
        <f t="shared" si="17"/>
        <v>1</v>
      </c>
      <c r="M80" s="621">
        <f t="shared" si="17"/>
        <v>1</v>
      </c>
      <c r="N80" s="387">
        <f t="shared" si="18"/>
        <v>76960.481160999945</v>
      </c>
      <c r="S80" s="682"/>
    </row>
    <row r="81" spans="1:19">
      <c r="A81" s="1066">
        <f t="shared" ref="A81:A145" si="20">A80+1</f>
        <v>67</v>
      </c>
      <c r="B81" s="682">
        <v>38500</v>
      </c>
      <c r="C81" s="4" t="s">
        <v>458</v>
      </c>
      <c r="D81" s="445">
        <v>2865623.0694946027</v>
      </c>
      <c r="E81" s="806">
        <v>0</v>
      </c>
      <c r="F81" s="806">
        <f t="shared" si="19"/>
        <v>2865623.0694946027</v>
      </c>
      <c r="G81" s="620">
        <f t="shared" si="15"/>
        <v>1</v>
      </c>
      <c r="H81" s="620">
        <f t="shared" si="15"/>
        <v>1</v>
      </c>
      <c r="I81" s="806">
        <f t="shared" si="16"/>
        <v>2865623.0694946027</v>
      </c>
      <c r="J81" s="106"/>
      <c r="K81" s="445">
        <v>2791795.3745909301</v>
      </c>
      <c r="L81" s="621">
        <f t="shared" si="17"/>
        <v>1</v>
      </c>
      <c r="M81" s="621">
        <f t="shared" si="17"/>
        <v>1</v>
      </c>
      <c r="N81" s="387">
        <f t="shared" si="18"/>
        <v>2791795.3745909301</v>
      </c>
      <c r="S81" s="682"/>
    </row>
    <row r="82" spans="1:19">
      <c r="A82" s="1066">
        <f t="shared" si="20"/>
        <v>68</v>
      </c>
      <c r="B82" s="682"/>
      <c r="C82" s="4"/>
      <c r="D82" s="1144"/>
      <c r="E82" s="1144"/>
      <c r="F82" s="1144"/>
      <c r="G82" s="620"/>
      <c r="H82" s="620"/>
      <c r="I82" s="1144"/>
      <c r="J82" s="106"/>
      <c r="K82" s="1144"/>
      <c r="N82" s="789"/>
    </row>
    <row r="83" spans="1:19">
      <c r="A83" s="1066">
        <f t="shared" si="20"/>
        <v>69</v>
      </c>
      <c r="B83" s="682"/>
      <c r="C83" s="4" t="s">
        <v>1436</v>
      </c>
      <c r="D83" s="459">
        <f>SUM(D62:D82)</f>
        <v>148216246.74879867</v>
      </c>
      <c r="E83" s="459">
        <f>SUM(E62:E82)</f>
        <v>0</v>
      </c>
      <c r="F83" s="459">
        <f>SUM(F62:F82)</f>
        <v>148216246.74879867</v>
      </c>
      <c r="G83" s="620"/>
      <c r="H83" s="620"/>
      <c r="I83" s="459">
        <f>SUM(I62:I82)</f>
        <v>148216246.74879867</v>
      </c>
      <c r="J83" s="106"/>
      <c r="K83" s="459">
        <f>SUM(K62:K82)</f>
        <v>143640263.9307141</v>
      </c>
      <c r="N83" s="404">
        <f>SUM(N62:N82)</f>
        <v>143640263.9307141</v>
      </c>
    </row>
    <row r="84" spans="1:19">
      <c r="A84" s="1066">
        <f t="shared" si="20"/>
        <v>70</v>
      </c>
      <c r="B84" s="682"/>
      <c r="C84" s="4"/>
      <c r="D84" s="806"/>
      <c r="E84" s="806"/>
      <c r="F84" s="806"/>
      <c r="G84" s="620"/>
      <c r="H84" s="620"/>
      <c r="I84" s="806"/>
      <c r="J84" s="106"/>
      <c r="K84" s="806"/>
      <c r="N84" s="387"/>
    </row>
    <row r="85" spans="1:19">
      <c r="A85" s="1066">
        <f t="shared" si="20"/>
        <v>71</v>
      </c>
      <c r="B85" s="465"/>
      <c r="C85" s="17" t="s">
        <v>309</v>
      </c>
      <c r="D85" s="806"/>
      <c r="E85" s="806"/>
      <c r="F85" s="806"/>
      <c r="G85" s="620"/>
      <c r="H85" s="620"/>
      <c r="I85" s="806"/>
      <c r="J85" s="106"/>
      <c r="K85" s="806"/>
      <c r="N85" s="387"/>
    </row>
    <row r="86" spans="1:19">
      <c r="A86" s="1066">
        <f t="shared" si="20"/>
        <v>72</v>
      </c>
      <c r="B86" s="682">
        <v>38900</v>
      </c>
      <c r="C86" s="4" t="s">
        <v>1168</v>
      </c>
      <c r="D86" s="445">
        <v>0</v>
      </c>
      <c r="E86" s="459">
        <v>0</v>
      </c>
      <c r="F86" s="459">
        <f t="shared" si="19"/>
        <v>0</v>
      </c>
      <c r="G86" s="620">
        <f t="shared" ref="G86:H99" si="21">$G$16</f>
        <v>1</v>
      </c>
      <c r="H86" s="620">
        <f t="shared" si="21"/>
        <v>1</v>
      </c>
      <c r="I86" s="459">
        <f t="shared" ref="I86:I105" si="22">F86*G86*H86</f>
        <v>0</v>
      </c>
      <c r="J86" s="106"/>
      <c r="K86" s="445">
        <v>0</v>
      </c>
      <c r="L86" s="621">
        <f t="shared" ref="L86:M99" si="23">$G$16</f>
        <v>1</v>
      </c>
      <c r="M86" s="621">
        <f t="shared" si="23"/>
        <v>1</v>
      </c>
      <c r="N86" s="404">
        <f t="shared" ref="N86:N105" si="24">K86*L86*M86</f>
        <v>0</v>
      </c>
      <c r="S86" s="682"/>
    </row>
    <row r="87" spans="1:19">
      <c r="A87" s="1066">
        <f t="shared" si="20"/>
        <v>73</v>
      </c>
      <c r="B87" s="682">
        <v>39000</v>
      </c>
      <c r="C87" s="4" t="s">
        <v>556</v>
      </c>
      <c r="D87" s="445">
        <v>288873.74155598029</v>
      </c>
      <c r="E87" s="806">
        <v>0</v>
      </c>
      <c r="F87" s="806">
        <f t="shared" si="19"/>
        <v>288873.74155598029</v>
      </c>
      <c r="G87" s="620">
        <f t="shared" si="21"/>
        <v>1</v>
      </c>
      <c r="H87" s="620">
        <f t="shared" si="21"/>
        <v>1</v>
      </c>
      <c r="I87" s="806">
        <f t="shared" si="22"/>
        <v>288873.74155598029</v>
      </c>
      <c r="J87" s="106"/>
      <c r="K87" s="445">
        <v>189368.35360294068</v>
      </c>
      <c r="L87" s="621">
        <f t="shared" si="23"/>
        <v>1</v>
      </c>
      <c r="M87" s="621">
        <f t="shared" si="23"/>
        <v>1</v>
      </c>
      <c r="N87" s="387">
        <f t="shared" si="24"/>
        <v>189368.35360294068</v>
      </c>
      <c r="S87" s="682"/>
    </row>
    <row r="88" spans="1:19">
      <c r="A88" s="1066">
        <f t="shared" si="20"/>
        <v>74</v>
      </c>
      <c r="B88" s="682">
        <v>39002</v>
      </c>
      <c r="C88" s="4" t="s">
        <v>1017</v>
      </c>
      <c r="D88" s="445">
        <v>69559.120743749969</v>
      </c>
      <c r="E88" s="806">
        <v>0</v>
      </c>
      <c r="F88" s="806">
        <f t="shared" si="19"/>
        <v>69559.120743749969</v>
      </c>
      <c r="G88" s="620">
        <f t="shared" si="21"/>
        <v>1</v>
      </c>
      <c r="H88" s="620">
        <f t="shared" si="21"/>
        <v>1</v>
      </c>
      <c r="I88" s="806">
        <f t="shared" si="22"/>
        <v>69559.120743749969</v>
      </c>
      <c r="J88" s="106"/>
      <c r="K88" s="445">
        <v>66304.561563749987</v>
      </c>
      <c r="L88" s="621">
        <f t="shared" si="23"/>
        <v>1</v>
      </c>
      <c r="M88" s="621">
        <f t="shared" si="23"/>
        <v>1</v>
      </c>
      <c r="N88" s="387">
        <f t="shared" si="24"/>
        <v>66304.561563749987</v>
      </c>
      <c r="S88" s="682"/>
    </row>
    <row r="89" spans="1:19">
      <c r="A89" s="1066">
        <f t="shared" si="20"/>
        <v>75</v>
      </c>
      <c r="B89" s="682">
        <v>39003</v>
      </c>
      <c r="C89" s="4" t="s">
        <v>459</v>
      </c>
      <c r="D89" s="445">
        <v>180016.43598250006</v>
      </c>
      <c r="E89" s="806">
        <v>0</v>
      </c>
      <c r="F89" s="806">
        <f t="shared" si="19"/>
        <v>180016.43598250006</v>
      </c>
      <c r="G89" s="620">
        <f t="shared" si="21"/>
        <v>1</v>
      </c>
      <c r="H89" s="620">
        <f t="shared" si="21"/>
        <v>1</v>
      </c>
      <c r="I89" s="806">
        <f t="shared" si="22"/>
        <v>180016.43598250006</v>
      </c>
      <c r="J89" s="106"/>
      <c r="K89" s="445">
        <v>166683.49139850002</v>
      </c>
      <c r="L89" s="621">
        <f t="shared" si="23"/>
        <v>1</v>
      </c>
      <c r="M89" s="621">
        <f t="shared" si="23"/>
        <v>1</v>
      </c>
      <c r="N89" s="387">
        <f t="shared" si="24"/>
        <v>166683.49139850002</v>
      </c>
      <c r="S89" s="682"/>
    </row>
    <row r="90" spans="1:19">
      <c r="A90" s="1066">
        <f t="shared" si="20"/>
        <v>76</v>
      </c>
      <c r="B90" s="682">
        <v>39004</v>
      </c>
      <c r="C90" s="4" t="s">
        <v>1056</v>
      </c>
      <c r="D90" s="445">
        <v>2710.7156537500009</v>
      </c>
      <c r="E90" s="806">
        <v>0</v>
      </c>
      <c r="F90" s="806">
        <f t="shared" si="19"/>
        <v>2710.7156537500009</v>
      </c>
      <c r="G90" s="620">
        <f t="shared" si="21"/>
        <v>1</v>
      </c>
      <c r="H90" s="620">
        <f t="shared" si="21"/>
        <v>1</v>
      </c>
      <c r="I90" s="806">
        <f t="shared" si="22"/>
        <v>2710.7156537500009</v>
      </c>
      <c r="J90" s="106"/>
      <c r="K90" s="445">
        <v>2570.4396417499997</v>
      </c>
      <c r="L90" s="621">
        <f t="shared" si="23"/>
        <v>1</v>
      </c>
      <c r="M90" s="621">
        <f t="shared" si="23"/>
        <v>1</v>
      </c>
      <c r="N90" s="387">
        <f t="shared" si="24"/>
        <v>2570.4396417499997</v>
      </c>
      <c r="S90" s="682"/>
    </row>
    <row r="91" spans="1:19">
      <c r="A91" s="1066">
        <f t="shared" si="20"/>
        <v>77</v>
      </c>
      <c r="B91" s="682">
        <v>39009</v>
      </c>
      <c r="C91" s="4" t="s">
        <v>796</v>
      </c>
      <c r="D91" s="445">
        <v>1024306.2870815003</v>
      </c>
      <c r="E91" s="806">
        <v>0</v>
      </c>
      <c r="F91" s="806">
        <f t="shared" si="19"/>
        <v>1024306.2870815003</v>
      </c>
      <c r="G91" s="620">
        <f t="shared" si="21"/>
        <v>1</v>
      </c>
      <c r="H91" s="620">
        <f t="shared" si="21"/>
        <v>1</v>
      </c>
      <c r="I91" s="806">
        <f t="shared" si="22"/>
        <v>1024306.2870815003</v>
      </c>
      <c r="J91" s="106"/>
      <c r="K91" s="445">
        <v>907724.82154250005</v>
      </c>
      <c r="L91" s="621">
        <f t="shared" si="23"/>
        <v>1</v>
      </c>
      <c r="M91" s="621">
        <f t="shared" si="23"/>
        <v>1</v>
      </c>
      <c r="N91" s="387">
        <f t="shared" si="24"/>
        <v>907724.82154250005</v>
      </c>
      <c r="S91" s="682"/>
    </row>
    <row r="92" spans="1:19">
      <c r="A92" s="1066">
        <f t="shared" si="20"/>
        <v>78</v>
      </c>
      <c r="B92" s="682">
        <v>39100</v>
      </c>
      <c r="C92" s="4" t="s">
        <v>542</v>
      </c>
      <c r="D92" s="445">
        <v>750144.49637995975</v>
      </c>
      <c r="E92" s="806">
        <v>0</v>
      </c>
      <c r="F92" s="806">
        <f t="shared" si="19"/>
        <v>750144.49637995975</v>
      </c>
      <c r="G92" s="620">
        <f t="shared" si="21"/>
        <v>1</v>
      </c>
      <c r="H92" s="620">
        <f t="shared" si="21"/>
        <v>1</v>
      </c>
      <c r="I92" s="806">
        <f t="shared" si="22"/>
        <v>750144.49637995975</v>
      </c>
      <c r="J92" s="106"/>
      <c r="K92" s="445">
        <v>684601.55286056688</v>
      </c>
      <c r="L92" s="621">
        <f t="shared" si="23"/>
        <v>1</v>
      </c>
      <c r="M92" s="621">
        <f t="shared" si="23"/>
        <v>1</v>
      </c>
      <c r="N92" s="387">
        <f t="shared" si="24"/>
        <v>684601.55286056688</v>
      </c>
      <c r="S92" s="682"/>
    </row>
    <row r="93" spans="1:19">
      <c r="A93" s="1066">
        <f t="shared" si="20"/>
        <v>79</v>
      </c>
      <c r="B93" s="682">
        <v>39200</v>
      </c>
      <c r="C93" s="4" t="s">
        <v>348</v>
      </c>
      <c r="D93" s="445">
        <v>203084.81188375011</v>
      </c>
      <c r="E93" s="806">
        <v>0</v>
      </c>
      <c r="F93" s="806">
        <f t="shared" si="19"/>
        <v>203084.81188375011</v>
      </c>
      <c r="G93" s="620">
        <f t="shared" si="21"/>
        <v>1</v>
      </c>
      <c r="H93" s="620">
        <f t="shared" si="21"/>
        <v>1</v>
      </c>
      <c r="I93" s="806">
        <f t="shared" si="22"/>
        <v>203084.81188375011</v>
      </c>
      <c r="J93" s="106"/>
      <c r="K93" s="445">
        <v>175612.79664675007</v>
      </c>
      <c r="L93" s="621">
        <f t="shared" si="23"/>
        <v>1</v>
      </c>
      <c r="M93" s="621">
        <f t="shared" si="23"/>
        <v>1</v>
      </c>
      <c r="N93" s="387">
        <f t="shared" si="24"/>
        <v>175612.79664675007</v>
      </c>
      <c r="S93" s="682"/>
    </row>
    <row r="94" spans="1:19">
      <c r="A94" s="1066">
        <f t="shared" si="20"/>
        <v>80</v>
      </c>
      <c r="B94" s="682">
        <v>39202</v>
      </c>
      <c r="C94" s="4" t="s">
        <v>91</v>
      </c>
      <c r="D94" s="445">
        <v>31980.224776000006</v>
      </c>
      <c r="E94" s="806">
        <v>0</v>
      </c>
      <c r="F94" s="806">
        <f t="shared" si="19"/>
        <v>31980.224776000006</v>
      </c>
      <c r="G94" s="620">
        <f t="shared" si="21"/>
        <v>1</v>
      </c>
      <c r="H94" s="620">
        <f t="shared" si="21"/>
        <v>1</v>
      </c>
      <c r="I94" s="806">
        <f t="shared" si="22"/>
        <v>31980.224776000006</v>
      </c>
      <c r="J94" s="106"/>
      <c r="K94" s="445">
        <v>30328.927253500002</v>
      </c>
      <c r="L94" s="621">
        <f t="shared" si="23"/>
        <v>1</v>
      </c>
      <c r="M94" s="621">
        <f t="shared" si="23"/>
        <v>1</v>
      </c>
      <c r="N94" s="387">
        <f t="shared" si="24"/>
        <v>30328.927253500002</v>
      </c>
      <c r="S94" s="682"/>
    </row>
    <row r="95" spans="1:19">
      <c r="A95" s="1066">
        <f t="shared" si="20"/>
        <v>81</v>
      </c>
      <c r="B95" s="682">
        <v>39400</v>
      </c>
      <c r="C95" s="4" t="s">
        <v>557</v>
      </c>
      <c r="D95" s="445">
        <v>695086.97990251658</v>
      </c>
      <c r="E95" s="806">
        <v>0</v>
      </c>
      <c r="F95" s="806">
        <f t="shared" si="19"/>
        <v>695086.97990251658</v>
      </c>
      <c r="G95" s="620">
        <f t="shared" si="21"/>
        <v>1</v>
      </c>
      <c r="H95" s="620">
        <f t="shared" si="21"/>
        <v>1</v>
      </c>
      <c r="I95" s="806">
        <f t="shared" si="22"/>
        <v>695086.97990251658</v>
      </c>
      <c r="J95" s="106"/>
      <c r="K95" s="445">
        <v>619931.1464350638</v>
      </c>
      <c r="L95" s="621">
        <f t="shared" si="23"/>
        <v>1</v>
      </c>
      <c r="M95" s="621">
        <f t="shared" si="23"/>
        <v>1</v>
      </c>
      <c r="N95" s="387">
        <f t="shared" si="24"/>
        <v>619931.1464350638</v>
      </c>
      <c r="S95" s="682"/>
    </row>
    <row r="96" spans="1:19">
      <c r="A96" s="1066">
        <f t="shared" si="20"/>
        <v>82</v>
      </c>
      <c r="B96" s="465">
        <v>39603</v>
      </c>
      <c r="C96" s="4" t="s">
        <v>93</v>
      </c>
      <c r="D96" s="445">
        <v>37181.117188000026</v>
      </c>
      <c r="E96" s="806">
        <v>0</v>
      </c>
      <c r="F96" s="806">
        <f t="shared" si="19"/>
        <v>37181.117188000026</v>
      </c>
      <c r="G96" s="620">
        <f t="shared" si="21"/>
        <v>1</v>
      </c>
      <c r="H96" s="620">
        <f t="shared" si="21"/>
        <v>1</v>
      </c>
      <c r="I96" s="806">
        <f t="shared" si="22"/>
        <v>37181.117188000026</v>
      </c>
      <c r="J96" s="106"/>
      <c r="K96" s="445">
        <v>32576.174032000014</v>
      </c>
      <c r="L96" s="621">
        <f t="shared" si="23"/>
        <v>1</v>
      </c>
      <c r="M96" s="621">
        <f t="shared" si="23"/>
        <v>1</v>
      </c>
      <c r="N96" s="387">
        <f t="shared" si="24"/>
        <v>32576.174032000014</v>
      </c>
      <c r="S96" s="682"/>
    </row>
    <row r="97" spans="1:19">
      <c r="A97" s="1066">
        <f t="shared" si="20"/>
        <v>83</v>
      </c>
      <c r="B97" s="465">
        <v>39604</v>
      </c>
      <c r="C97" s="1" t="s">
        <v>94</v>
      </c>
      <c r="D97" s="445">
        <v>54348.708199499953</v>
      </c>
      <c r="E97" s="806">
        <v>0</v>
      </c>
      <c r="F97" s="806">
        <f t="shared" si="19"/>
        <v>54348.708199499953</v>
      </c>
      <c r="G97" s="620">
        <f t="shared" si="21"/>
        <v>1</v>
      </c>
      <c r="H97" s="620">
        <f t="shared" si="21"/>
        <v>1</v>
      </c>
      <c r="I97" s="806">
        <f t="shared" si="22"/>
        <v>54348.708199499953</v>
      </c>
      <c r="J97" s="106"/>
      <c r="K97" s="445">
        <v>48240.259517999963</v>
      </c>
      <c r="L97" s="621">
        <f t="shared" si="23"/>
        <v>1</v>
      </c>
      <c r="M97" s="621">
        <f t="shared" si="23"/>
        <v>1</v>
      </c>
      <c r="N97" s="387">
        <f t="shared" si="24"/>
        <v>48240.259517999963</v>
      </c>
      <c r="S97" s="682"/>
    </row>
    <row r="98" spans="1:19">
      <c r="A98" s="1066">
        <f t="shared" si="20"/>
        <v>84</v>
      </c>
      <c r="B98" s="465">
        <v>39605</v>
      </c>
      <c r="C98" s="4" t="s">
        <v>454</v>
      </c>
      <c r="D98" s="445">
        <v>25448.757107000012</v>
      </c>
      <c r="E98" s="806">
        <v>0</v>
      </c>
      <c r="F98" s="806">
        <f t="shared" si="19"/>
        <v>25448.757107000012</v>
      </c>
      <c r="G98" s="620">
        <f t="shared" si="21"/>
        <v>1</v>
      </c>
      <c r="H98" s="620">
        <f t="shared" si="21"/>
        <v>1</v>
      </c>
      <c r="I98" s="806">
        <f t="shared" si="22"/>
        <v>25448.757107000012</v>
      </c>
      <c r="J98" s="106"/>
      <c r="K98" s="445">
        <v>22213.23834800001</v>
      </c>
      <c r="L98" s="621">
        <f t="shared" si="23"/>
        <v>1</v>
      </c>
      <c r="M98" s="621">
        <f t="shared" si="23"/>
        <v>1</v>
      </c>
      <c r="N98" s="387">
        <f t="shared" si="24"/>
        <v>22213.23834800001</v>
      </c>
      <c r="S98" s="682"/>
    </row>
    <row r="99" spans="1:19">
      <c r="A99" s="1066">
        <f t="shared" si="20"/>
        <v>85</v>
      </c>
      <c r="B99" s="465">
        <v>39700</v>
      </c>
      <c r="C99" s="4" t="s">
        <v>869</v>
      </c>
      <c r="D99" s="445">
        <v>157295.31149306864</v>
      </c>
      <c r="E99" s="806">
        <v>0</v>
      </c>
      <c r="F99" s="806">
        <f t="shared" si="19"/>
        <v>157295.31149306864</v>
      </c>
      <c r="G99" s="620">
        <f t="shared" si="21"/>
        <v>1</v>
      </c>
      <c r="H99" s="620">
        <f t="shared" si="21"/>
        <v>1</v>
      </c>
      <c r="I99" s="806">
        <f t="shared" si="22"/>
        <v>157295.31149306864</v>
      </c>
      <c r="J99" s="106"/>
      <c r="K99" s="445">
        <v>143696.15178300833</v>
      </c>
      <c r="L99" s="621">
        <f t="shared" si="23"/>
        <v>1</v>
      </c>
      <c r="M99" s="621">
        <f t="shared" si="23"/>
        <v>1</v>
      </c>
      <c r="N99" s="387">
        <f t="shared" si="24"/>
        <v>143696.15178300833</v>
      </c>
      <c r="S99" s="682"/>
    </row>
    <row r="100" spans="1:19">
      <c r="A100" s="1066">
        <f t="shared" si="20"/>
        <v>86</v>
      </c>
      <c r="B100" s="465">
        <v>39705</v>
      </c>
      <c r="C100" s="4" t="s">
        <v>666</v>
      </c>
      <c r="D100" s="445">
        <v>-34902.689999999988</v>
      </c>
      <c r="E100" s="806">
        <v>0</v>
      </c>
      <c r="F100" s="806">
        <f t="shared" si="19"/>
        <v>-34902.689999999988</v>
      </c>
      <c r="G100" s="620">
        <f t="shared" ref="G100:H108" si="25">$G$16</f>
        <v>1</v>
      </c>
      <c r="H100" s="620">
        <f t="shared" si="25"/>
        <v>1</v>
      </c>
      <c r="I100" s="806">
        <f t="shared" si="22"/>
        <v>-34902.689999999988</v>
      </c>
      <c r="J100" s="106"/>
      <c r="K100" s="445">
        <v>-34902.689999999995</v>
      </c>
      <c r="L100" s="621">
        <f t="shared" ref="L100:M108" si="26">$G$16</f>
        <v>1</v>
      </c>
      <c r="M100" s="621">
        <f t="shared" si="26"/>
        <v>1</v>
      </c>
      <c r="N100" s="387">
        <f t="shared" si="24"/>
        <v>-34902.689999999995</v>
      </c>
      <c r="S100" s="682"/>
    </row>
    <row r="101" spans="1:19">
      <c r="A101" s="1066">
        <f t="shared" si="20"/>
        <v>87</v>
      </c>
      <c r="B101" s="465">
        <v>39800</v>
      </c>
      <c r="C101" s="4" t="s">
        <v>1173</v>
      </c>
      <c r="D101" s="445">
        <v>1321247.5548133163</v>
      </c>
      <c r="E101" s="806">
        <v>0</v>
      </c>
      <c r="F101" s="806">
        <f t="shared" si="19"/>
        <v>1321247.5548133163</v>
      </c>
      <c r="G101" s="620">
        <f t="shared" si="25"/>
        <v>1</v>
      </c>
      <c r="H101" s="620">
        <f t="shared" si="25"/>
        <v>1</v>
      </c>
      <c r="I101" s="806">
        <f t="shared" si="22"/>
        <v>1321247.5548133163</v>
      </c>
      <c r="J101" s="106"/>
      <c r="K101" s="445">
        <v>1212853.0370621542</v>
      </c>
      <c r="L101" s="621">
        <f t="shared" si="26"/>
        <v>1</v>
      </c>
      <c r="M101" s="621">
        <f t="shared" si="26"/>
        <v>1</v>
      </c>
      <c r="N101" s="387">
        <f t="shared" si="24"/>
        <v>1212853.0370621542</v>
      </c>
      <c r="S101" s="682"/>
    </row>
    <row r="102" spans="1:19">
      <c r="A102" s="1066">
        <f t="shared" si="20"/>
        <v>88</v>
      </c>
      <c r="B102" s="465">
        <v>39903</v>
      </c>
      <c r="C102" s="4" t="s">
        <v>1198</v>
      </c>
      <c r="D102" s="445">
        <v>26591.972235982783</v>
      </c>
      <c r="E102" s="806">
        <v>0</v>
      </c>
      <c r="F102" s="806">
        <f t="shared" si="19"/>
        <v>26591.972235982783</v>
      </c>
      <c r="G102" s="620">
        <f t="shared" si="25"/>
        <v>1</v>
      </c>
      <c r="H102" s="620">
        <f t="shared" si="25"/>
        <v>1</v>
      </c>
      <c r="I102" s="806">
        <f t="shared" si="22"/>
        <v>26591.972235982783</v>
      </c>
      <c r="J102" s="106"/>
      <c r="K102" s="445">
        <v>21856.151327578173</v>
      </c>
      <c r="L102" s="621">
        <f t="shared" si="26"/>
        <v>1</v>
      </c>
      <c r="M102" s="621">
        <f t="shared" si="26"/>
        <v>1</v>
      </c>
      <c r="N102" s="387">
        <f t="shared" si="24"/>
        <v>21856.151327578173</v>
      </c>
      <c r="S102" s="682"/>
    </row>
    <row r="103" spans="1:19">
      <c r="A103" s="1066">
        <f t="shared" si="20"/>
        <v>89</v>
      </c>
      <c r="B103" s="465">
        <v>39906</v>
      </c>
      <c r="C103" s="4" t="s">
        <v>520</v>
      </c>
      <c r="D103" s="445">
        <v>613501.74789333763</v>
      </c>
      <c r="E103" s="806">
        <v>0</v>
      </c>
      <c r="F103" s="806">
        <f t="shared" si="19"/>
        <v>613501.74789333763</v>
      </c>
      <c r="G103" s="620">
        <f t="shared" si="25"/>
        <v>1</v>
      </c>
      <c r="H103" s="620">
        <f t="shared" si="25"/>
        <v>1</v>
      </c>
      <c r="I103" s="806">
        <f t="shared" si="22"/>
        <v>613501.74789333763</v>
      </c>
      <c r="J103" s="106"/>
      <c r="K103" s="445">
        <v>489535.2018854121</v>
      </c>
      <c r="L103" s="621">
        <f t="shared" si="26"/>
        <v>1</v>
      </c>
      <c r="M103" s="621">
        <f t="shared" si="26"/>
        <v>1</v>
      </c>
      <c r="N103" s="387">
        <f t="shared" si="24"/>
        <v>489535.2018854121</v>
      </c>
      <c r="S103" s="682"/>
    </row>
    <row r="104" spans="1:19" ht="15" customHeight="1">
      <c r="A104" s="1066">
        <f t="shared" si="20"/>
        <v>90</v>
      </c>
      <c r="B104" s="465">
        <v>39907</v>
      </c>
      <c r="C104" s="4" t="s">
        <v>184</v>
      </c>
      <c r="D104" s="445">
        <v>13751.77</v>
      </c>
      <c r="E104" s="806">
        <v>0</v>
      </c>
      <c r="F104" s="806">
        <f t="shared" si="19"/>
        <v>13751.77</v>
      </c>
      <c r="G104" s="620">
        <f t="shared" si="25"/>
        <v>1</v>
      </c>
      <c r="H104" s="620">
        <f t="shared" si="25"/>
        <v>1</v>
      </c>
      <c r="I104" s="806">
        <f t="shared" si="22"/>
        <v>13751.77</v>
      </c>
      <c r="J104" s="106"/>
      <c r="K104" s="445">
        <v>13751.769999999999</v>
      </c>
      <c r="L104" s="621">
        <f t="shared" si="26"/>
        <v>1</v>
      </c>
      <c r="M104" s="621">
        <f t="shared" si="26"/>
        <v>1</v>
      </c>
      <c r="N104" s="387">
        <f t="shared" si="24"/>
        <v>13751.769999999999</v>
      </c>
      <c r="S104" s="682"/>
    </row>
    <row r="105" spans="1:19">
      <c r="A105" s="1066">
        <f t="shared" si="20"/>
        <v>91</v>
      </c>
      <c r="B105" s="465">
        <v>39908</v>
      </c>
      <c r="C105" s="4" t="s">
        <v>352</v>
      </c>
      <c r="D105" s="445">
        <v>123514.83</v>
      </c>
      <c r="E105" s="806">
        <v>0</v>
      </c>
      <c r="F105" s="806">
        <f t="shared" si="19"/>
        <v>123514.83</v>
      </c>
      <c r="G105" s="620">
        <f t="shared" si="25"/>
        <v>1</v>
      </c>
      <c r="H105" s="620">
        <f t="shared" si="25"/>
        <v>1</v>
      </c>
      <c r="I105" s="806">
        <f t="shared" si="22"/>
        <v>123514.83</v>
      </c>
      <c r="J105" s="106"/>
      <c r="K105" s="445">
        <v>123514.83000000002</v>
      </c>
      <c r="L105" s="621">
        <f t="shared" si="26"/>
        <v>1</v>
      </c>
      <c r="M105" s="621">
        <f t="shared" si="26"/>
        <v>1</v>
      </c>
      <c r="N105" s="387">
        <f t="shared" si="24"/>
        <v>123514.83000000002</v>
      </c>
      <c r="S105" s="682"/>
    </row>
    <row r="106" spans="1:19" ht="15" customHeight="1">
      <c r="A106" s="1066">
        <f t="shared" si="20"/>
        <v>92</v>
      </c>
      <c r="B106" s="465"/>
      <c r="C106" s="4" t="s">
        <v>1164</v>
      </c>
      <c r="D106" s="445">
        <v>-6935473.1199999982</v>
      </c>
      <c r="E106" s="806">
        <v>0</v>
      </c>
      <c r="F106" s="806">
        <f>D106-E106</f>
        <v>-6935473.1199999982</v>
      </c>
      <c r="G106" s="620">
        <f t="shared" si="25"/>
        <v>1</v>
      </c>
      <c r="H106" s="620">
        <f t="shared" si="25"/>
        <v>1</v>
      </c>
      <c r="I106" s="806">
        <f>F106*G106*H106</f>
        <v>-6935473.1199999982</v>
      </c>
      <c r="J106" s="106"/>
      <c r="K106" s="445">
        <v>-6935473.1200000001</v>
      </c>
      <c r="L106" s="621">
        <f t="shared" si="26"/>
        <v>1</v>
      </c>
      <c r="M106" s="621">
        <f t="shared" si="26"/>
        <v>1</v>
      </c>
      <c r="N106" s="387">
        <f>K106*L106*M106</f>
        <v>-6935473.1200000001</v>
      </c>
    </row>
    <row r="107" spans="1:19" s="1055" customFormat="1" ht="15" customHeight="1">
      <c r="A107" s="1072"/>
      <c r="B107" s="1058"/>
      <c r="C107" s="4" t="s">
        <v>1493</v>
      </c>
      <c r="D107" s="445">
        <v>-8.1854523159563541E-12</v>
      </c>
      <c r="E107" s="806">
        <v>0</v>
      </c>
      <c r="F107" s="806">
        <f>D107-E107</f>
        <v>-8.1854523159563541E-12</v>
      </c>
      <c r="G107" s="620">
        <f t="shared" si="25"/>
        <v>1</v>
      </c>
      <c r="H107" s="620">
        <f t="shared" si="25"/>
        <v>1</v>
      </c>
      <c r="I107" s="806">
        <f>F107*G107*H107</f>
        <v>-8.1854523159563541E-12</v>
      </c>
      <c r="J107" s="106"/>
      <c r="K107" s="445">
        <v>-8.1854523159563541E-12</v>
      </c>
      <c r="L107" s="621">
        <f t="shared" si="26"/>
        <v>1</v>
      </c>
      <c r="M107" s="621">
        <f t="shared" si="26"/>
        <v>1</v>
      </c>
      <c r="N107" s="387">
        <f t="shared" ref="N107:N108" si="27">K107*L107*M107</f>
        <v>-8.1854523159563541E-12</v>
      </c>
    </row>
    <row r="108" spans="1:19">
      <c r="A108" s="1066">
        <f>A106+1</f>
        <v>93</v>
      </c>
      <c r="B108" s="465"/>
      <c r="C108" s="115" t="s">
        <v>1293</v>
      </c>
      <c r="D108" s="445">
        <v>868655.46000000031</v>
      </c>
      <c r="E108" s="806">
        <v>0</v>
      </c>
      <c r="F108" s="806">
        <f t="shared" ref="F108" si="28">D108-E108</f>
        <v>868655.46000000031</v>
      </c>
      <c r="G108" s="620">
        <f t="shared" si="25"/>
        <v>1</v>
      </c>
      <c r="H108" s="620">
        <f t="shared" si="25"/>
        <v>1</v>
      </c>
      <c r="I108" s="806">
        <f t="shared" ref="I108" si="29">F108*G108*H108</f>
        <v>868655.46000000031</v>
      </c>
      <c r="J108" s="106"/>
      <c r="K108" s="445">
        <v>588054.66</v>
      </c>
      <c r="L108" s="621">
        <f t="shared" si="26"/>
        <v>1</v>
      </c>
      <c r="M108" s="621">
        <f t="shared" si="26"/>
        <v>1</v>
      </c>
      <c r="N108" s="387">
        <f t="shared" si="27"/>
        <v>588054.66</v>
      </c>
      <c r="S108" s="682"/>
    </row>
    <row r="109" spans="1:19" ht="15" customHeight="1">
      <c r="A109" s="1066">
        <f t="shared" si="20"/>
        <v>94</v>
      </c>
      <c r="B109" s="465"/>
      <c r="C109" s="4"/>
      <c r="D109" s="1144"/>
      <c r="E109" s="1144"/>
      <c r="F109" s="1144"/>
      <c r="G109" s="1128"/>
      <c r="H109" s="1128"/>
      <c r="I109" s="1144"/>
      <c r="J109" s="106"/>
      <c r="K109" s="1144"/>
      <c r="N109" s="789"/>
    </row>
    <row r="110" spans="1:19">
      <c r="A110" s="1066">
        <f t="shared" si="20"/>
        <v>95</v>
      </c>
      <c r="B110" s="465"/>
      <c r="C110" s="4" t="s">
        <v>1435</v>
      </c>
      <c r="D110" s="459">
        <f>SUM(D86:D109)</f>
        <v>-483075.76711008663</v>
      </c>
      <c r="E110" s="459">
        <f>SUM(E86:E109)</f>
        <v>0</v>
      </c>
      <c r="F110" s="459">
        <f>SUM(F86:F109)</f>
        <v>-483075.76711008663</v>
      </c>
      <c r="G110" s="1128"/>
      <c r="H110" s="1128"/>
      <c r="I110" s="459">
        <f>SUM(I86:I109)</f>
        <v>-483075.76711008663</v>
      </c>
      <c r="J110" s="106"/>
      <c r="K110" s="459">
        <f>SUM(K86:K109)</f>
        <v>-1430958.2450985257</v>
      </c>
      <c r="N110" s="404">
        <f>SUM(N86:N109)</f>
        <v>-1430958.2450985257</v>
      </c>
    </row>
    <row r="111" spans="1:19">
      <c r="A111" s="1066">
        <f t="shared" si="20"/>
        <v>96</v>
      </c>
      <c r="B111" s="465"/>
      <c r="C111" s="4"/>
      <c r="D111" s="806"/>
      <c r="E111" s="806"/>
      <c r="F111" s="806"/>
      <c r="G111" s="1128"/>
      <c r="H111" s="1128"/>
      <c r="I111" s="806"/>
      <c r="J111" s="106"/>
      <c r="K111" s="806"/>
      <c r="N111" s="387"/>
    </row>
    <row r="112" spans="1:19">
      <c r="A112" s="1066">
        <f t="shared" si="20"/>
        <v>97</v>
      </c>
      <c r="B112" s="507"/>
      <c r="C112" s="245" t="s">
        <v>1368</v>
      </c>
      <c r="D112" s="459">
        <f>D110+D83+D59+D47+D26+D19</f>
        <v>174033782.46687558</v>
      </c>
      <c r="E112" s="459">
        <f>E110+E83+E59+E47+E26+E19</f>
        <v>0</v>
      </c>
      <c r="F112" s="459">
        <f>F110+F83+F59+F47+F26+F19</f>
        <v>174033782.46687558</v>
      </c>
      <c r="G112" s="1128"/>
      <c r="H112" s="1128"/>
      <c r="I112" s="459">
        <f>I110+I83+I59+I47+I26+I19</f>
        <v>174033782.46687558</v>
      </c>
      <c r="J112" s="106"/>
      <c r="K112" s="459">
        <f>K110+K83+K59+K47+K26+K19</f>
        <v>168068838.24679321</v>
      </c>
      <c r="N112" s="404">
        <f>N110+N83+N59+N47+N26+N19</f>
        <v>168068838.24679321</v>
      </c>
      <c r="P112" s="1055"/>
      <c r="Q112" s="1055"/>
      <c r="R112" s="768"/>
      <c r="S112" s="768"/>
    </row>
    <row r="113" spans="1:17">
      <c r="A113" s="1066">
        <f t="shared" si="20"/>
        <v>98</v>
      </c>
      <c r="B113" s="507"/>
      <c r="C113" s="4"/>
      <c r="D113" s="806"/>
      <c r="E113" s="106"/>
      <c r="F113" s="106"/>
      <c r="G113" s="1128"/>
      <c r="H113" s="1128"/>
      <c r="I113" s="106"/>
      <c r="J113" s="106"/>
      <c r="K113" s="106"/>
      <c r="P113" s="106"/>
      <c r="Q113" s="106"/>
    </row>
    <row r="114" spans="1:17">
      <c r="A114" s="1066">
        <f t="shared" si="20"/>
        <v>99</v>
      </c>
      <c r="B114" s="508"/>
      <c r="C114" s="107"/>
      <c r="D114" s="806"/>
      <c r="E114" s="106"/>
      <c r="F114" s="106"/>
      <c r="G114" s="1128"/>
      <c r="H114" s="1128"/>
      <c r="I114" s="106"/>
      <c r="J114" s="106"/>
      <c r="K114" s="106"/>
    </row>
    <row r="115" spans="1:17">
      <c r="A115" s="1066">
        <f t="shared" si="20"/>
        <v>100</v>
      </c>
      <c r="B115" s="403"/>
      <c r="D115" s="806"/>
      <c r="E115" s="106"/>
      <c r="F115" s="106"/>
      <c r="G115" s="1128"/>
      <c r="H115" s="1128"/>
      <c r="I115" s="106"/>
      <c r="J115" s="106"/>
      <c r="K115" s="106"/>
    </row>
    <row r="116" spans="1:17" ht="15.75">
      <c r="A116" s="1066">
        <f t="shared" si="20"/>
        <v>101</v>
      </c>
      <c r="B116" s="416" t="s">
        <v>7</v>
      </c>
      <c r="D116" s="806"/>
      <c r="E116" s="106"/>
      <c r="F116" s="106"/>
      <c r="G116" s="1128"/>
      <c r="H116" s="1128"/>
      <c r="I116" s="106"/>
      <c r="J116" s="106"/>
      <c r="K116" s="106"/>
    </row>
    <row r="117" spans="1:17">
      <c r="A117" s="1066">
        <f t="shared" si="20"/>
        <v>102</v>
      </c>
      <c r="B117" s="403"/>
      <c r="D117" s="806"/>
      <c r="E117" s="106"/>
      <c r="F117" s="106"/>
      <c r="G117" s="1128"/>
      <c r="H117" s="1128"/>
      <c r="I117" s="106"/>
      <c r="J117" s="106"/>
      <c r="K117" s="106"/>
    </row>
    <row r="118" spans="1:17">
      <c r="A118" s="1066">
        <f t="shared" si="20"/>
        <v>103</v>
      </c>
      <c r="B118" s="507"/>
      <c r="C118" s="17" t="s">
        <v>305</v>
      </c>
      <c r="D118" s="806"/>
      <c r="E118" s="106"/>
      <c r="F118" s="106"/>
      <c r="G118" s="1128"/>
      <c r="H118" s="1128"/>
      <c r="I118" s="106"/>
      <c r="J118" s="106"/>
      <c r="K118" s="106"/>
    </row>
    <row r="119" spans="1:17">
      <c r="A119" s="1066">
        <f t="shared" si="20"/>
        <v>104</v>
      </c>
      <c r="B119" s="682">
        <v>30100</v>
      </c>
      <c r="C119" s="4" t="s">
        <v>299</v>
      </c>
      <c r="D119" s="445">
        <v>0</v>
      </c>
      <c r="E119" s="445">
        <v>0</v>
      </c>
      <c r="F119" s="445">
        <f>D119+E119</f>
        <v>0</v>
      </c>
      <c r="G119" s="620">
        <f>$G$16</f>
        <v>1</v>
      </c>
      <c r="H119" s="622">
        <f>Allocation!$D$17</f>
        <v>0.49090457251500325</v>
      </c>
      <c r="I119" s="445">
        <f>F119*G119*H119</f>
        <v>0</v>
      </c>
      <c r="J119" s="106"/>
      <c r="K119" s="445">
        <v>0</v>
      </c>
      <c r="L119" s="621">
        <f t="shared" ref="L119:M120" si="30">G119</f>
        <v>1</v>
      </c>
      <c r="M119" s="555">
        <f t="shared" si="30"/>
        <v>0.49090457251500325</v>
      </c>
      <c r="N119" s="382">
        <f>K119*L119*M119</f>
        <v>0</v>
      </c>
    </row>
    <row r="120" spans="1:17">
      <c r="A120" s="1066">
        <f t="shared" si="20"/>
        <v>105</v>
      </c>
      <c r="B120" s="682">
        <v>30300</v>
      </c>
      <c r="C120" s="4" t="s">
        <v>558</v>
      </c>
      <c r="D120" s="1141">
        <v>0</v>
      </c>
      <c r="E120" s="1141">
        <v>0</v>
      </c>
      <c r="F120" s="1141">
        <f>D120+E120</f>
        <v>0</v>
      </c>
      <c r="G120" s="620">
        <f>$G$16</f>
        <v>1</v>
      </c>
      <c r="H120" s="622">
        <f>$H$119</f>
        <v>0.49090457251500325</v>
      </c>
      <c r="I120" s="1141">
        <f>F120*G120*H120</f>
        <v>0</v>
      </c>
      <c r="J120" s="106"/>
      <c r="K120" s="1141">
        <v>0</v>
      </c>
      <c r="L120" s="621">
        <f t="shared" si="30"/>
        <v>1</v>
      </c>
      <c r="M120" s="555">
        <f t="shared" si="30"/>
        <v>0.49090457251500325</v>
      </c>
      <c r="N120" s="392">
        <f>K120*L120*M120</f>
        <v>0</v>
      </c>
    </row>
    <row r="121" spans="1:17">
      <c r="A121" s="1066">
        <f t="shared" si="20"/>
        <v>106</v>
      </c>
      <c r="B121" s="682"/>
      <c r="C121" s="4"/>
      <c r="D121" s="809"/>
      <c r="E121" s="809"/>
      <c r="F121" s="809"/>
      <c r="G121" s="1128"/>
      <c r="H121" s="1128"/>
      <c r="I121" s="106"/>
      <c r="J121" s="106"/>
      <c r="K121" s="106"/>
    </row>
    <row r="122" spans="1:17">
      <c r="A122" s="1066">
        <f t="shared" si="20"/>
        <v>107</v>
      </c>
      <c r="B122" s="465"/>
      <c r="C122" s="4" t="s">
        <v>306</v>
      </c>
      <c r="D122" s="445">
        <f>SUM(D119:D121)</f>
        <v>0</v>
      </c>
      <c r="E122" s="445">
        <f>SUM(E119:E121)</f>
        <v>0</v>
      </c>
      <c r="F122" s="445">
        <f>SUM(F119:F121)</f>
        <v>0</v>
      </c>
      <c r="G122" s="620"/>
      <c r="H122" s="620"/>
      <c r="I122" s="445">
        <f>SUM(I119:I121)</f>
        <v>0</v>
      </c>
      <c r="J122" s="106"/>
      <c r="K122" s="445">
        <f>SUM(K119:K121)</f>
        <v>0</v>
      </c>
      <c r="N122" s="382">
        <f>SUM(N119:N121)</f>
        <v>0</v>
      </c>
    </row>
    <row r="123" spans="1:17">
      <c r="A123" s="1066">
        <f t="shared" si="20"/>
        <v>108</v>
      </c>
      <c r="B123" s="684"/>
      <c r="D123" s="106"/>
      <c r="E123" s="106"/>
      <c r="F123" s="106"/>
      <c r="G123" s="1128"/>
      <c r="H123" s="1128"/>
      <c r="I123" s="106"/>
      <c r="J123" s="106"/>
      <c r="K123" s="106"/>
    </row>
    <row r="124" spans="1:17">
      <c r="A124" s="1066">
        <f t="shared" si="20"/>
        <v>109</v>
      </c>
      <c r="B124" s="465"/>
      <c r="C124" s="17" t="s">
        <v>307</v>
      </c>
      <c r="D124" s="106"/>
      <c r="E124" s="106"/>
      <c r="F124" s="106"/>
      <c r="G124" s="1128"/>
      <c r="H124" s="1128"/>
      <c r="I124" s="106"/>
      <c r="J124" s="106"/>
      <c r="K124" s="106"/>
    </row>
    <row r="125" spans="1:17">
      <c r="A125" s="1066">
        <f t="shared" si="20"/>
        <v>110</v>
      </c>
      <c r="B125" s="682">
        <v>37400</v>
      </c>
      <c r="C125" s="4" t="s">
        <v>1168</v>
      </c>
      <c r="D125" s="445">
        <v>0</v>
      </c>
      <c r="E125" s="445">
        <v>0</v>
      </c>
      <c r="F125" s="445">
        <f t="shared" ref="F125:F145" si="31">D125+E125</f>
        <v>0</v>
      </c>
      <c r="G125" s="620">
        <f t="shared" ref="G125:G145" si="32">$G$16</f>
        <v>1</v>
      </c>
      <c r="H125" s="622">
        <f t="shared" ref="H125:H145" si="33">$H$119</f>
        <v>0.49090457251500325</v>
      </c>
      <c r="I125" s="445">
        <f t="shared" ref="I125:I145" si="34">F125*G125*H125</f>
        <v>0</v>
      </c>
      <c r="J125" s="106"/>
      <c r="K125" s="445">
        <v>0</v>
      </c>
      <c r="L125" s="621">
        <f t="shared" ref="L125:M145" si="35">G125</f>
        <v>1</v>
      </c>
      <c r="M125" s="622">
        <f t="shared" si="35"/>
        <v>0.49090457251500325</v>
      </c>
      <c r="N125" s="382">
        <f t="shared" ref="N125:N145" si="36">K125*L125*M125</f>
        <v>0</v>
      </c>
    </row>
    <row r="126" spans="1:17">
      <c r="A126" s="1066">
        <f t="shared" si="20"/>
        <v>111</v>
      </c>
      <c r="B126" s="682">
        <v>35010</v>
      </c>
      <c r="C126" s="4" t="s">
        <v>300</v>
      </c>
      <c r="D126" s="578">
        <v>0</v>
      </c>
      <c r="E126" s="578">
        <v>0</v>
      </c>
      <c r="F126" s="578">
        <f t="shared" si="31"/>
        <v>0</v>
      </c>
      <c r="G126" s="620">
        <f t="shared" si="32"/>
        <v>1</v>
      </c>
      <c r="H126" s="622">
        <f t="shared" si="33"/>
        <v>0.49090457251500325</v>
      </c>
      <c r="I126" s="578">
        <f t="shared" si="34"/>
        <v>0</v>
      </c>
      <c r="J126" s="106"/>
      <c r="K126" s="578">
        <v>0</v>
      </c>
      <c r="L126" s="621">
        <f t="shared" si="35"/>
        <v>1</v>
      </c>
      <c r="M126" s="622">
        <f t="shared" si="35"/>
        <v>0.49090457251500325</v>
      </c>
      <c r="N126" s="391">
        <f t="shared" si="36"/>
        <v>0</v>
      </c>
    </row>
    <row r="127" spans="1:17">
      <c r="A127" s="1066">
        <f t="shared" si="20"/>
        <v>112</v>
      </c>
      <c r="B127" s="682">
        <v>37402</v>
      </c>
      <c r="C127" s="4" t="s">
        <v>1018</v>
      </c>
      <c r="D127" s="578">
        <v>0</v>
      </c>
      <c r="E127" s="578">
        <v>0</v>
      </c>
      <c r="F127" s="578">
        <f t="shared" si="31"/>
        <v>0</v>
      </c>
      <c r="G127" s="620">
        <f t="shared" si="32"/>
        <v>1</v>
      </c>
      <c r="H127" s="622">
        <f t="shared" si="33"/>
        <v>0.49090457251500325</v>
      </c>
      <c r="I127" s="578">
        <f t="shared" si="34"/>
        <v>0</v>
      </c>
      <c r="J127" s="106"/>
      <c r="K127" s="578">
        <v>0</v>
      </c>
      <c r="L127" s="621">
        <f t="shared" si="35"/>
        <v>1</v>
      </c>
      <c r="M127" s="622">
        <f t="shared" si="35"/>
        <v>0.49090457251500325</v>
      </c>
      <c r="N127" s="391">
        <f t="shared" si="36"/>
        <v>0</v>
      </c>
    </row>
    <row r="128" spans="1:17">
      <c r="A128" s="1066">
        <f t="shared" si="20"/>
        <v>113</v>
      </c>
      <c r="B128" s="682">
        <v>37403</v>
      </c>
      <c r="C128" s="4" t="s">
        <v>1015</v>
      </c>
      <c r="D128" s="578">
        <v>0</v>
      </c>
      <c r="E128" s="578">
        <v>0</v>
      </c>
      <c r="F128" s="578">
        <f t="shared" si="31"/>
        <v>0</v>
      </c>
      <c r="G128" s="620">
        <f t="shared" si="32"/>
        <v>1</v>
      </c>
      <c r="H128" s="622">
        <f t="shared" si="33"/>
        <v>0.49090457251500325</v>
      </c>
      <c r="I128" s="578">
        <f t="shared" si="34"/>
        <v>0</v>
      </c>
      <c r="J128" s="106"/>
      <c r="K128" s="578">
        <v>0</v>
      </c>
      <c r="L128" s="621">
        <f t="shared" si="35"/>
        <v>1</v>
      </c>
      <c r="M128" s="622">
        <f t="shared" si="35"/>
        <v>0.49090457251500325</v>
      </c>
      <c r="N128" s="391">
        <f t="shared" si="36"/>
        <v>0</v>
      </c>
    </row>
    <row r="129" spans="1:14">
      <c r="A129" s="1066">
        <f t="shared" si="20"/>
        <v>114</v>
      </c>
      <c r="B129" s="682">
        <v>36602</v>
      </c>
      <c r="C129" s="4" t="s">
        <v>874</v>
      </c>
      <c r="D129" s="578">
        <v>0</v>
      </c>
      <c r="E129" s="578">
        <v>0</v>
      </c>
      <c r="F129" s="578">
        <f t="shared" si="31"/>
        <v>0</v>
      </c>
      <c r="G129" s="620">
        <f t="shared" si="32"/>
        <v>1</v>
      </c>
      <c r="H129" s="622">
        <f t="shared" si="33"/>
        <v>0.49090457251500325</v>
      </c>
      <c r="I129" s="578">
        <f t="shared" si="34"/>
        <v>0</v>
      </c>
      <c r="J129" s="106"/>
      <c r="K129" s="578">
        <v>0</v>
      </c>
      <c r="L129" s="621">
        <f t="shared" si="35"/>
        <v>1</v>
      </c>
      <c r="M129" s="622">
        <f t="shared" si="35"/>
        <v>0.49090457251500325</v>
      </c>
      <c r="N129" s="391">
        <f t="shared" si="36"/>
        <v>0</v>
      </c>
    </row>
    <row r="130" spans="1:14">
      <c r="A130" s="1066">
        <f t="shared" si="20"/>
        <v>115</v>
      </c>
      <c r="B130" s="682">
        <v>37501</v>
      </c>
      <c r="C130" s="4" t="s">
        <v>1016</v>
      </c>
      <c r="D130" s="578">
        <v>0</v>
      </c>
      <c r="E130" s="578">
        <v>0</v>
      </c>
      <c r="F130" s="578">
        <f t="shared" si="31"/>
        <v>0</v>
      </c>
      <c r="G130" s="620">
        <f t="shared" si="32"/>
        <v>1</v>
      </c>
      <c r="H130" s="622">
        <f t="shared" si="33"/>
        <v>0.49090457251500325</v>
      </c>
      <c r="I130" s="578">
        <f t="shared" si="34"/>
        <v>0</v>
      </c>
      <c r="J130" s="106"/>
      <c r="K130" s="578">
        <v>0</v>
      </c>
      <c r="L130" s="621">
        <f t="shared" si="35"/>
        <v>1</v>
      </c>
      <c r="M130" s="622">
        <f t="shared" si="35"/>
        <v>0.49090457251500325</v>
      </c>
      <c r="N130" s="391">
        <f t="shared" si="36"/>
        <v>0</v>
      </c>
    </row>
    <row r="131" spans="1:14">
      <c r="A131" s="1066">
        <f t="shared" si="20"/>
        <v>116</v>
      </c>
      <c r="B131" s="682">
        <v>37402</v>
      </c>
      <c r="C131" s="4" t="s">
        <v>1018</v>
      </c>
      <c r="D131" s="578">
        <v>0</v>
      </c>
      <c r="E131" s="578">
        <v>0</v>
      </c>
      <c r="F131" s="578">
        <f t="shared" si="31"/>
        <v>0</v>
      </c>
      <c r="G131" s="620">
        <f t="shared" si="32"/>
        <v>1</v>
      </c>
      <c r="H131" s="622">
        <f t="shared" si="33"/>
        <v>0.49090457251500325</v>
      </c>
      <c r="I131" s="578">
        <f t="shared" si="34"/>
        <v>0</v>
      </c>
      <c r="J131" s="106"/>
      <c r="K131" s="578">
        <v>0</v>
      </c>
      <c r="L131" s="621">
        <f t="shared" si="35"/>
        <v>1</v>
      </c>
      <c r="M131" s="622">
        <f t="shared" si="35"/>
        <v>0.49090457251500325</v>
      </c>
      <c r="N131" s="391">
        <f t="shared" si="36"/>
        <v>0</v>
      </c>
    </row>
    <row r="132" spans="1:14">
      <c r="A132" s="1066">
        <f t="shared" si="20"/>
        <v>117</v>
      </c>
      <c r="B132" s="682">
        <v>37503</v>
      </c>
      <c r="C132" s="4" t="s">
        <v>1017</v>
      </c>
      <c r="D132" s="578">
        <v>0</v>
      </c>
      <c r="E132" s="578">
        <v>0</v>
      </c>
      <c r="F132" s="578">
        <f t="shared" si="31"/>
        <v>0</v>
      </c>
      <c r="G132" s="620">
        <f t="shared" si="32"/>
        <v>1</v>
      </c>
      <c r="H132" s="622">
        <f t="shared" si="33"/>
        <v>0.49090457251500325</v>
      </c>
      <c r="I132" s="578">
        <f t="shared" si="34"/>
        <v>0</v>
      </c>
      <c r="J132" s="106"/>
      <c r="K132" s="578">
        <v>0</v>
      </c>
      <c r="L132" s="621">
        <f t="shared" si="35"/>
        <v>1</v>
      </c>
      <c r="M132" s="622">
        <f t="shared" si="35"/>
        <v>0.49090457251500325</v>
      </c>
      <c r="N132" s="391">
        <f t="shared" si="36"/>
        <v>0</v>
      </c>
    </row>
    <row r="133" spans="1:14">
      <c r="A133" s="1066">
        <f t="shared" si="20"/>
        <v>118</v>
      </c>
      <c r="B133" s="682">
        <v>36700</v>
      </c>
      <c r="C133" s="4" t="s">
        <v>861</v>
      </c>
      <c r="D133" s="578">
        <v>0</v>
      </c>
      <c r="E133" s="578">
        <v>0</v>
      </c>
      <c r="F133" s="578">
        <f t="shared" si="31"/>
        <v>0</v>
      </c>
      <c r="G133" s="620">
        <f t="shared" si="32"/>
        <v>1</v>
      </c>
      <c r="H133" s="622">
        <f t="shared" si="33"/>
        <v>0.49090457251500325</v>
      </c>
      <c r="I133" s="578">
        <f t="shared" si="34"/>
        <v>0</v>
      </c>
      <c r="J133" s="106"/>
      <c r="K133" s="578">
        <v>0</v>
      </c>
      <c r="L133" s="621">
        <f t="shared" si="35"/>
        <v>1</v>
      </c>
      <c r="M133" s="622">
        <f t="shared" si="35"/>
        <v>0.49090457251500325</v>
      </c>
      <c r="N133" s="391">
        <f t="shared" si="36"/>
        <v>0</v>
      </c>
    </row>
    <row r="134" spans="1:14">
      <c r="A134" s="1066">
        <f t="shared" si="20"/>
        <v>119</v>
      </c>
      <c r="B134" s="682">
        <v>36701</v>
      </c>
      <c r="C134" s="4" t="s">
        <v>16</v>
      </c>
      <c r="D134" s="578">
        <v>0</v>
      </c>
      <c r="E134" s="578">
        <v>0</v>
      </c>
      <c r="F134" s="578">
        <f t="shared" si="31"/>
        <v>0</v>
      </c>
      <c r="G134" s="620">
        <f t="shared" si="32"/>
        <v>1</v>
      </c>
      <c r="H134" s="622">
        <f t="shared" si="33"/>
        <v>0.49090457251500325</v>
      </c>
      <c r="I134" s="578">
        <f t="shared" si="34"/>
        <v>0</v>
      </c>
      <c r="J134" s="106"/>
      <c r="K134" s="578">
        <v>0</v>
      </c>
      <c r="L134" s="621">
        <f t="shared" si="35"/>
        <v>1</v>
      </c>
      <c r="M134" s="622">
        <f t="shared" si="35"/>
        <v>0.49090457251500325</v>
      </c>
      <c r="N134" s="391">
        <f t="shared" si="36"/>
        <v>0</v>
      </c>
    </row>
    <row r="135" spans="1:14">
      <c r="A135" s="1066">
        <f t="shared" si="20"/>
        <v>120</v>
      </c>
      <c r="B135" s="682">
        <v>37602</v>
      </c>
      <c r="C135" s="4" t="s">
        <v>862</v>
      </c>
      <c r="D135" s="578">
        <v>0</v>
      </c>
      <c r="E135" s="578">
        <v>0</v>
      </c>
      <c r="F135" s="578">
        <f t="shared" si="31"/>
        <v>0</v>
      </c>
      <c r="G135" s="620">
        <f t="shared" si="32"/>
        <v>1</v>
      </c>
      <c r="H135" s="622">
        <f t="shared" si="33"/>
        <v>0.49090457251500325</v>
      </c>
      <c r="I135" s="578">
        <f t="shared" si="34"/>
        <v>0</v>
      </c>
      <c r="J135" s="106"/>
      <c r="K135" s="578">
        <v>0</v>
      </c>
      <c r="L135" s="621">
        <f t="shared" si="35"/>
        <v>1</v>
      </c>
      <c r="M135" s="622">
        <f t="shared" si="35"/>
        <v>0.49090457251500325</v>
      </c>
      <c r="N135" s="391">
        <f t="shared" si="36"/>
        <v>0</v>
      </c>
    </row>
    <row r="136" spans="1:14">
      <c r="A136" s="1066">
        <f t="shared" si="20"/>
        <v>121</v>
      </c>
      <c r="B136" s="682">
        <v>37800</v>
      </c>
      <c r="C136" s="4" t="s">
        <v>234</v>
      </c>
      <c r="D136" s="578">
        <v>0</v>
      </c>
      <c r="E136" s="578">
        <v>0</v>
      </c>
      <c r="F136" s="578">
        <f t="shared" si="31"/>
        <v>0</v>
      </c>
      <c r="G136" s="620">
        <f t="shared" si="32"/>
        <v>1</v>
      </c>
      <c r="H136" s="622">
        <f t="shared" si="33"/>
        <v>0.49090457251500325</v>
      </c>
      <c r="I136" s="578">
        <f t="shared" si="34"/>
        <v>0</v>
      </c>
      <c r="J136" s="106"/>
      <c r="K136" s="578">
        <v>0</v>
      </c>
      <c r="L136" s="621">
        <f t="shared" si="35"/>
        <v>1</v>
      </c>
      <c r="M136" s="622">
        <f t="shared" si="35"/>
        <v>0.49090457251500325</v>
      </c>
      <c r="N136" s="391">
        <f t="shared" si="36"/>
        <v>0</v>
      </c>
    </row>
    <row r="137" spans="1:14">
      <c r="A137" s="1066">
        <f t="shared" si="20"/>
        <v>122</v>
      </c>
      <c r="B137" s="682">
        <v>37900</v>
      </c>
      <c r="C137" s="4" t="s">
        <v>1211</v>
      </c>
      <c r="D137" s="578">
        <v>0</v>
      </c>
      <c r="E137" s="578">
        <v>0</v>
      </c>
      <c r="F137" s="578">
        <f t="shared" si="31"/>
        <v>0</v>
      </c>
      <c r="G137" s="620">
        <f t="shared" si="32"/>
        <v>1</v>
      </c>
      <c r="H137" s="622">
        <f t="shared" si="33"/>
        <v>0.49090457251500325</v>
      </c>
      <c r="I137" s="578">
        <f t="shared" si="34"/>
        <v>0</v>
      </c>
      <c r="J137" s="106"/>
      <c r="K137" s="578">
        <v>0</v>
      </c>
      <c r="L137" s="621">
        <f t="shared" si="35"/>
        <v>1</v>
      </c>
      <c r="M137" s="622">
        <f t="shared" si="35"/>
        <v>0.49090457251500325</v>
      </c>
      <c r="N137" s="391">
        <f t="shared" si="36"/>
        <v>0</v>
      </c>
    </row>
    <row r="138" spans="1:14">
      <c r="A138" s="1066">
        <f t="shared" si="20"/>
        <v>123</v>
      </c>
      <c r="B138" s="682">
        <v>37905</v>
      </c>
      <c r="C138" s="4" t="s">
        <v>742</v>
      </c>
      <c r="D138" s="578">
        <v>0</v>
      </c>
      <c r="E138" s="578">
        <v>0</v>
      </c>
      <c r="F138" s="578">
        <f t="shared" si="31"/>
        <v>0</v>
      </c>
      <c r="G138" s="620">
        <f t="shared" si="32"/>
        <v>1</v>
      </c>
      <c r="H138" s="622">
        <f t="shared" si="33"/>
        <v>0.49090457251500325</v>
      </c>
      <c r="I138" s="578">
        <f t="shared" si="34"/>
        <v>0</v>
      </c>
      <c r="J138" s="106"/>
      <c r="K138" s="578">
        <v>0</v>
      </c>
      <c r="L138" s="621">
        <f t="shared" si="35"/>
        <v>1</v>
      </c>
      <c r="M138" s="622">
        <f t="shared" si="35"/>
        <v>0.49090457251500325</v>
      </c>
      <c r="N138" s="391">
        <f t="shared" si="36"/>
        <v>0</v>
      </c>
    </row>
    <row r="139" spans="1:14">
      <c r="A139" s="1066">
        <f t="shared" si="20"/>
        <v>124</v>
      </c>
      <c r="B139" s="682">
        <v>38000</v>
      </c>
      <c r="C139" s="4" t="s">
        <v>1072</v>
      </c>
      <c r="D139" s="578">
        <v>0</v>
      </c>
      <c r="E139" s="578">
        <v>0</v>
      </c>
      <c r="F139" s="578">
        <f t="shared" si="31"/>
        <v>0</v>
      </c>
      <c r="G139" s="620">
        <f t="shared" si="32"/>
        <v>1</v>
      </c>
      <c r="H139" s="622">
        <f t="shared" si="33"/>
        <v>0.49090457251500325</v>
      </c>
      <c r="I139" s="578">
        <f t="shared" si="34"/>
        <v>0</v>
      </c>
      <c r="J139" s="106"/>
      <c r="K139" s="578">
        <v>0</v>
      </c>
      <c r="L139" s="621">
        <f t="shared" si="35"/>
        <v>1</v>
      </c>
      <c r="M139" s="622">
        <f t="shared" si="35"/>
        <v>0.49090457251500325</v>
      </c>
      <c r="N139" s="391">
        <f t="shared" si="36"/>
        <v>0</v>
      </c>
    </row>
    <row r="140" spans="1:14">
      <c r="A140" s="1066">
        <f t="shared" si="20"/>
        <v>125</v>
      </c>
      <c r="B140" s="682">
        <v>38100</v>
      </c>
      <c r="C140" s="4" t="s">
        <v>863</v>
      </c>
      <c r="D140" s="578">
        <v>0</v>
      </c>
      <c r="E140" s="578">
        <v>0</v>
      </c>
      <c r="F140" s="578">
        <f t="shared" si="31"/>
        <v>0</v>
      </c>
      <c r="G140" s="620">
        <f t="shared" si="32"/>
        <v>1</v>
      </c>
      <c r="H140" s="622">
        <f t="shared" si="33"/>
        <v>0.49090457251500325</v>
      </c>
      <c r="I140" s="578">
        <f t="shared" si="34"/>
        <v>0</v>
      </c>
      <c r="J140" s="106"/>
      <c r="K140" s="578">
        <v>0</v>
      </c>
      <c r="L140" s="621">
        <f t="shared" si="35"/>
        <v>1</v>
      </c>
      <c r="M140" s="622">
        <f t="shared" si="35"/>
        <v>0.49090457251500325</v>
      </c>
      <c r="N140" s="391">
        <f t="shared" si="36"/>
        <v>0</v>
      </c>
    </row>
    <row r="141" spans="1:14">
      <c r="A141" s="1066">
        <f t="shared" si="20"/>
        <v>126</v>
      </c>
      <c r="B141" s="682">
        <v>38200</v>
      </c>
      <c r="C141" s="4" t="s">
        <v>456</v>
      </c>
      <c r="D141" s="578">
        <v>0</v>
      </c>
      <c r="E141" s="578">
        <v>0</v>
      </c>
      <c r="F141" s="578">
        <f t="shared" si="31"/>
        <v>0</v>
      </c>
      <c r="G141" s="620">
        <f t="shared" si="32"/>
        <v>1</v>
      </c>
      <c r="H141" s="622">
        <f t="shared" si="33"/>
        <v>0.49090457251500325</v>
      </c>
      <c r="I141" s="578">
        <f t="shared" si="34"/>
        <v>0</v>
      </c>
      <c r="J141" s="106"/>
      <c r="K141" s="578">
        <v>0</v>
      </c>
      <c r="L141" s="621">
        <f t="shared" si="35"/>
        <v>1</v>
      </c>
      <c r="M141" s="622">
        <f t="shared" si="35"/>
        <v>0.49090457251500325</v>
      </c>
      <c r="N141" s="391">
        <f t="shared" si="36"/>
        <v>0</v>
      </c>
    </row>
    <row r="142" spans="1:14">
      <c r="A142" s="1066">
        <f t="shared" si="20"/>
        <v>127</v>
      </c>
      <c r="B142" s="682">
        <v>38300</v>
      </c>
      <c r="C142" s="4" t="s">
        <v>1073</v>
      </c>
      <c r="D142" s="578">
        <v>0</v>
      </c>
      <c r="E142" s="578">
        <v>0</v>
      </c>
      <c r="F142" s="578">
        <f t="shared" si="31"/>
        <v>0</v>
      </c>
      <c r="G142" s="620">
        <f t="shared" si="32"/>
        <v>1</v>
      </c>
      <c r="H142" s="622">
        <f t="shared" si="33"/>
        <v>0.49090457251500325</v>
      </c>
      <c r="I142" s="578">
        <f t="shared" si="34"/>
        <v>0</v>
      </c>
      <c r="J142" s="106"/>
      <c r="K142" s="578">
        <v>0</v>
      </c>
      <c r="L142" s="621">
        <f t="shared" si="35"/>
        <v>1</v>
      </c>
      <c r="M142" s="622">
        <f t="shared" si="35"/>
        <v>0.49090457251500325</v>
      </c>
      <c r="N142" s="391">
        <f t="shared" si="36"/>
        <v>0</v>
      </c>
    </row>
    <row r="143" spans="1:14">
      <c r="A143" s="1066">
        <f t="shared" si="20"/>
        <v>128</v>
      </c>
      <c r="B143" s="682">
        <v>38400</v>
      </c>
      <c r="C143" s="4" t="s">
        <v>457</v>
      </c>
      <c r="D143" s="578">
        <v>0</v>
      </c>
      <c r="E143" s="578">
        <v>0</v>
      </c>
      <c r="F143" s="578">
        <f t="shared" si="31"/>
        <v>0</v>
      </c>
      <c r="G143" s="620">
        <f t="shared" si="32"/>
        <v>1</v>
      </c>
      <c r="H143" s="622">
        <f t="shared" si="33"/>
        <v>0.49090457251500325</v>
      </c>
      <c r="I143" s="578">
        <f t="shared" si="34"/>
        <v>0</v>
      </c>
      <c r="J143" s="106"/>
      <c r="K143" s="578">
        <v>0</v>
      </c>
      <c r="L143" s="621">
        <f t="shared" si="35"/>
        <v>1</v>
      </c>
      <c r="M143" s="622">
        <f t="shared" si="35"/>
        <v>0.49090457251500325</v>
      </c>
      <c r="N143" s="391">
        <f t="shared" si="36"/>
        <v>0</v>
      </c>
    </row>
    <row r="144" spans="1:14">
      <c r="A144" s="1066">
        <f t="shared" si="20"/>
        <v>129</v>
      </c>
      <c r="B144" s="682">
        <v>38500</v>
      </c>
      <c r="C144" s="4" t="s">
        <v>458</v>
      </c>
      <c r="D144" s="578">
        <v>0</v>
      </c>
      <c r="E144" s="578">
        <v>0</v>
      </c>
      <c r="F144" s="578">
        <f t="shared" si="31"/>
        <v>0</v>
      </c>
      <c r="G144" s="620">
        <f t="shared" si="32"/>
        <v>1</v>
      </c>
      <c r="H144" s="622">
        <f t="shared" si="33"/>
        <v>0.49090457251500325</v>
      </c>
      <c r="I144" s="578">
        <f t="shared" si="34"/>
        <v>0</v>
      </c>
      <c r="J144" s="106"/>
      <c r="K144" s="578">
        <v>0</v>
      </c>
      <c r="L144" s="621">
        <f t="shared" si="35"/>
        <v>1</v>
      </c>
      <c r="M144" s="622">
        <f t="shared" si="35"/>
        <v>0.49090457251500325</v>
      </c>
      <c r="N144" s="391">
        <f t="shared" si="36"/>
        <v>0</v>
      </c>
    </row>
    <row r="145" spans="1:20">
      <c r="A145" s="1066">
        <f t="shared" si="20"/>
        <v>130</v>
      </c>
      <c r="B145" s="682">
        <v>38600</v>
      </c>
      <c r="C145" s="4" t="s">
        <v>111</v>
      </c>
      <c r="D145" s="1141">
        <v>0</v>
      </c>
      <c r="E145" s="1141">
        <v>0</v>
      </c>
      <c r="F145" s="1141">
        <f t="shared" si="31"/>
        <v>0</v>
      </c>
      <c r="G145" s="620">
        <f t="shared" si="32"/>
        <v>1</v>
      </c>
      <c r="H145" s="622">
        <f t="shared" si="33"/>
        <v>0.49090457251500325</v>
      </c>
      <c r="I145" s="1141">
        <f t="shared" si="34"/>
        <v>0</v>
      </c>
      <c r="J145" s="106"/>
      <c r="K145" s="1141">
        <v>0</v>
      </c>
      <c r="L145" s="621">
        <f t="shared" si="35"/>
        <v>1</v>
      </c>
      <c r="M145" s="622">
        <f t="shared" si="35"/>
        <v>0.49090457251500325</v>
      </c>
      <c r="N145" s="392">
        <f t="shared" si="36"/>
        <v>0</v>
      </c>
    </row>
    <row r="146" spans="1:20" ht="15" customHeight="1">
      <c r="A146" s="1066">
        <f t="shared" ref="A146:A209" si="37">A145+1</f>
        <v>131</v>
      </c>
      <c r="B146" s="682"/>
      <c r="C146" s="4"/>
      <c r="D146" s="809"/>
      <c r="E146" s="809"/>
      <c r="F146" s="809"/>
      <c r="G146" s="1128"/>
      <c r="H146" s="1128"/>
      <c r="I146" s="106"/>
      <c r="J146" s="106"/>
      <c r="K146" s="106"/>
      <c r="M146" s="622"/>
    </row>
    <row r="147" spans="1:20" ht="15" customHeight="1">
      <c r="A147" s="1066">
        <f t="shared" si="37"/>
        <v>132</v>
      </c>
      <c r="B147" s="682"/>
      <c r="C147" s="4" t="s">
        <v>308</v>
      </c>
      <c r="D147" s="445">
        <f>SUM(D125:D146)</f>
        <v>0</v>
      </c>
      <c r="E147" s="445">
        <f>SUM(E125:E146)</f>
        <v>0</v>
      </c>
      <c r="F147" s="445">
        <f>SUM(F125:F146)</f>
        <v>0</v>
      </c>
      <c r="G147" s="1128"/>
      <c r="H147" s="1128"/>
      <c r="I147" s="445">
        <f>SUM(I125:I146)</f>
        <v>0</v>
      </c>
      <c r="J147" s="106"/>
      <c r="K147" s="445">
        <f>SUM(K125:K146)</f>
        <v>0</v>
      </c>
      <c r="M147" s="622"/>
      <c r="N147" s="382">
        <f>SUM(N125:N146)</f>
        <v>0</v>
      </c>
    </row>
    <row r="148" spans="1:20">
      <c r="A148" s="1066">
        <f t="shared" si="37"/>
        <v>133</v>
      </c>
      <c r="B148" s="682"/>
      <c r="C148" s="4"/>
      <c r="D148" s="106"/>
      <c r="E148" s="106"/>
      <c r="F148" s="106"/>
      <c r="G148" s="1128"/>
      <c r="H148" s="1128"/>
      <c r="I148" s="106"/>
      <c r="J148" s="106"/>
      <c r="K148" s="106"/>
      <c r="M148" s="622"/>
    </row>
    <row r="149" spans="1:20">
      <c r="A149" s="1066">
        <f t="shared" si="37"/>
        <v>134</v>
      </c>
      <c r="B149" s="465"/>
      <c r="C149" s="17" t="s">
        <v>309</v>
      </c>
      <c r="D149" s="106"/>
      <c r="E149" s="106"/>
      <c r="F149" s="106"/>
      <c r="G149" s="1128"/>
      <c r="H149" s="1128"/>
      <c r="I149" s="106"/>
      <c r="J149" s="106"/>
      <c r="K149" s="106"/>
      <c r="M149" s="622"/>
    </row>
    <row r="150" spans="1:20">
      <c r="A150" s="1066">
        <f t="shared" si="37"/>
        <v>135</v>
      </c>
      <c r="B150" s="682">
        <v>39001</v>
      </c>
      <c r="C150" s="4" t="s">
        <v>556</v>
      </c>
      <c r="D150" s="445">
        <v>94895.274092999985</v>
      </c>
      <c r="E150" s="445">
        <v>0</v>
      </c>
      <c r="F150" s="445">
        <f t="shared" ref="F150:F165" si="38">D150+E150</f>
        <v>94895.274092999985</v>
      </c>
      <c r="G150" s="622">
        <f t="shared" ref="G150:G166" si="39">$G$16</f>
        <v>1</v>
      </c>
      <c r="H150" s="622">
        <f t="shared" ref="H150:H166" si="40">$H$119</f>
        <v>0.49090457251500325</v>
      </c>
      <c r="I150" s="445">
        <f t="shared" ref="I150:I166" si="41">F150*G150*H150</f>
        <v>46584.523962318221</v>
      </c>
      <c r="J150" s="106"/>
      <c r="K150" s="445">
        <v>92492.137924999988</v>
      </c>
      <c r="L150" s="555">
        <f t="shared" ref="L150:M165" si="42">G150</f>
        <v>1</v>
      </c>
      <c r="M150" s="555">
        <f t="shared" si="42"/>
        <v>0.49090457251500325</v>
      </c>
      <c r="N150" s="382">
        <f t="shared" ref="N150:N166" si="43">K150*L150*M150</f>
        <v>45404.81342907084</v>
      </c>
      <c r="S150" s="622"/>
      <c r="T150" s="622"/>
    </row>
    <row r="151" spans="1:20">
      <c r="A151" s="1066">
        <f t="shared" si="37"/>
        <v>136</v>
      </c>
      <c r="B151" s="682">
        <v>39004</v>
      </c>
      <c r="C151" s="4" t="s">
        <v>459</v>
      </c>
      <c r="D151" s="445">
        <v>6348.1</v>
      </c>
      <c r="E151" s="578">
        <v>0</v>
      </c>
      <c r="F151" s="578">
        <f t="shared" si="38"/>
        <v>6348.1</v>
      </c>
      <c r="G151" s="620">
        <f t="shared" si="39"/>
        <v>1</v>
      </c>
      <c r="H151" s="622">
        <f t="shared" si="40"/>
        <v>0.49090457251500325</v>
      </c>
      <c r="I151" s="578">
        <f t="shared" si="41"/>
        <v>3116.3113167824922</v>
      </c>
      <c r="J151" s="106"/>
      <c r="K151" s="445">
        <v>6348.1</v>
      </c>
      <c r="L151" s="621">
        <f t="shared" si="42"/>
        <v>1</v>
      </c>
      <c r="M151" s="622">
        <f t="shared" si="42"/>
        <v>0.49090457251500325</v>
      </c>
      <c r="N151" s="391">
        <f t="shared" si="43"/>
        <v>3116.3113167824922</v>
      </c>
      <c r="S151" s="622"/>
      <c r="T151" s="622"/>
    </row>
    <row r="152" spans="1:20">
      <c r="A152" s="1066">
        <f t="shared" si="37"/>
        <v>137</v>
      </c>
      <c r="B152" s="682">
        <v>39009</v>
      </c>
      <c r="C152" s="4" t="s">
        <v>1056</v>
      </c>
      <c r="D152" s="445">
        <v>46493.750000000007</v>
      </c>
      <c r="E152" s="578">
        <v>0</v>
      </c>
      <c r="F152" s="578">
        <f t="shared" si="38"/>
        <v>46493.750000000007</v>
      </c>
      <c r="G152" s="620">
        <f t="shared" si="39"/>
        <v>1</v>
      </c>
      <c r="H152" s="622">
        <f t="shared" si="40"/>
        <v>0.49090457251500325</v>
      </c>
      <c r="I152" s="578">
        <f t="shared" si="41"/>
        <v>22823.994468369438</v>
      </c>
      <c r="J152" s="106"/>
      <c r="K152" s="445">
        <v>42002.548076923078</v>
      </c>
      <c r="L152" s="621">
        <f t="shared" si="42"/>
        <v>1</v>
      </c>
      <c r="M152" s="622">
        <f t="shared" si="42"/>
        <v>0.49090457251500325</v>
      </c>
      <c r="N152" s="391">
        <f t="shared" si="43"/>
        <v>20619.242908242795</v>
      </c>
      <c r="S152" s="622"/>
      <c r="T152" s="622"/>
    </row>
    <row r="153" spans="1:20">
      <c r="A153" s="1066">
        <f t="shared" si="37"/>
        <v>138</v>
      </c>
      <c r="B153" s="682">
        <v>39100</v>
      </c>
      <c r="C153" s="4" t="s">
        <v>796</v>
      </c>
      <c r="D153" s="445">
        <v>42781.421333333339</v>
      </c>
      <c r="E153" s="578">
        <v>0</v>
      </c>
      <c r="F153" s="578">
        <f t="shared" si="38"/>
        <v>42781.421333333339</v>
      </c>
      <c r="G153" s="620">
        <f t="shared" si="39"/>
        <v>1</v>
      </c>
      <c r="H153" s="622">
        <f t="shared" si="40"/>
        <v>0.49090457251500325</v>
      </c>
      <c r="I153" s="578">
        <f t="shared" si="41"/>
        <v>21001.595351224241</v>
      </c>
      <c r="J153" s="106"/>
      <c r="K153" s="445">
        <v>42398.639615384629</v>
      </c>
      <c r="L153" s="621">
        <f t="shared" si="42"/>
        <v>1</v>
      </c>
      <c r="M153" s="622">
        <f t="shared" si="42"/>
        <v>0.49090457251500325</v>
      </c>
      <c r="N153" s="391">
        <f t="shared" si="43"/>
        <v>20813.686055608072</v>
      </c>
      <c r="S153" s="622"/>
      <c r="T153" s="622"/>
    </row>
    <row r="154" spans="1:20">
      <c r="A154" s="1066">
        <f t="shared" si="37"/>
        <v>139</v>
      </c>
      <c r="B154" s="682">
        <v>39200</v>
      </c>
      <c r="C154" s="4" t="s">
        <v>1096</v>
      </c>
      <c r="D154" s="445">
        <v>4109.7972422499988</v>
      </c>
      <c r="E154" s="578">
        <v>0</v>
      </c>
      <c r="F154" s="578">
        <f t="shared" si="38"/>
        <v>4109.7972422499988</v>
      </c>
      <c r="G154" s="620">
        <f t="shared" si="39"/>
        <v>1</v>
      </c>
      <c r="H154" s="622">
        <f t="shared" si="40"/>
        <v>0.49090457251500325</v>
      </c>
      <c r="I154" s="578">
        <f t="shared" si="41"/>
        <v>2017.518258330075</v>
      </c>
      <c r="J154" s="106"/>
      <c r="K154" s="445">
        <v>4109.7972422500006</v>
      </c>
      <c r="L154" s="621">
        <f t="shared" si="42"/>
        <v>1</v>
      </c>
      <c r="M154" s="622">
        <f t="shared" si="42"/>
        <v>0.49090457251500325</v>
      </c>
      <c r="N154" s="391">
        <f t="shared" si="43"/>
        <v>2017.5182583300757</v>
      </c>
      <c r="S154" s="622"/>
      <c r="T154" s="622"/>
    </row>
    <row r="155" spans="1:20">
      <c r="A155" s="1066">
        <f t="shared" si="37"/>
        <v>140</v>
      </c>
      <c r="B155" s="682">
        <v>39400</v>
      </c>
      <c r="C155" s="4" t="s">
        <v>1055</v>
      </c>
      <c r="D155" s="445">
        <v>146208.87857600008</v>
      </c>
      <c r="E155" s="578">
        <v>0</v>
      </c>
      <c r="F155" s="578">
        <f t="shared" si="38"/>
        <v>146208.87857600008</v>
      </c>
      <c r="G155" s="620">
        <f t="shared" si="39"/>
        <v>1</v>
      </c>
      <c r="H155" s="622">
        <f t="shared" si="40"/>
        <v>0.49090457251500325</v>
      </c>
      <c r="I155" s="578">
        <f t="shared" si="41"/>
        <v>71774.607035249341</v>
      </c>
      <c r="J155" s="106"/>
      <c r="K155" s="445">
        <v>143425.85175600008</v>
      </c>
      <c r="L155" s="621">
        <f t="shared" si="42"/>
        <v>1</v>
      </c>
      <c r="M155" s="622">
        <f t="shared" si="42"/>
        <v>0.49090457251500325</v>
      </c>
      <c r="N155" s="391">
        <f t="shared" si="43"/>
        <v>70408.406443879445</v>
      </c>
      <c r="S155" s="622"/>
      <c r="T155" s="622"/>
    </row>
    <row r="156" spans="1:20">
      <c r="A156" s="1066">
        <f t="shared" si="37"/>
        <v>141</v>
      </c>
      <c r="B156" s="682">
        <v>39600</v>
      </c>
      <c r="C156" s="4" t="s">
        <v>557</v>
      </c>
      <c r="D156" s="445">
        <v>5888.573710749999</v>
      </c>
      <c r="E156" s="578">
        <v>0</v>
      </c>
      <c r="F156" s="578">
        <f t="shared" si="38"/>
        <v>5888.573710749999</v>
      </c>
      <c r="G156" s="620">
        <f t="shared" si="39"/>
        <v>1</v>
      </c>
      <c r="H156" s="622">
        <f t="shared" si="40"/>
        <v>0.49090457251500325</v>
      </c>
      <c r="I156" s="578">
        <f t="shared" si="41"/>
        <v>2890.7277601988148</v>
      </c>
      <c r="J156" s="106"/>
      <c r="K156" s="445">
        <v>5647.9634047500012</v>
      </c>
      <c r="L156" s="621">
        <f t="shared" si="42"/>
        <v>1</v>
      </c>
      <c r="M156" s="622">
        <f t="shared" si="42"/>
        <v>0.49090457251500325</v>
      </c>
      <c r="N156" s="391">
        <f t="shared" si="43"/>
        <v>2772.6110607891815</v>
      </c>
      <c r="S156" s="622"/>
      <c r="T156" s="622"/>
    </row>
    <row r="157" spans="1:20">
      <c r="A157" s="1066">
        <f t="shared" si="37"/>
        <v>142</v>
      </c>
      <c r="B157" s="465">
        <v>39700</v>
      </c>
      <c r="C157" s="4" t="s">
        <v>454</v>
      </c>
      <c r="D157" s="445">
        <v>226068.91461100007</v>
      </c>
      <c r="E157" s="578">
        <v>0</v>
      </c>
      <c r="F157" s="578">
        <f t="shared" si="38"/>
        <v>226068.91461100007</v>
      </c>
      <c r="G157" s="620">
        <f t="shared" si="39"/>
        <v>1</v>
      </c>
      <c r="H157" s="622">
        <f t="shared" si="40"/>
        <v>0.49090457251500325</v>
      </c>
      <c r="I157" s="578">
        <f t="shared" si="41"/>
        <v>110978.26388604376</v>
      </c>
      <c r="J157" s="106"/>
      <c r="K157" s="445">
        <v>224031.88430696164</v>
      </c>
      <c r="L157" s="621">
        <f t="shared" si="42"/>
        <v>1</v>
      </c>
      <c r="M157" s="622">
        <f t="shared" si="42"/>
        <v>0.49090457251500325</v>
      </c>
      <c r="N157" s="391">
        <f t="shared" si="43"/>
        <v>109978.27639543967</v>
      </c>
      <c r="S157" s="622"/>
      <c r="T157" s="622"/>
    </row>
    <row r="158" spans="1:20">
      <c r="A158" s="1066">
        <f t="shared" si="37"/>
        <v>143</v>
      </c>
      <c r="B158" s="465">
        <v>39800</v>
      </c>
      <c r="C158" s="4" t="s">
        <v>666</v>
      </c>
      <c r="D158" s="445">
        <v>666779.17937316652</v>
      </c>
      <c r="E158" s="578">
        <v>0</v>
      </c>
      <c r="F158" s="578">
        <f t="shared" si="38"/>
        <v>666779.17937316652</v>
      </c>
      <c r="G158" s="620">
        <f t="shared" si="39"/>
        <v>1</v>
      </c>
      <c r="H158" s="622">
        <f t="shared" si="40"/>
        <v>0.49090457251500325</v>
      </c>
      <c r="I158" s="578">
        <f t="shared" si="41"/>
        <v>327324.94801208901</v>
      </c>
      <c r="J158" s="106"/>
      <c r="K158" s="445">
        <v>651472.52045016654</v>
      </c>
      <c r="L158" s="621">
        <f t="shared" si="42"/>
        <v>1</v>
      </c>
      <c r="M158" s="622">
        <f t="shared" si="42"/>
        <v>0.49090457251500325</v>
      </c>
      <c r="N158" s="391">
        <f t="shared" si="43"/>
        <v>319810.83915686072</v>
      </c>
      <c r="S158" s="622"/>
      <c r="T158" s="622"/>
    </row>
    <row r="159" spans="1:20">
      <c r="A159" s="1066">
        <f t="shared" si="37"/>
        <v>144</v>
      </c>
      <c r="B159" s="465">
        <v>39900</v>
      </c>
      <c r="C159" s="4" t="s">
        <v>1173</v>
      </c>
      <c r="D159" s="445">
        <v>76993.22</v>
      </c>
      <c r="E159" s="578">
        <v>0</v>
      </c>
      <c r="F159" s="578">
        <f t="shared" si="38"/>
        <v>76993.22</v>
      </c>
      <c r="G159" s="620">
        <f t="shared" si="39"/>
        <v>1</v>
      </c>
      <c r="H159" s="622">
        <f t="shared" si="40"/>
        <v>0.49090457251500325</v>
      </c>
      <c r="I159" s="578">
        <f t="shared" si="41"/>
        <v>37796.323750653595</v>
      </c>
      <c r="J159" s="106"/>
      <c r="K159" s="445">
        <v>76993.219999999987</v>
      </c>
      <c r="L159" s="621">
        <f t="shared" si="42"/>
        <v>1</v>
      </c>
      <c r="M159" s="622">
        <f t="shared" si="42"/>
        <v>0.49090457251500325</v>
      </c>
      <c r="N159" s="391">
        <f t="shared" si="43"/>
        <v>37796.323750653595</v>
      </c>
      <c r="S159" s="622"/>
      <c r="T159" s="622"/>
    </row>
    <row r="160" spans="1:20">
      <c r="A160" s="1066">
        <f t="shared" si="37"/>
        <v>145</v>
      </c>
      <c r="B160" s="465">
        <v>39901</v>
      </c>
      <c r="C160" s="4" t="s">
        <v>489</v>
      </c>
      <c r="D160" s="445">
        <v>340175.72142700013</v>
      </c>
      <c r="E160" s="578">
        <v>0</v>
      </c>
      <c r="F160" s="578">
        <f t="shared" si="38"/>
        <v>340175.72142700013</v>
      </c>
      <c r="G160" s="620">
        <f t="shared" si="39"/>
        <v>1</v>
      </c>
      <c r="H160" s="622">
        <f t="shared" si="40"/>
        <v>0.49090457251500325</v>
      </c>
      <c r="I160" s="578">
        <f t="shared" si="41"/>
        <v>166993.81710710432</v>
      </c>
      <c r="J160" s="106"/>
      <c r="K160" s="445">
        <v>329333.62491700001</v>
      </c>
      <c r="L160" s="621">
        <f t="shared" si="42"/>
        <v>1</v>
      </c>
      <c r="M160" s="622">
        <f t="shared" si="42"/>
        <v>0.49090457251500325</v>
      </c>
      <c r="N160" s="391">
        <f t="shared" si="43"/>
        <v>161671.38235469631</v>
      </c>
      <c r="S160" s="622"/>
      <c r="T160" s="622"/>
    </row>
    <row r="161" spans="1:20">
      <c r="A161" s="1066">
        <f t="shared" si="37"/>
        <v>146</v>
      </c>
      <c r="B161" s="465">
        <v>39902</v>
      </c>
      <c r="C161" s="4" t="s">
        <v>979</v>
      </c>
      <c r="D161" s="445">
        <v>8273.14</v>
      </c>
      <c r="E161" s="578">
        <v>0</v>
      </c>
      <c r="F161" s="578">
        <f t="shared" si="38"/>
        <v>8273.14</v>
      </c>
      <c r="G161" s="620">
        <f t="shared" si="39"/>
        <v>1</v>
      </c>
      <c r="H161" s="622">
        <f t="shared" si="40"/>
        <v>0.49090457251500325</v>
      </c>
      <c r="I161" s="578">
        <f t="shared" si="41"/>
        <v>4061.3222550567739</v>
      </c>
      <c r="J161" s="106"/>
      <c r="K161" s="445">
        <v>8273.14</v>
      </c>
      <c r="L161" s="621">
        <f t="shared" si="42"/>
        <v>1</v>
      </c>
      <c r="M161" s="622">
        <f t="shared" si="42"/>
        <v>0.49090457251500325</v>
      </c>
      <c r="N161" s="391">
        <f t="shared" si="43"/>
        <v>4061.3222550567739</v>
      </c>
      <c r="S161" s="622"/>
      <c r="T161" s="622"/>
    </row>
    <row r="162" spans="1:20">
      <c r="A162" s="1066">
        <f t="shared" si="37"/>
        <v>147</v>
      </c>
      <c r="B162" s="465">
        <v>39903</v>
      </c>
      <c r="C162" s="4" t="s">
        <v>1022</v>
      </c>
      <c r="D162" s="445">
        <v>209357.66</v>
      </c>
      <c r="E162" s="578">
        <v>0</v>
      </c>
      <c r="F162" s="578">
        <f t="shared" si="38"/>
        <v>209357.66</v>
      </c>
      <c r="G162" s="620">
        <f t="shared" si="39"/>
        <v>1</v>
      </c>
      <c r="H162" s="622">
        <f t="shared" si="40"/>
        <v>0.49090457251500325</v>
      </c>
      <c r="I162" s="578">
        <f t="shared" si="41"/>
        <v>102774.6325850414</v>
      </c>
      <c r="J162" s="106"/>
      <c r="K162" s="445">
        <v>209357.66</v>
      </c>
      <c r="L162" s="621">
        <f t="shared" si="42"/>
        <v>1</v>
      </c>
      <c r="M162" s="622">
        <f t="shared" si="42"/>
        <v>0.49090457251500325</v>
      </c>
      <c r="N162" s="391">
        <f t="shared" si="43"/>
        <v>102774.6325850414</v>
      </c>
      <c r="S162" s="622"/>
      <c r="T162" s="622"/>
    </row>
    <row r="163" spans="1:20">
      <c r="A163" s="1066">
        <f t="shared" si="37"/>
        <v>148</v>
      </c>
      <c r="B163" s="465">
        <v>39906</v>
      </c>
      <c r="C163" s="4" t="s">
        <v>465</v>
      </c>
      <c r="D163" s="445">
        <v>325080.33999999991</v>
      </c>
      <c r="E163" s="578">
        <v>0</v>
      </c>
      <c r="F163" s="578">
        <f t="shared" si="38"/>
        <v>325080.33999999991</v>
      </c>
      <c r="G163" s="620">
        <f t="shared" si="39"/>
        <v>1</v>
      </c>
      <c r="H163" s="622">
        <f t="shared" si="40"/>
        <v>0.49090457251500325</v>
      </c>
      <c r="I163" s="578">
        <f t="shared" si="41"/>
        <v>159583.42534073186</v>
      </c>
      <c r="J163" s="106"/>
      <c r="K163" s="445">
        <v>325080.33999999991</v>
      </c>
      <c r="L163" s="621">
        <f t="shared" si="42"/>
        <v>1</v>
      </c>
      <c r="M163" s="622">
        <f t="shared" si="42"/>
        <v>0.49090457251500325</v>
      </c>
      <c r="N163" s="391">
        <f t="shared" si="43"/>
        <v>159583.42534073186</v>
      </c>
      <c r="S163" s="622"/>
      <c r="T163" s="622"/>
    </row>
    <row r="164" spans="1:20">
      <c r="A164" s="1066">
        <f t="shared" si="37"/>
        <v>149</v>
      </c>
      <c r="B164" s="465">
        <v>39907</v>
      </c>
      <c r="C164" s="4" t="s">
        <v>520</v>
      </c>
      <c r="D164" s="445">
        <v>63179.857279249991</v>
      </c>
      <c r="E164" s="578">
        <v>0</v>
      </c>
      <c r="F164" s="578">
        <f t="shared" si="38"/>
        <v>63179.857279249991</v>
      </c>
      <c r="G164" s="620">
        <f t="shared" si="39"/>
        <v>1</v>
      </c>
      <c r="H164" s="622">
        <f t="shared" si="40"/>
        <v>0.49090457251500325</v>
      </c>
      <c r="I164" s="578">
        <f t="shared" si="41"/>
        <v>31015.280829229134</v>
      </c>
      <c r="J164" s="106"/>
      <c r="K164" s="445">
        <v>59020.269390749978</v>
      </c>
      <c r="L164" s="621">
        <f t="shared" si="42"/>
        <v>1</v>
      </c>
      <c r="M164" s="555">
        <f t="shared" si="42"/>
        <v>0.49090457251500325</v>
      </c>
      <c r="N164" s="391">
        <f t="shared" si="43"/>
        <v>28973.320114986447</v>
      </c>
      <c r="S164" s="622"/>
      <c r="T164" s="622"/>
    </row>
    <row r="165" spans="1:20">
      <c r="A165" s="1066">
        <f t="shared" si="37"/>
        <v>150</v>
      </c>
      <c r="B165" s="465">
        <v>39908</v>
      </c>
      <c r="C165" s="4" t="s">
        <v>184</v>
      </c>
      <c r="D165" s="445">
        <v>898473.13</v>
      </c>
      <c r="E165" s="578">
        <v>0</v>
      </c>
      <c r="F165" s="578">
        <f t="shared" si="38"/>
        <v>898473.13</v>
      </c>
      <c r="G165" s="620">
        <f t="shared" si="39"/>
        <v>1</v>
      </c>
      <c r="H165" s="622">
        <f t="shared" si="40"/>
        <v>0.49090457251500325</v>
      </c>
      <c r="I165" s="578">
        <f t="shared" si="41"/>
        <v>441064.56779886695</v>
      </c>
      <c r="J165" s="106"/>
      <c r="K165" s="445">
        <v>898473.13000000024</v>
      </c>
      <c r="L165" s="621">
        <f t="shared" si="42"/>
        <v>1</v>
      </c>
      <c r="M165" s="555">
        <f t="shared" si="42"/>
        <v>0.49090457251500325</v>
      </c>
      <c r="N165" s="391">
        <f t="shared" si="43"/>
        <v>441064.56779886706</v>
      </c>
      <c r="S165" s="622"/>
      <c r="T165" s="622"/>
    </row>
    <row r="166" spans="1:20">
      <c r="A166" s="1066">
        <f t="shared" si="37"/>
        <v>151</v>
      </c>
      <c r="B166" s="465"/>
      <c r="C166" s="4" t="s">
        <v>1164</v>
      </c>
      <c r="D166" s="445">
        <v>57506.510000000009</v>
      </c>
      <c r="E166" s="1082"/>
      <c r="F166" s="1082"/>
      <c r="G166" s="620">
        <f t="shared" si="39"/>
        <v>1</v>
      </c>
      <c r="H166" s="622">
        <f t="shared" si="40"/>
        <v>0.49090457251500325</v>
      </c>
      <c r="I166" s="1141">
        <f t="shared" si="41"/>
        <v>0</v>
      </c>
      <c r="J166" s="106"/>
      <c r="K166" s="445">
        <v>57506.510000000009</v>
      </c>
      <c r="L166" s="621">
        <f>G166</f>
        <v>1</v>
      </c>
      <c r="M166" s="555">
        <f>H166</f>
        <v>0.49090457251500325</v>
      </c>
      <c r="N166" s="392">
        <f t="shared" si="43"/>
        <v>28230.208708379763</v>
      </c>
      <c r="S166" s="622"/>
      <c r="T166" s="622"/>
    </row>
    <row r="167" spans="1:20">
      <c r="A167" s="1066">
        <f t="shared" si="37"/>
        <v>152</v>
      </c>
      <c r="B167" s="507"/>
      <c r="C167" s="4"/>
      <c r="D167" s="809"/>
      <c r="E167" s="809"/>
      <c r="F167" s="809"/>
      <c r="G167" s="1128"/>
      <c r="H167" s="1128"/>
      <c r="I167" s="106"/>
      <c r="J167" s="106"/>
      <c r="K167" s="106"/>
    </row>
    <row r="168" spans="1:20" ht="15" customHeight="1">
      <c r="A168" s="1066">
        <f t="shared" si="37"/>
        <v>153</v>
      </c>
      <c r="B168" s="507"/>
      <c r="C168" s="4" t="s">
        <v>4</v>
      </c>
      <c r="D168" s="445">
        <f>SUM(D150:D166)</f>
        <v>3218613.4676457494</v>
      </c>
      <c r="E168" s="445">
        <f>SUM(E150:E166)</f>
        <v>0</v>
      </c>
      <c r="F168" s="445">
        <f>SUM(F150:F166)</f>
        <v>3161106.9576457497</v>
      </c>
      <c r="G168" s="1128"/>
      <c r="H168" s="1128"/>
      <c r="I168" s="445">
        <f>SUM(I150:I166)</f>
        <v>1551801.8597172895</v>
      </c>
      <c r="J168" s="106"/>
      <c r="K168" s="445">
        <f>SUM(K150:K166)</f>
        <v>3175967.3370851865</v>
      </c>
      <c r="N168" s="382">
        <f>SUM(N150:N166)</f>
        <v>1559096.8879334165</v>
      </c>
    </row>
    <row r="169" spans="1:20" ht="15" customHeight="1">
      <c r="A169" s="1066">
        <f t="shared" si="37"/>
        <v>154</v>
      </c>
      <c r="B169" s="507"/>
      <c r="C169" s="4"/>
      <c r="D169" s="106"/>
      <c r="E169" s="106"/>
      <c r="F169" s="106"/>
      <c r="G169" s="1128"/>
      <c r="H169" s="1128"/>
      <c r="I169" s="106"/>
      <c r="J169" s="106"/>
      <c r="K169" s="106"/>
    </row>
    <row r="170" spans="1:20" ht="15" customHeight="1" thickBot="1">
      <c r="A170" s="1066">
        <f t="shared" si="37"/>
        <v>155</v>
      </c>
      <c r="B170" s="507"/>
      <c r="C170" s="245" t="s">
        <v>1371</v>
      </c>
      <c r="D170" s="425">
        <f>D122+D147+D168</f>
        <v>3218613.4676457494</v>
      </c>
      <c r="E170" s="425">
        <f>E122+E147+E168</f>
        <v>0</v>
      </c>
      <c r="F170" s="425">
        <f>F122+F147+F168</f>
        <v>3161106.9576457497</v>
      </c>
      <c r="G170" s="1128"/>
      <c r="H170" s="1128"/>
      <c r="I170" s="425">
        <f>I122+I147+I168</f>
        <v>1551801.8597172895</v>
      </c>
      <c r="J170" s="106"/>
      <c r="K170" s="425">
        <f>K122+K147+K168</f>
        <v>3175967.3370851865</v>
      </c>
      <c r="N170" s="422">
        <f>N122+N147+N168</f>
        <v>1559096.8879334165</v>
      </c>
      <c r="P170" s="1055"/>
      <c r="Q170" s="1055"/>
    </row>
    <row r="171" spans="1:20" ht="15" customHeight="1" thickTop="1">
      <c r="A171" s="1066">
        <f t="shared" si="37"/>
        <v>156</v>
      </c>
      <c r="B171" s="403"/>
      <c r="D171" s="806"/>
      <c r="E171" s="424"/>
      <c r="F171" s="106"/>
      <c r="G171" s="1128"/>
      <c r="H171" s="1128"/>
      <c r="I171" s="106"/>
      <c r="J171" s="106"/>
      <c r="K171" s="106"/>
      <c r="P171" s="106"/>
      <c r="Q171" s="106"/>
    </row>
    <row r="172" spans="1:20" ht="15" customHeight="1">
      <c r="A172" s="1066">
        <f t="shared" si="37"/>
        <v>157</v>
      </c>
      <c r="B172" s="416" t="s">
        <v>8</v>
      </c>
      <c r="D172" s="806"/>
      <c r="E172" s="424"/>
      <c r="F172" s="106"/>
      <c r="G172" s="1128"/>
      <c r="H172" s="1128"/>
      <c r="I172" s="106"/>
      <c r="J172" s="106"/>
      <c r="K172" s="106"/>
    </row>
    <row r="173" spans="1:20" ht="15" customHeight="1">
      <c r="A173" s="1066">
        <f t="shared" si="37"/>
        <v>158</v>
      </c>
      <c r="C173" s="106"/>
      <c r="D173" s="806"/>
      <c r="E173" s="106"/>
      <c r="F173" s="106"/>
      <c r="G173" s="1128"/>
      <c r="H173" s="1128"/>
      <c r="I173" s="106"/>
      <c r="J173" s="106"/>
      <c r="K173" s="106"/>
    </row>
    <row r="174" spans="1:20" ht="15" customHeight="1">
      <c r="A174" s="1066">
        <f t="shared" si="37"/>
        <v>159</v>
      </c>
      <c r="B174" s="507"/>
      <c r="C174" s="810" t="s">
        <v>309</v>
      </c>
      <c r="D174" s="806"/>
      <c r="E174" s="106"/>
      <c r="F174" s="106"/>
      <c r="G174" s="1128"/>
      <c r="H174" s="1128"/>
      <c r="I174" s="106"/>
      <c r="J174" s="106"/>
      <c r="K174" s="106"/>
    </row>
    <row r="175" spans="1:20" ht="15" customHeight="1">
      <c r="A175" s="1066">
        <f t="shared" si="37"/>
        <v>160</v>
      </c>
      <c r="B175" s="682">
        <v>39000</v>
      </c>
      <c r="C175" s="115" t="s">
        <v>874</v>
      </c>
      <c r="D175" s="445">
        <v>377671.47431382659</v>
      </c>
      <c r="E175" s="445">
        <v>0</v>
      </c>
      <c r="F175" s="445">
        <f t="shared" ref="F175:F199" si="44">D175+E175</f>
        <v>377671.47431382659</v>
      </c>
      <c r="G175" s="622">
        <f>Allocation!$C$14</f>
        <v>0.1071</v>
      </c>
      <c r="H175" s="622">
        <f>Allocation!$D$14</f>
        <v>0.49090457251500325</v>
      </c>
      <c r="I175" s="445">
        <f t="shared" ref="I175:I199" si="45">F175*G175*H175</f>
        <v>19856.410005822901</v>
      </c>
      <c r="J175" s="106"/>
      <c r="K175" s="445">
        <v>342141.76598517626</v>
      </c>
      <c r="L175" s="555">
        <f t="shared" ref="L175:M197" si="46">G175</f>
        <v>0.1071</v>
      </c>
      <c r="M175" s="555">
        <f t="shared" si="46"/>
        <v>0.49090457251500325</v>
      </c>
      <c r="N175" s="382">
        <f t="shared" ref="N175:N199" si="47">K175*L175*M175</f>
        <v>17988.404334378542</v>
      </c>
      <c r="P175" s="872"/>
      <c r="S175" s="622"/>
      <c r="T175" s="622"/>
    </row>
    <row r="176" spans="1:20" ht="15" customHeight="1">
      <c r="A176" s="1066">
        <f t="shared" si="37"/>
        <v>161</v>
      </c>
      <c r="B176" s="682">
        <v>39005</v>
      </c>
      <c r="C176" s="115" t="s">
        <v>1217</v>
      </c>
      <c r="D176" s="445">
        <v>4419387.5581265027</v>
      </c>
      <c r="E176" s="812">
        <v>0</v>
      </c>
      <c r="F176" s="578">
        <f t="shared" si="44"/>
        <v>4419387.5581265027</v>
      </c>
      <c r="G176" s="622">
        <v>1</v>
      </c>
      <c r="H176" s="622">
        <f>Allocation!$E$20</f>
        <v>1.5418259551017742E-2</v>
      </c>
      <c r="I176" s="578">
        <f t="shared" si="45"/>
        <v>68139.264427732924</v>
      </c>
      <c r="J176" s="106"/>
      <c r="K176" s="445">
        <v>4280936.5804510014</v>
      </c>
      <c r="L176" s="555">
        <f t="shared" si="46"/>
        <v>1</v>
      </c>
      <c r="M176" s="555">
        <f t="shared" si="46"/>
        <v>1.5418259551017742E-2</v>
      </c>
      <c r="N176" s="391">
        <f t="shared" si="47"/>
        <v>66004.591318839884</v>
      </c>
      <c r="P176" s="872"/>
      <c r="S176" s="622"/>
      <c r="T176" s="622"/>
    </row>
    <row r="177" spans="1:20" ht="15" customHeight="1">
      <c r="A177" s="1066">
        <f t="shared" si="37"/>
        <v>162</v>
      </c>
      <c r="B177" s="682">
        <v>39009</v>
      </c>
      <c r="C177" s="115" t="s">
        <v>1056</v>
      </c>
      <c r="D177" s="445">
        <v>9534899.1083900295</v>
      </c>
      <c r="E177" s="812">
        <v>0</v>
      </c>
      <c r="F177" s="578">
        <f t="shared" si="44"/>
        <v>9534899.1083900295</v>
      </c>
      <c r="G177" s="622">
        <f>$G$175</f>
        <v>0.1071</v>
      </c>
      <c r="H177" s="622">
        <f>$H$175</f>
        <v>0.49090457251500325</v>
      </c>
      <c r="I177" s="578">
        <f t="shared" si="45"/>
        <v>501305.70863031235</v>
      </c>
      <c r="J177" s="106"/>
      <c r="K177" s="445">
        <v>9376230.9372882526</v>
      </c>
      <c r="L177" s="555">
        <f t="shared" si="46"/>
        <v>0.1071</v>
      </c>
      <c r="M177" s="555">
        <f t="shared" si="46"/>
        <v>0.49090457251500325</v>
      </c>
      <c r="N177" s="391">
        <f t="shared" si="47"/>
        <v>492963.589951651</v>
      </c>
      <c r="P177" s="872"/>
      <c r="S177" s="622"/>
      <c r="T177" s="622"/>
    </row>
    <row r="178" spans="1:20" ht="15" customHeight="1">
      <c r="A178" s="1066">
        <f t="shared" si="37"/>
        <v>163</v>
      </c>
      <c r="B178" s="682">
        <v>39100</v>
      </c>
      <c r="C178" s="115" t="s">
        <v>796</v>
      </c>
      <c r="D178" s="445">
        <v>6762897.40193009</v>
      </c>
      <c r="E178" s="812">
        <v>0</v>
      </c>
      <c r="F178" s="578">
        <f t="shared" si="44"/>
        <v>6762897.40193009</v>
      </c>
      <c r="G178" s="622">
        <f>$G$175</f>
        <v>0.1071</v>
      </c>
      <c r="H178" s="622">
        <f>$H$175</f>
        <v>0.49090457251500325</v>
      </c>
      <c r="I178" s="578">
        <f t="shared" si="45"/>
        <v>355565.28033793863</v>
      </c>
      <c r="J178" s="106"/>
      <c r="K178" s="445">
        <v>6538887.1487144716</v>
      </c>
      <c r="L178" s="555">
        <f t="shared" si="46"/>
        <v>0.1071</v>
      </c>
      <c r="M178" s="555">
        <f t="shared" si="46"/>
        <v>0.49090457251500325</v>
      </c>
      <c r="N178" s="391">
        <f t="shared" si="47"/>
        <v>343787.74420964363</v>
      </c>
      <c r="P178" s="872"/>
      <c r="S178" s="622"/>
      <c r="T178" s="622"/>
    </row>
    <row r="179" spans="1:20" ht="15" customHeight="1">
      <c r="A179" s="1066">
        <f t="shared" si="37"/>
        <v>164</v>
      </c>
      <c r="B179" s="682">
        <v>39102</v>
      </c>
      <c r="C179" s="115" t="s">
        <v>542</v>
      </c>
      <c r="D179" s="445">
        <v>5859.7</v>
      </c>
      <c r="E179" s="812">
        <v>0</v>
      </c>
      <c r="F179" s="578">
        <f t="shared" si="44"/>
        <v>5859.7</v>
      </c>
      <c r="G179" s="622">
        <f>$G$175</f>
        <v>0.1071</v>
      </c>
      <c r="H179" s="622">
        <f>$H$175</f>
        <v>0.49090457251500325</v>
      </c>
      <c r="I179" s="578">
        <f t="shared" si="45"/>
        <v>308.07888237393621</v>
      </c>
      <c r="J179" s="106"/>
      <c r="K179" s="445">
        <v>5859.699999999998</v>
      </c>
      <c r="L179" s="555">
        <f t="shared" si="46"/>
        <v>0.1071</v>
      </c>
      <c r="M179" s="555">
        <f t="shared" si="46"/>
        <v>0.49090457251500325</v>
      </c>
      <c r="N179" s="391">
        <f t="shared" si="47"/>
        <v>308.07888237393615</v>
      </c>
      <c r="P179" s="872"/>
      <c r="S179" s="622"/>
      <c r="T179" s="622"/>
    </row>
    <row r="180" spans="1:20" ht="15" customHeight="1">
      <c r="A180" s="1066">
        <f t="shared" si="37"/>
        <v>165</v>
      </c>
      <c r="B180" s="683">
        <v>39103</v>
      </c>
      <c r="C180" s="115" t="s">
        <v>797</v>
      </c>
      <c r="D180" s="445">
        <v>2888.48</v>
      </c>
      <c r="E180" s="812">
        <v>0</v>
      </c>
      <c r="F180" s="578">
        <f t="shared" si="44"/>
        <v>2888.48</v>
      </c>
      <c r="G180" s="622">
        <f>$G$175</f>
        <v>0.1071</v>
      </c>
      <c r="H180" s="622">
        <f>$H$175</f>
        <v>0.49090457251500325</v>
      </c>
      <c r="I180" s="578">
        <f t="shared" si="45"/>
        <v>151.86437704310242</v>
      </c>
      <c r="J180" s="106"/>
      <c r="K180" s="445">
        <v>2888.4800000000005</v>
      </c>
      <c r="L180" s="555">
        <f t="shared" si="46"/>
        <v>0.1071</v>
      </c>
      <c r="M180" s="555">
        <f t="shared" si="46"/>
        <v>0.49090457251500325</v>
      </c>
      <c r="N180" s="391">
        <f t="shared" si="47"/>
        <v>151.86437704310245</v>
      </c>
      <c r="P180" s="872"/>
      <c r="S180" s="622"/>
      <c r="T180" s="622"/>
    </row>
    <row r="181" spans="1:20" ht="15" customHeight="1">
      <c r="A181" s="1066">
        <f t="shared" si="37"/>
        <v>166</v>
      </c>
      <c r="B181" s="682">
        <v>39104</v>
      </c>
      <c r="C181" s="106" t="s">
        <v>1218</v>
      </c>
      <c r="D181" s="445">
        <v>14373.874851250004</v>
      </c>
      <c r="E181" s="812">
        <v>0</v>
      </c>
      <c r="F181" s="578">
        <f t="shared" si="44"/>
        <v>14373.874851250004</v>
      </c>
      <c r="G181" s="622">
        <v>1</v>
      </c>
      <c r="H181" s="622">
        <f>$H$176</f>
        <v>1.5418259551017742E-2</v>
      </c>
      <c r="I181" s="578">
        <f t="shared" si="45"/>
        <v>221.62013321041911</v>
      </c>
      <c r="J181" s="106"/>
      <c r="K181" s="445">
        <v>13111.80602125</v>
      </c>
      <c r="L181" s="555">
        <f t="shared" si="46"/>
        <v>1</v>
      </c>
      <c r="M181" s="555">
        <f t="shared" si="46"/>
        <v>1.5418259551017742E-2</v>
      </c>
      <c r="N181" s="391">
        <f t="shared" si="47"/>
        <v>202.16122841822977</v>
      </c>
      <c r="P181" s="872"/>
      <c r="S181" s="622"/>
      <c r="T181" s="622"/>
    </row>
    <row r="182" spans="1:20" ht="15" customHeight="1">
      <c r="A182" s="1066">
        <f t="shared" si="37"/>
        <v>167</v>
      </c>
      <c r="B182" s="682">
        <v>39200</v>
      </c>
      <c r="C182" s="115" t="s">
        <v>1096</v>
      </c>
      <c r="D182" s="445">
        <v>103526.48346449996</v>
      </c>
      <c r="E182" s="812">
        <v>0</v>
      </c>
      <c r="F182" s="578">
        <f t="shared" si="44"/>
        <v>103526.48346449996</v>
      </c>
      <c r="G182" s="622">
        <f t="shared" ref="G182:G199" si="48">$G$175</f>
        <v>0.1071</v>
      </c>
      <c r="H182" s="622">
        <f t="shared" ref="H182:H199" si="49">$H$175</f>
        <v>0.49090457251500325</v>
      </c>
      <c r="I182" s="578">
        <f t="shared" si="45"/>
        <v>5442.9959420869563</v>
      </c>
      <c r="J182" s="106"/>
      <c r="K182" s="445">
        <v>103471.19587769225</v>
      </c>
      <c r="L182" s="555">
        <f t="shared" si="46"/>
        <v>0.1071</v>
      </c>
      <c r="M182" s="555">
        <f t="shared" si="46"/>
        <v>0.49090457251500325</v>
      </c>
      <c r="N182" s="391">
        <f t="shared" si="47"/>
        <v>5440.0891485731463</v>
      </c>
      <c r="P182" s="872"/>
      <c r="S182" s="622"/>
      <c r="T182" s="622"/>
    </row>
    <row r="183" spans="1:20" ht="15" customHeight="1">
      <c r="A183" s="1066">
        <f t="shared" si="37"/>
        <v>168</v>
      </c>
      <c r="B183" s="682">
        <v>39300</v>
      </c>
      <c r="C183" s="115" t="s">
        <v>665</v>
      </c>
      <c r="D183" s="445">
        <v>757.51</v>
      </c>
      <c r="E183" s="812">
        <v>0</v>
      </c>
      <c r="F183" s="578">
        <f t="shared" si="44"/>
        <v>757.51</v>
      </c>
      <c r="G183" s="622">
        <f t="shared" si="48"/>
        <v>0.1071</v>
      </c>
      <c r="H183" s="622">
        <f t="shared" si="49"/>
        <v>0.49090457251500325</v>
      </c>
      <c r="I183" s="578">
        <f t="shared" si="45"/>
        <v>39.826754643937477</v>
      </c>
      <c r="J183" s="106"/>
      <c r="K183" s="445">
        <v>757.5100000000001</v>
      </c>
      <c r="L183" s="555">
        <f t="shared" si="46"/>
        <v>0.1071</v>
      </c>
      <c r="M183" s="555">
        <f t="shared" si="46"/>
        <v>0.49090457251500325</v>
      </c>
      <c r="N183" s="391">
        <f t="shared" si="47"/>
        <v>39.826754643937484</v>
      </c>
      <c r="P183" s="872"/>
      <c r="S183" s="622"/>
      <c r="T183" s="622"/>
    </row>
    <row r="184" spans="1:20" ht="15" customHeight="1">
      <c r="A184" s="1066">
        <f t="shared" si="37"/>
        <v>169</v>
      </c>
      <c r="B184" s="682">
        <v>39400</v>
      </c>
      <c r="C184" s="115" t="s">
        <v>1055</v>
      </c>
      <c r="D184" s="445">
        <v>300162.41831639275</v>
      </c>
      <c r="E184" s="812">
        <v>0</v>
      </c>
      <c r="F184" s="578">
        <f t="shared" si="44"/>
        <v>300162.41831639275</v>
      </c>
      <c r="G184" s="622">
        <f t="shared" si="48"/>
        <v>0.1071</v>
      </c>
      <c r="H184" s="622">
        <f t="shared" si="49"/>
        <v>0.49090457251500325</v>
      </c>
      <c r="I184" s="578">
        <f t="shared" si="45"/>
        <v>15781.303200773453</v>
      </c>
      <c r="J184" s="106"/>
      <c r="K184" s="445">
        <v>225442.73207752156</v>
      </c>
      <c r="L184" s="555">
        <f t="shared" si="46"/>
        <v>0.1071</v>
      </c>
      <c r="M184" s="555">
        <f t="shared" si="46"/>
        <v>0.49090457251500325</v>
      </c>
      <c r="N184" s="391">
        <f t="shared" si="47"/>
        <v>11852.849964634637</v>
      </c>
      <c r="P184" s="872"/>
      <c r="S184" s="622"/>
      <c r="T184" s="622"/>
    </row>
    <row r="185" spans="1:20">
      <c r="A185" s="1066">
        <f t="shared" si="37"/>
        <v>170</v>
      </c>
      <c r="B185" s="682">
        <v>39500</v>
      </c>
      <c r="C185" s="115" t="s">
        <v>1219</v>
      </c>
      <c r="D185" s="445">
        <v>12218.128284999999</v>
      </c>
      <c r="E185" s="812">
        <v>0</v>
      </c>
      <c r="F185" s="578">
        <f t="shared" si="44"/>
        <v>12218.128284999999</v>
      </c>
      <c r="G185" s="622">
        <f t="shared" si="48"/>
        <v>0.1071</v>
      </c>
      <c r="H185" s="622">
        <f t="shared" si="49"/>
        <v>0.49090457251500325</v>
      </c>
      <c r="I185" s="578">
        <f t="shared" si="45"/>
        <v>642.37884307117724</v>
      </c>
      <c r="J185" s="106"/>
      <c r="K185" s="445">
        <v>11030.6167675</v>
      </c>
      <c r="L185" s="555">
        <f t="shared" si="46"/>
        <v>0.1071</v>
      </c>
      <c r="M185" s="555">
        <f t="shared" si="46"/>
        <v>0.49090457251500325</v>
      </c>
      <c r="N185" s="391">
        <f t="shared" si="47"/>
        <v>579.94438036530892</v>
      </c>
      <c r="P185" s="872"/>
      <c r="S185" s="622"/>
      <c r="T185" s="622"/>
    </row>
    <row r="186" spans="1:20">
      <c r="A186" s="1066">
        <f t="shared" si="37"/>
        <v>171</v>
      </c>
      <c r="B186" s="465">
        <v>39700</v>
      </c>
      <c r="C186" s="4" t="s">
        <v>454</v>
      </c>
      <c r="D186" s="445">
        <v>1505492.8885503884</v>
      </c>
      <c r="E186" s="812">
        <v>0</v>
      </c>
      <c r="F186" s="578">
        <f t="shared" si="44"/>
        <v>1505492.8885503884</v>
      </c>
      <c r="G186" s="622">
        <f t="shared" si="48"/>
        <v>0.1071</v>
      </c>
      <c r="H186" s="622">
        <f t="shared" si="49"/>
        <v>0.49090457251500325</v>
      </c>
      <c r="I186" s="578">
        <f t="shared" si="45"/>
        <v>79152.613022255842</v>
      </c>
      <c r="J186" s="106"/>
      <c r="K186" s="445">
        <v>1430512.6825936004</v>
      </c>
      <c r="L186" s="555">
        <f t="shared" si="46"/>
        <v>0.1071</v>
      </c>
      <c r="M186" s="555">
        <f t="shared" si="46"/>
        <v>0.49090457251500325</v>
      </c>
      <c r="N186" s="391">
        <f t="shared" si="47"/>
        <v>75210.462732764092</v>
      </c>
      <c r="P186" s="872"/>
      <c r="S186" s="622"/>
      <c r="T186" s="622"/>
    </row>
    <row r="187" spans="1:20">
      <c r="A187" s="1066">
        <f t="shared" si="37"/>
        <v>172</v>
      </c>
      <c r="B187" s="465">
        <v>39800</v>
      </c>
      <c r="C187" s="4" t="s">
        <v>666</v>
      </c>
      <c r="D187" s="445">
        <v>155238.34882366349</v>
      </c>
      <c r="E187" s="812">
        <v>0</v>
      </c>
      <c r="F187" s="578">
        <f t="shared" si="44"/>
        <v>155238.34882366349</v>
      </c>
      <c r="G187" s="622">
        <f t="shared" si="48"/>
        <v>0.1071</v>
      </c>
      <c r="H187" s="622">
        <f t="shared" si="49"/>
        <v>0.49090457251500325</v>
      </c>
      <c r="I187" s="578">
        <f t="shared" si="45"/>
        <v>8161.7927551187786</v>
      </c>
      <c r="J187" s="106"/>
      <c r="K187" s="445">
        <v>140437.64689661382</v>
      </c>
      <c r="L187" s="555">
        <f t="shared" si="46"/>
        <v>0.1071</v>
      </c>
      <c r="M187" s="555">
        <f t="shared" si="46"/>
        <v>0.49090457251500325</v>
      </c>
      <c r="N187" s="391">
        <f t="shared" si="47"/>
        <v>7383.6328308845641</v>
      </c>
      <c r="P187" s="872"/>
      <c r="S187" s="622"/>
      <c r="T187" s="622"/>
    </row>
    <row r="188" spans="1:20">
      <c r="A188" s="1066">
        <f t="shared" si="37"/>
        <v>173</v>
      </c>
      <c r="B188" s="465">
        <v>39900</v>
      </c>
      <c r="C188" s="4" t="s">
        <v>1173</v>
      </c>
      <c r="D188" s="445">
        <v>150605.72351999991</v>
      </c>
      <c r="E188" s="812">
        <v>0</v>
      </c>
      <c r="F188" s="578">
        <f t="shared" si="44"/>
        <v>150605.72351999991</v>
      </c>
      <c r="G188" s="622">
        <f t="shared" si="48"/>
        <v>0.1071</v>
      </c>
      <c r="H188" s="622">
        <f t="shared" si="49"/>
        <v>0.49090457251500325</v>
      </c>
      <c r="I188" s="578">
        <f t="shared" si="45"/>
        <v>7918.2284043824111</v>
      </c>
      <c r="J188" s="106"/>
      <c r="K188" s="445">
        <v>139628.57802999995</v>
      </c>
      <c r="L188" s="555">
        <f t="shared" si="46"/>
        <v>0.1071</v>
      </c>
      <c r="M188" s="555">
        <f t="shared" si="46"/>
        <v>0.49090457251500325</v>
      </c>
      <c r="N188" s="391">
        <f t="shared" si="47"/>
        <v>7341.0953234712233</v>
      </c>
      <c r="P188" s="872"/>
      <c r="S188" s="622"/>
      <c r="T188" s="622"/>
    </row>
    <row r="189" spans="1:20">
      <c r="A189" s="1066">
        <f t="shared" si="37"/>
        <v>174</v>
      </c>
      <c r="B189" s="465">
        <v>39901</v>
      </c>
      <c r="C189" s="4" t="s">
        <v>489</v>
      </c>
      <c r="D189" s="445">
        <v>10395733.584783155</v>
      </c>
      <c r="E189" s="812">
        <v>0</v>
      </c>
      <c r="F189" s="578">
        <f t="shared" si="44"/>
        <v>10395733.584783155</v>
      </c>
      <c r="G189" s="622">
        <f t="shared" si="48"/>
        <v>0.1071</v>
      </c>
      <c r="H189" s="622">
        <f t="shared" si="49"/>
        <v>0.49090457251500325</v>
      </c>
      <c r="I189" s="578">
        <f t="shared" si="45"/>
        <v>546564.83851685037</v>
      </c>
      <c r="J189" s="106"/>
      <c r="K189" s="445">
        <v>8897841.3926442191</v>
      </c>
      <c r="L189" s="555">
        <f t="shared" si="46"/>
        <v>0.1071</v>
      </c>
      <c r="M189" s="555">
        <f t="shared" si="46"/>
        <v>0.49090457251500325</v>
      </c>
      <c r="N189" s="391">
        <f t="shared" si="47"/>
        <v>467811.83879488357</v>
      </c>
      <c r="P189" s="872"/>
      <c r="S189" s="622"/>
      <c r="T189" s="622"/>
    </row>
    <row r="190" spans="1:20">
      <c r="A190" s="1066">
        <f t="shared" si="37"/>
        <v>175</v>
      </c>
      <c r="B190" s="465">
        <v>39902</v>
      </c>
      <c r="C190" s="4" t="s">
        <v>979</v>
      </c>
      <c r="D190" s="445">
        <v>10002062.392514775</v>
      </c>
      <c r="E190" s="812">
        <v>0</v>
      </c>
      <c r="F190" s="578">
        <f t="shared" si="44"/>
        <v>10002062.392514775</v>
      </c>
      <c r="G190" s="622">
        <f t="shared" si="48"/>
        <v>0.1071</v>
      </c>
      <c r="H190" s="622">
        <f t="shared" si="49"/>
        <v>0.49090457251500325</v>
      </c>
      <c r="I190" s="578">
        <f t="shared" si="45"/>
        <v>525867.22926435317</v>
      </c>
      <c r="J190" s="106"/>
      <c r="K190" s="445">
        <v>9125369.7927618325</v>
      </c>
      <c r="L190" s="555">
        <f t="shared" si="46"/>
        <v>0.1071</v>
      </c>
      <c r="M190" s="555">
        <f t="shared" si="46"/>
        <v>0.49090457251500325</v>
      </c>
      <c r="N190" s="391">
        <f t="shared" si="47"/>
        <v>479774.3445915223</v>
      </c>
      <c r="P190" s="872"/>
      <c r="S190" s="622"/>
      <c r="T190" s="622"/>
    </row>
    <row r="191" spans="1:20">
      <c r="A191" s="1066">
        <f t="shared" si="37"/>
        <v>176</v>
      </c>
      <c r="B191" s="465">
        <v>39903</v>
      </c>
      <c r="C191" s="4" t="s">
        <v>1022</v>
      </c>
      <c r="D191" s="445">
        <v>1607937.878608379</v>
      </c>
      <c r="E191" s="812">
        <v>0</v>
      </c>
      <c r="F191" s="578">
        <f t="shared" si="44"/>
        <v>1607937.878608379</v>
      </c>
      <c r="G191" s="622">
        <f t="shared" si="48"/>
        <v>0.1071</v>
      </c>
      <c r="H191" s="622">
        <f t="shared" si="49"/>
        <v>0.49090457251500325</v>
      </c>
      <c r="I191" s="578">
        <f t="shared" si="45"/>
        <v>84538.748497088134</v>
      </c>
      <c r="J191" s="106"/>
      <c r="K191" s="445">
        <v>1488419.5982145811</v>
      </c>
      <c r="L191" s="555">
        <f t="shared" si="46"/>
        <v>0.1071</v>
      </c>
      <c r="M191" s="555">
        <f t="shared" si="46"/>
        <v>0.49090457251500325</v>
      </c>
      <c r="N191" s="391">
        <f t="shared" si="47"/>
        <v>78254.969763197994</v>
      </c>
      <c r="P191" s="872"/>
      <c r="S191" s="622"/>
      <c r="T191" s="622"/>
    </row>
    <row r="192" spans="1:20">
      <c r="A192" s="1066">
        <f t="shared" si="37"/>
        <v>177</v>
      </c>
      <c r="B192" s="465">
        <v>39904</v>
      </c>
      <c r="C192" s="4" t="s">
        <v>1198</v>
      </c>
      <c r="D192" s="445">
        <v>17152.41</v>
      </c>
      <c r="E192" s="812">
        <v>0</v>
      </c>
      <c r="F192" s="578">
        <f t="shared" si="44"/>
        <v>17152.41</v>
      </c>
      <c r="G192" s="622">
        <f t="shared" si="48"/>
        <v>0.1071</v>
      </c>
      <c r="H192" s="622">
        <f t="shared" si="49"/>
        <v>0.49090457251500325</v>
      </c>
      <c r="I192" s="578">
        <f t="shared" si="45"/>
        <v>901.80304500563636</v>
      </c>
      <c r="J192" s="106"/>
      <c r="K192" s="445">
        <v>17152.41</v>
      </c>
      <c r="L192" s="555">
        <f t="shared" si="46"/>
        <v>0.1071</v>
      </c>
      <c r="M192" s="555">
        <f t="shared" si="46"/>
        <v>0.49090457251500325</v>
      </c>
      <c r="N192" s="391">
        <f t="shared" si="47"/>
        <v>901.80304500563636</v>
      </c>
      <c r="P192" s="872"/>
      <c r="S192" s="622"/>
      <c r="T192" s="622"/>
    </row>
    <row r="193" spans="1:20">
      <c r="A193" s="1066">
        <f t="shared" si="37"/>
        <v>178</v>
      </c>
      <c r="B193" s="465">
        <v>39905</v>
      </c>
      <c r="C193" s="4" t="s">
        <v>512</v>
      </c>
      <c r="D193" s="445">
        <v>15409.52</v>
      </c>
      <c r="E193" s="812">
        <v>0</v>
      </c>
      <c r="F193" s="578">
        <f t="shared" si="44"/>
        <v>15409.52</v>
      </c>
      <c r="G193" s="622">
        <f t="shared" si="48"/>
        <v>0.1071</v>
      </c>
      <c r="H193" s="622">
        <f t="shared" si="49"/>
        <v>0.49090457251500325</v>
      </c>
      <c r="I193" s="578">
        <f t="shared" si="45"/>
        <v>810.16907000679521</v>
      </c>
      <c r="J193" s="106"/>
      <c r="K193" s="445">
        <v>15409.519999999999</v>
      </c>
      <c r="L193" s="555">
        <f t="shared" si="46"/>
        <v>0.1071</v>
      </c>
      <c r="M193" s="555">
        <f t="shared" si="46"/>
        <v>0.49090457251500325</v>
      </c>
      <c r="N193" s="391">
        <f t="shared" si="47"/>
        <v>810.1690700067951</v>
      </c>
      <c r="P193" s="872"/>
      <c r="S193" s="622"/>
      <c r="T193" s="622"/>
    </row>
    <row r="194" spans="1:20">
      <c r="A194" s="1066">
        <f t="shared" si="37"/>
        <v>179</v>
      </c>
      <c r="B194" s="465">
        <v>39906</v>
      </c>
      <c r="C194" s="4" t="s">
        <v>465</v>
      </c>
      <c r="D194" s="445">
        <v>1620512.0522977025</v>
      </c>
      <c r="E194" s="812">
        <v>0</v>
      </c>
      <c r="F194" s="578">
        <f t="shared" si="44"/>
        <v>1620512.0522977025</v>
      </c>
      <c r="G194" s="622">
        <f t="shared" si="48"/>
        <v>0.1071</v>
      </c>
      <c r="H194" s="622">
        <f t="shared" si="49"/>
        <v>0.49090457251500325</v>
      </c>
      <c r="I194" s="578">
        <f t="shared" si="45"/>
        <v>85199.846740510591</v>
      </c>
      <c r="J194" s="106"/>
      <c r="K194" s="445">
        <v>1495751.7330012745</v>
      </c>
      <c r="L194" s="555">
        <f t="shared" si="46"/>
        <v>0.1071</v>
      </c>
      <c r="M194" s="555">
        <f t="shared" si="46"/>
        <v>0.49090457251500325</v>
      </c>
      <c r="N194" s="391">
        <f t="shared" si="47"/>
        <v>78640.463199807316</v>
      </c>
      <c r="P194" s="872"/>
      <c r="S194" s="622"/>
      <c r="T194" s="622"/>
    </row>
    <row r="195" spans="1:20">
      <c r="A195" s="1066">
        <f t="shared" si="37"/>
        <v>180</v>
      </c>
      <c r="B195" s="465">
        <v>39907</v>
      </c>
      <c r="C195" s="4" t="s">
        <v>520</v>
      </c>
      <c r="D195" s="445">
        <v>587833.5493327009</v>
      </c>
      <c r="E195" s="812">
        <v>0</v>
      </c>
      <c r="F195" s="578">
        <f t="shared" si="44"/>
        <v>587833.5493327009</v>
      </c>
      <c r="G195" s="622">
        <f t="shared" si="48"/>
        <v>0.1071</v>
      </c>
      <c r="H195" s="622">
        <f t="shared" si="49"/>
        <v>0.49090457251500325</v>
      </c>
      <c r="I195" s="578">
        <f t="shared" si="45"/>
        <v>30905.865982955202</v>
      </c>
      <c r="J195" s="106"/>
      <c r="K195" s="445">
        <v>565086.84648060636</v>
      </c>
      <c r="L195" s="555">
        <f t="shared" si="46"/>
        <v>0.1071</v>
      </c>
      <c r="M195" s="555">
        <f t="shared" si="46"/>
        <v>0.49090457251500325</v>
      </c>
      <c r="N195" s="391">
        <f t="shared" si="47"/>
        <v>29709.938069859767</v>
      </c>
      <c r="P195" s="872"/>
      <c r="S195" s="622"/>
      <c r="T195" s="622"/>
    </row>
    <row r="196" spans="1:20">
      <c r="A196" s="1066">
        <f t="shared" si="37"/>
        <v>181</v>
      </c>
      <c r="B196" s="465">
        <v>39908</v>
      </c>
      <c r="C196" s="4" t="s">
        <v>184</v>
      </c>
      <c r="D196" s="445">
        <v>90849277.140440717</v>
      </c>
      <c r="E196" s="812">
        <v>0</v>
      </c>
      <c r="F196" s="578">
        <f t="shared" si="44"/>
        <v>90849277.140440717</v>
      </c>
      <c r="G196" s="622">
        <f t="shared" si="48"/>
        <v>0.1071</v>
      </c>
      <c r="H196" s="622">
        <f t="shared" si="49"/>
        <v>0.49090457251500325</v>
      </c>
      <c r="I196" s="578">
        <f t="shared" si="45"/>
        <v>4776480.6672537792</v>
      </c>
      <c r="J196" s="106"/>
      <c r="K196" s="445">
        <v>86746968.751971349</v>
      </c>
      <c r="L196" s="555">
        <f t="shared" si="46"/>
        <v>0.1071</v>
      </c>
      <c r="M196" s="555">
        <f t="shared" si="46"/>
        <v>0.49090457251500325</v>
      </c>
      <c r="N196" s="391">
        <f t="shared" si="47"/>
        <v>4560798.1948622121</v>
      </c>
      <c r="P196" s="872"/>
      <c r="S196" s="622"/>
      <c r="T196" s="622"/>
    </row>
    <row r="197" spans="1:20">
      <c r="A197" s="1066">
        <f t="shared" si="37"/>
        <v>182</v>
      </c>
      <c r="B197" s="465">
        <v>39909</v>
      </c>
      <c r="C197" s="4" t="s">
        <v>352</v>
      </c>
      <c r="D197" s="445">
        <v>1098665.8199999996</v>
      </c>
      <c r="E197" s="812">
        <v>0</v>
      </c>
      <c r="F197" s="578">
        <f t="shared" si="44"/>
        <v>1098665.8199999996</v>
      </c>
      <c r="G197" s="622">
        <f t="shared" si="48"/>
        <v>0.1071</v>
      </c>
      <c r="H197" s="622">
        <f t="shared" si="49"/>
        <v>0.49090457251500325</v>
      </c>
      <c r="I197" s="578">
        <f t="shared" si="45"/>
        <v>57763.322000792541</v>
      </c>
      <c r="J197" s="106"/>
      <c r="K197" s="445">
        <v>1098665.8199999998</v>
      </c>
      <c r="L197" s="555">
        <f t="shared" si="46"/>
        <v>0.1071</v>
      </c>
      <c r="M197" s="555">
        <f t="shared" si="46"/>
        <v>0.49090457251500325</v>
      </c>
      <c r="N197" s="391">
        <f t="shared" si="47"/>
        <v>57763.322000792556</v>
      </c>
      <c r="P197" s="872"/>
      <c r="S197" s="622"/>
      <c r="T197" s="622"/>
    </row>
    <row r="198" spans="1:20" s="1055" customFormat="1">
      <c r="A198" s="1066">
        <f t="shared" si="37"/>
        <v>183</v>
      </c>
      <c r="B198" s="1058">
        <v>39924</v>
      </c>
      <c r="C198" s="4" t="s">
        <v>1456</v>
      </c>
      <c r="D198" s="445">
        <v>0</v>
      </c>
      <c r="E198" s="812">
        <v>0</v>
      </c>
      <c r="F198" s="578">
        <f t="shared" ref="F198" si="50">D198+E198</f>
        <v>0</v>
      </c>
      <c r="G198" s="622">
        <f t="shared" si="48"/>
        <v>0.1071</v>
      </c>
      <c r="H198" s="622">
        <f t="shared" si="49"/>
        <v>0.49090457251500325</v>
      </c>
      <c r="I198" s="578">
        <f t="shared" ref="I198" si="51">F198*G198*H198</f>
        <v>0</v>
      </c>
      <c r="J198" s="106"/>
      <c r="K198" s="445">
        <v>0</v>
      </c>
      <c r="L198" s="555">
        <f t="shared" ref="L198" si="52">G198</f>
        <v>0.1071</v>
      </c>
      <c r="M198" s="555">
        <f t="shared" ref="M198" si="53">H198</f>
        <v>0.49090457251500325</v>
      </c>
      <c r="N198" s="391">
        <f t="shared" ref="N198" si="54">K198*L198*M198</f>
        <v>0</v>
      </c>
      <c r="P198" s="872"/>
      <c r="S198" s="622"/>
      <c r="T198" s="622"/>
    </row>
    <row r="199" spans="1:20">
      <c r="A199" s="1066">
        <f t="shared" si="37"/>
        <v>184</v>
      </c>
      <c r="B199" s="465"/>
      <c r="C199" s="4" t="s">
        <v>1164</v>
      </c>
      <c r="D199" s="445">
        <v>0</v>
      </c>
      <c r="E199" s="1143">
        <v>0</v>
      </c>
      <c r="F199" s="493">
        <f t="shared" si="44"/>
        <v>0</v>
      </c>
      <c r="G199" s="568">
        <f t="shared" si="48"/>
        <v>0.1071</v>
      </c>
      <c r="H199" s="568">
        <f t="shared" si="49"/>
        <v>0.49090457251500325</v>
      </c>
      <c r="I199" s="1141">
        <f t="shared" si="45"/>
        <v>0</v>
      </c>
      <c r="J199" s="106"/>
      <c r="K199" s="445">
        <v>0</v>
      </c>
      <c r="L199" s="554">
        <f>G199</f>
        <v>0.1071</v>
      </c>
      <c r="M199" s="554">
        <f>H199</f>
        <v>0.49090457251500325</v>
      </c>
      <c r="N199" s="392">
        <f t="shared" si="47"/>
        <v>0</v>
      </c>
      <c r="P199" s="872"/>
      <c r="S199" s="622"/>
      <c r="T199" s="622"/>
    </row>
    <row r="200" spans="1:20">
      <c r="A200" s="1066">
        <f t="shared" si="37"/>
        <v>185</v>
      </c>
      <c r="B200" s="507"/>
      <c r="C200" s="4"/>
      <c r="D200" s="1145"/>
      <c r="E200" s="1145"/>
      <c r="F200" s="1145"/>
      <c r="G200" s="1128"/>
      <c r="H200" s="1128"/>
      <c r="I200" s="106"/>
      <c r="J200" s="106"/>
      <c r="K200" s="106"/>
    </row>
    <row r="201" spans="1:20" ht="15.75" thickBot="1">
      <c r="A201" s="1066">
        <f t="shared" si="37"/>
        <v>186</v>
      </c>
      <c r="B201" s="507"/>
      <c r="C201" s="245" t="s">
        <v>1369</v>
      </c>
      <c r="D201" s="425">
        <f>SUM(D175:D199)</f>
        <v>139540563.44654906</v>
      </c>
      <c r="E201" s="425">
        <f>SUM(E175:E199)</f>
        <v>0</v>
      </c>
      <c r="F201" s="425">
        <f>SUM(F175:F199)</f>
        <v>139540563.44654906</v>
      </c>
      <c r="G201" s="1128"/>
      <c r="H201" s="1128"/>
      <c r="I201" s="425">
        <f>SUM(I175:I199)</f>
        <v>7171719.8560881075</v>
      </c>
      <c r="J201" s="106"/>
      <c r="K201" s="425">
        <f>SUM(K175:K199)</f>
        <v>132062003.24577695</v>
      </c>
      <c r="N201" s="425">
        <f>SUM(N175:N199)</f>
        <v>6783719.3788349722</v>
      </c>
      <c r="P201" s="1055"/>
      <c r="Q201" s="1055"/>
    </row>
    <row r="202" spans="1:20" ht="15.75" thickTop="1">
      <c r="A202" s="1066">
        <f t="shared" si="37"/>
        <v>187</v>
      </c>
      <c r="B202" s="403"/>
      <c r="D202" s="806"/>
      <c r="E202" s="106"/>
      <c r="F202" s="106"/>
      <c r="G202" s="1128"/>
      <c r="H202" s="1128"/>
      <c r="I202" s="106"/>
      <c r="J202" s="106"/>
      <c r="K202" s="106"/>
      <c r="P202" s="106"/>
      <c r="Q202" s="106"/>
    </row>
    <row r="203" spans="1:20" ht="15.75">
      <c r="A203" s="1066">
        <f t="shared" si="37"/>
        <v>188</v>
      </c>
      <c r="B203" s="416" t="s">
        <v>9</v>
      </c>
      <c r="D203" s="806"/>
      <c r="E203" s="106"/>
      <c r="F203" s="106"/>
      <c r="G203" s="1128"/>
      <c r="H203" s="1128"/>
      <c r="I203" s="106"/>
      <c r="J203" s="106"/>
      <c r="K203" s="106"/>
    </row>
    <row r="204" spans="1:20">
      <c r="A204" s="1066">
        <f t="shared" si="37"/>
        <v>189</v>
      </c>
      <c r="B204" s="403"/>
      <c r="C204" s="106"/>
      <c r="D204" s="806"/>
      <c r="E204" s="106"/>
      <c r="F204" s="106"/>
      <c r="G204" s="1128"/>
      <c r="H204" s="1128"/>
      <c r="I204" s="106"/>
      <c r="J204" s="106"/>
      <c r="K204" s="106"/>
      <c r="P204" s="768"/>
    </row>
    <row r="205" spans="1:20">
      <c r="A205" s="1066">
        <f t="shared" si="37"/>
        <v>190</v>
      </c>
      <c r="B205" s="507"/>
      <c r="C205" s="810" t="s">
        <v>309</v>
      </c>
      <c r="D205" s="806"/>
      <c r="E205" s="106"/>
      <c r="F205" s="106"/>
      <c r="G205" s="1128"/>
      <c r="H205" s="1128"/>
      <c r="I205" s="106"/>
      <c r="J205" s="106"/>
      <c r="K205" s="106"/>
    </row>
    <row r="206" spans="1:20">
      <c r="A206" s="1066">
        <f t="shared" si="37"/>
        <v>191</v>
      </c>
      <c r="B206" s="682">
        <v>38900</v>
      </c>
      <c r="C206" s="115" t="s">
        <v>300</v>
      </c>
      <c r="D206" s="445">
        <v>0</v>
      </c>
      <c r="E206" s="445">
        <v>0</v>
      </c>
      <c r="F206" s="445">
        <f t="shared" ref="F206:F226" si="55">D206+E206</f>
        <v>0</v>
      </c>
      <c r="G206" s="622">
        <f>Allocation!$C$15</f>
        <v>0.1086</v>
      </c>
      <c r="H206" s="622">
        <f>Allocation!$D$15</f>
        <v>0.52599015110063552</v>
      </c>
      <c r="I206" s="445">
        <f t="shared" ref="I206:I226" si="56">F206*G206*H206</f>
        <v>0</v>
      </c>
      <c r="J206" s="106"/>
      <c r="K206" s="445">
        <v>0</v>
      </c>
      <c r="L206" s="419">
        <f>G206</f>
        <v>0.1086</v>
      </c>
      <c r="M206" s="419">
        <f>H206</f>
        <v>0.52599015110063552</v>
      </c>
      <c r="N206" s="404">
        <f>K206*L206*M206</f>
        <v>0</v>
      </c>
      <c r="P206" s="872"/>
      <c r="S206" s="622"/>
      <c r="T206" s="622"/>
    </row>
    <row r="207" spans="1:20">
      <c r="A207" s="1066">
        <f t="shared" si="37"/>
        <v>192</v>
      </c>
      <c r="B207" s="682">
        <v>38910</v>
      </c>
      <c r="C207" s="115" t="s">
        <v>1220</v>
      </c>
      <c r="D207" s="445">
        <v>0</v>
      </c>
      <c r="E207" s="578">
        <v>0</v>
      </c>
      <c r="F207" s="578">
        <f t="shared" si="55"/>
        <v>0</v>
      </c>
      <c r="G207" s="622">
        <v>1</v>
      </c>
      <c r="H207" s="622">
        <f>Allocation!$E$21</f>
        <v>1.083947E-2</v>
      </c>
      <c r="I207" s="578">
        <f t="shared" si="56"/>
        <v>0</v>
      </c>
      <c r="J207" s="106"/>
      <c r="K207" s="445">
        <v>0</v>
      </c>
      <c r="L207" s="419">
        <f t="shared" ref="L207:L226" si="57">G207</f>
        <v>1</v>
      </c>
      <c r="M207" s="419">
        <f t="shared" ref="M207:M226" si="58">H207</f>
        <v>1.083947E-2</v>
      </c>
      <c r="N207" s="387">
        <f t="shared" ref="N207:N226" si="59">K207*L207*M207</f>
        <v>0</v>
      </c>
      <c r="P207" s="872"/>
      <c r="S207" s="622"/>
      <c r="T207" s="622"/>
    </row>
    <row r="208" spans="1:20">
      <c r="A208" s="1066">
        <f t="shared" si="37"/>
        <v>193</v>
      </c>
      <c r="B208" s="682">
        <v>39000</v>
      </c>
      <c r="C208" s="115" t="s">
        <v>874</v>
      </c>
      <c r="D208" s="445">
        <v>3821156.646319584</v>
      </c>
      <c r="E208" s="578">
        <v>0</v>
      </c>
      <c r="F208" s="578">
        <f t="shared" si="55"/>
        <v>3821156.646319584</v>
      </c>
      <c r="G208" s="622">
        <f>$G$206</f>
        <v>0.1086</v>
      </c>
      <c r="H208" s="622">
        <f>$H$206</f>
        <v>0.52599015110063552</v>
      </c>
      <c r="I208" s="578">
        <f t="shared" si="56"/>
        <v>218274.13672896434</v>
      </c>
      <c r="J208" s="106"/>
      <c r="K208" s="445">
        <v>3630142.9990200689</v>
      </c>
      <c r="L208" s="419">
        <f t="shared" si="57"/>
        <v>0.1086</v>
      </c>
      <c r="M208" s="419">
        <f t="shared" si="58"/>
        <v>0.52599015110063552</v>
      </c>
      <c r="N208" s="387">
        <f t="shared" si="59"/>
        <v>207362.95385246276</v>
      </c>
      <c r="P208" s="872"/>
      <c r="S208" s="622"/>
      <c r="T208" s="622"/>
    </row>
    <row r="209" spans="1:20">
      <c r="A209" s="1066">
        <f t="shared" si="37"/>
        <v>194</v>
      </c>
      <c r="B209" s="682">
        <v>39009</v>
      </c>
      <c r="C209" s="115" t="s">
        <v>1056</v>
      </c>
      <c r="D209" s="445">
        <v>3884585.6510734996</v>
      </c>
      <c r="E209" s="578">
        <v>0</v>
      </c>
      <c r="F209" s="578">
        <f t="shared" si="55"/>
        <v>3884585.6510734996</v>
      </c>
      <c r="G209" s="622">
        <f>$G$206</f>
        <v>0.1086</v>
      </c>
      <c r="H209" s="622">
        <f>$H$206</f>
        <v>0.52599015110063552</v>
      </c>
      <c r="I209" s="578">
        <f t="shared" si="56"/>
        <v>221897.36198186607</v>
      </c>
      <c r="J209" s="106"/>
      <c r="K209" s="445">
        <v>3814736.0932109994</v>
      </c>
      <c r="L209" s="419">
        <f t="shared" si="57"/>
        <v>0.1086</v>
      </c>
      <c r="M209" s="419">
        <f t="shared" si="58"/>
        <v>0.52599015110063552</v>
      </c>
      <c r="N209" s="387">
        <f t="shared" si="59"/>
        <v>217907.37848877325</v>
      </c>
      <c r="P209" s="872"/>
      <c r="S209" s="622"/>
      <c r="T209" s="622"/>
    </row>
    <row r="210" spans="1:20">
      <c r="A210" s="1066">
        <f t="shared" ref="A210:A230" si="60">A209+1</f>
        <v>195</v>
      </c>
      <c r="B210" s="682">
        <v>39010</v>
      </c>
      <c r="C210" s="115" t="s">
        <v>1221</v>
      </c>
      <c r="D210" s="445">
        <v>3557031.6900565019</v>
      </c>
      <c r="E210" s="578">
        <v>0</v>
      </c>
      <c r="F210" s="578">
        <f t="shared" si="55"/>
        <v>3557031.6900565019</v>
      </c>
      <c r="G210" s="622">
        <v>1</v>
      </c>
      <c r="H210" s="622">
        <f>$H$207</f>
        <v>1.083947E-2</v>
      </c>
      <c r="I210" s="578">
        <f t="shared" si="56"/>
        <v>38556.338293416753</v>
      </c>
      <c r="J210" s="106"/>
      <c r="K210" s="445">
        <v>3400213.5990710007</v>
      </c>
      <c r="L210" s="419">
        <f t="shared" si="57"/>
        <v>1</v>
      </c>
      <c r="M210" s="419">
        <f t="shared" si="58"/>
        <v>1.083947E-2</v>
      </c>
      <c r="N210" s="387">
        <f t="shared" si="59"/>
        <v>36856.513300722145</v>
      </c>
      <c r="P210" s="872"/>
      <c r="S210" s="622"/>
      <c r="T210" s="622"/>
    </row>
    <row r="211" spans="1:20">
      <c r="A211" s="1066">
        <f t="shared" si="60"/>
        <v>196</v>
      </c>
      <c r="B211" s="682">
        <v>39100</v>
      </c>
      <c r="C211" s="115" t="s">
        <v>796</v>
      </c>
      <c r="D211" s="445">
        <v>492197.54099577921</v>
      </c>
      <c r="E211" s="578">
        <v>0</v>
      </c>
      <c r="F211" s="578">
        <f t="shared" si="55"/>
        <v>492197.54099577921</v>
      </c>
      <c r="G211" s="622">
        <f>$G$206</f>
        <v>0.1086</v>
      </c>
      <c r="H211" s="622">
        <f>$H$206</f>
        <v>0.52599015110063552</v>
      </c>
      <c r="I211" s="578">
        <f t="shared" si="56"/>
        <v>28115.569003026805</v>
      </c>
      <c r="J211" s="106"/>
      <c r="K211" s="445">
        <v>446777.88771304733</v>
      </c>
      <c r="L211" s="419">
        <f t="shared" si="57"/>
        <v>0.1086</v>
      </c>
      <c r="M211" s="419">
        <f t="shared" si="58"/>
        <v>0.52599015110063552</v>
      </c>
      <c r="N211" s="387">
        <f t="shared" si="59"/>
        <v>25521.083477193686</v>
      </c>
      <c r="P211" s="872"/>
      <c r="S211" s="622"/>
      <c r="T211" s="622"/>
    </row>
    <row r="212" spans="1:20">
      <c r="A212" s="1066">
        <f t="shared" si="60"/>
        <v>197</v>
      </c>
      <c r="B212" s="682">
        <v>39103</v>
      </c>
      <c r="C212" s="115" t="s">
        <v>1367</v>
      </c>
      <c r="D212" s="445">
        <v>176.23000000000002</v>
      </c>
      <c r="E212" s="578">
        <v>0</v>
      </c>
      <c r="F212" s="578">
        <f t="shared" ref="F212" si="61">D212+E212</f>
        <v>176.23000000000002</v>
      </c>
      <c r="G212" s="622">
        <f>$G$206</f>
        <v>0.1086</v>
      </c>
      <c r="H212" s="622">
        <f>$H$206</f>
        <v>0.52599015110063552</v>
      </c>
      <c r="I212" s="578">
        <f t="shared" ref="I212" si="62">F212*G212*H212</f>
        <v>10.0667035340713</v>
      </c>
      <c r="J212" s="106"/>
      <c r="K212" s="445">
        <v>176.23000000000002</v>
      </c>
      <c r="L212" s="419">
        <f t="shared" ref="L212" si="63">G212</f>
        <v>0.1086</v>
      </c>
      <c r="M212" s="419">
        <f t="shared" ref="M212" si="64">H212</f>
        <v>0.52599015110063552</v>
      </c>
      <c r="N212" s="387">
        <f t="shared" ref="N212" si="65">K212*L212*M212</f>
        <v>10.0667035340713</v>
      </c>
      <c r="P212" s="872"/>
      <c r="S212" s="622"/>
      <c r="T212" s="622"/>
    </row>
    <row r="213" spans="1:20">
      <c r="A213" s="1066">
        <f t="shared" si="60"/>
        <v>198</v>
      </c>
      <c r="B213" s="465">
        <v>39700</v>
      </c>
      <c r="C213" s="115" t="s">
        <v>454</v>
      </c>
      <c r="D213" s="445">
        <v>-5911075.909759501</v>
      </c>
      <c r="E213" s="578">
        <v>0</v>
      </c>
      <c r="F213" s="578">
        <f t="shared" si="55"/>
        <v>-5911075.909759501</v>
      </c>
      <c r="G213" s="622">
        <f>$G$206</f>
        <v>0.1086</v>
      </c>
      <c r="H213" s="622">
        <f>$H$206</f>
        <v>0.52599015110063552</v>
      </c>
      <c r="I213" s="578">
        <f t="shared" si="56"/>
        <v>-337655.61340827151</v>
      </c>
      <c r="J213" s="106"/>
      <c r="K213" s="445">
        <v>-5968487.3654519999</v>
      </c>
      <c r="L213" s="419">
        <f t="shared" si="57"/>
        <v>0.1086</v>
      </c>
      <c r="M213" s="419">
        <f t="shared" si="58"/>
        <v>0.52599015110063552</v>
      </c>
      <c r="N213" s="387">
        <f t="shared" si="59"/>
        <v>-340935.10103192157</v>
      </c>
      <c r="P213" s="872"/>
      <c r="S213" s="622"/>
      <c r="T213" s="622"/>
    </row>
    <row r="214" spans="1:20">
      <c r="A214" s="1066">
        <f t="shared" si="60"/>
        <v>199</v>
      </c>
      <c r="B214" s="465">
        <v>39710</v>
      </c>
      <c r="C214" s="115" t="s">
        <v>1222</v>
      </c>
      <c r="D214" s="445">
        <v>119468.9930609999</v>
      </c>
      <c r="E214" s="578">
        <v>0</v>
      </c>
      <c r="F214" s="578">
        <f t="shared" si="55"/>
        <v>119468.9930609999</v>
      </c>
      <c r="G214" s="622">
        <v>1</v>
      </c>
      <c r="H214" s="622">
        <f>$H$207</f>
        <v>1.083947E-2</v>
      </c>
      <c r="I214" s="578">
        <f t="shared" si="56"/>
        <v>1294.9805662149165</v>
      </c>
      <c r="J214" s="106"/>
      <c r="K214" s="445">
        <v>111524.07237599994</v>
      </c>
      <c r="L214" s="419">
        <f t="shared" si="57"/>
        <v>1</v>
      </c>
      <c r="M214" s="419">
        <f t="shared" si="58"/>
        <v>1.083947E-2</v>
      </c>
      <c r="N214" s="387">
        <f t="shared" si="59"/>
        <v>1208.86183679748</v>
      </c>
      <c r="P214" s="872"/>
      <c r="S214" s="622"/>
      <c r="T214" s="622"/>
    </row>
    <row r="215" spans="1:20">
      <c r="A215" s="1066">
        <f t="shared" si="60"/>
        <v>200</v>
      </c>
      <c r="B215" s="465">
        <v>39800</v>
      </c>
      <c r="C215" s="115" t="s">
        <v>666</v>
      </c>
      <c r="D215" s="445">
        <v>5216.0379003609105</v>
      </c>
      <c r="E215" s="578">
        <v>0</v>
      </c>
      <c r="F215" s="578">
        <f t="shared" si="55"/>
        <v>5216.0379003609105</v>
      </c>
      <c r="G215" s="622">
        <f t="shared" ref="G215:G222" si="66">$G$206</f>
        <v>0.1086</v>
      </c>
      <c r="H215" s="622">
        <f t="shared" ref="H215:H222" si="67">$H$206</f>
        <v>0.52599015110063552</v>
      </c>
      <c r="I215" s="578">
        <f t="shared" si="56"/>
        <v>297.95328358062199</v>
      </c>
      <c r="J215" s="106"/>
      <c r="K215" s="445">
        <v>3517.4485534245491</v>
      </c>
      <c r="L215" s="419">
        <f t="shared" si="57"/>
        <v>0.1086</v>
      </c>
      <c r="M215" s="419">
        <f t="shared" si="58"/>
        <v>0.52599015110063552</v>
      </c>
      <c r="N215" s="387">
        <f t="shared" si="59"/>
        <v>200.92556195694766</v>
      </c>
      <c r="P215" s="872"/>
      <c r="S215" s="622"/>
      <c r="T215" s="622"/>
    </row>
    <row r="216" spans="1:20">
      <c r="A216" s="1066">
        <f t="shared" si="60"/>
        <v>201</v>
      </c>
      <c r="B216" s="465">
        <v>39900</v>
      </c>
      <c r="C216" s="115" t="s">
        <v>1173</v>
      </c>
      <c r="D216" s="445">
        <v>349573.02822399966</v>
      </c>
      <c r="E216" s="578">
        <v>0</v>
      </c>
      <c r="F216" s="578">
        <f t="shared" si="55"/>
        <v>349573.02822399966</v>
      </c>
      <c r="G216" s="622">
        <f t="shared" si="66"/>
        <v>0.1086</v>
      </c>
      <c r="H216" s="622">
        <f t="shared" si="67"/>
        <v>0.52599015110063552</v>
      </c>
      <c r="I216" s="578">
        <f t="shared" si="56"/>
        <v>19968.495935076564</v>
      </c>
      <c r="J216" s="106"/>
      <c r="K216" s="445">
        <v>308488.45838599978</v>
      </c>
      <c r="L216" s="419">
        <f t="shared" si="57"/>
        <v>0.1086</v>
      </c>
      <c r="M216" s="419">
        <f t="shared" si="58"/>
        <v>0.52599015110063552</v>
      </c>
      <c r="N216" s="387">
        <f t="shared" si="59"/>
        <v>17621.641345142998</v>
      </c>
      <c r="P216" s="872"/>
      <c r="S216" s="622"/>
      <c r="T216" s="622"/>
    </row>
    <row r="217" spans="1:20">
      <c r="A217" s="1066">
        <f t="shared" si="60"/>
        <v>202</v>
      </c>
      <c r="B217" s="465">
        <v>39901</v>
      </c>
      <c r="C217" s="115" t="s">
        <v>489</v>
      </c>
      <c r="D217" s="445">
        <v>4200904.0768759176</v>
      </c>
      <c r="E217" s="578">
        <v>0</v>
      </c>
      <c r="F217" s="578">
        <f t="shared" si="55"/>
        <v>4200904.0768759176</v>
      </c>
      <c r="G217" s="622">
        <f t="shared" si="66"/>
        <v>0.1086</v>
      </c>
      <c r="H217" s="622">
        <f t="shared" si="67"/>
        <v>0.52599015110063552</v>
      </c>
      <c r="I217" s="578">
        <f t="shared" si="56"/>
        <v>239966.27087885904</v>
      </c>
      <c r="J217" s="106"/>
      <c r="K217" s="445">
        <v>3810394.9551611799</v>
      </c>
      <c r="L217" s="419">
        <f t="shared" si="57"/>
        <v>0.1086</v>
      </c>
      <c r="M217" s="419">
        <f t="shared" si="58"/>
        <v>0.52599015110063552</v>
      </c>
      <c r="N217" s="387">
        <f t="shared" si="59"/>
        <v>217659.40169851045</v>
      </c>
      <c r="P217" s="872"/>
      <c r="S217" s="622"/>
      <c r="T217" s="622"/>
    </row>
    <row r="218" spans="1:20">
      <c r="A218" s="1066">
        <f t="shared" si="60"/>
        <v>203</v>
      </c>
      <c r="B218" s="465">
        <v>39902</v>
      </c>
      <c r="C218" s="115" t="s">
        <v>979</v>
      </c>
      <c r="D218" s="445">
        <v>1153376.2904887816</v>
      </c>
      <c r="E218" s="578">
        <v>0</v>
      </c>
      <c r="F218" s="578">
        <f t="shared" si="55"/>
        <v>1153376.2904887816</v>
      </c>
      <c r="G218" s="622">
        <f t="shared" si="66"/>
        <v>0.1086</v>
      </c>
      <c r="H218" s="622">
        <f t="shared" si="67"/>
        <v>0.52599015110063552</v>
      </c>
      <c r="I218" s="578">
        <f t="shared" si="56"/>
        <v>65883.772227075198</v>
      </c>
      <c r="J218" s="106"/>
      <c r="K218" s="445">
        <v>1071176.4286662876</v>
      </c>
      <c r="L218" s="419">
        <f t="shared" si="57"/>
        <v>0.1086</v>
      </c>
      <c r="M218" s="419">
        <f t="shared" si="58"/>
        <v>0.52599015110063552</v>
      </c>
      <c r="N218" s="387">
        <f t="shared" si="59"/>
        <v>61188.308120460701</v>
      </c>
      <c r="P218" s="872"/>
      <c r="S218" s="622"/>
      <c r="T218" s="622"/>
    </row>
    <row r="219" spans="1:20">
      <c r="A219" s="1066">
        <f t="shared" si="60"/>
        <v>204</v>
      </c>
      <c r="B219" s="465">
        <v>39903</v>
      </c>
      <c r="C219" s="115" t="s">
        <v>1022</v>
      </c>
      <c r="D219" s="445">
        <v>139676.65187023746</v>
      </c>
      <c r="E219" s="578">
        <v>0</v>
      </c>
      <c r="F219" s="578">
        <f t="shared" si="55"/>
        <v>139676.65187023746</v>
      </c>
      <c r="G219" s="622">
        <f t="shared" si="66"/>
        <v>0.1086</v>
      </c>
      <c r="H219" s="622">
        <f t="shared" si="67"/>
        <v>0.52599015110063552</v>
      </c>
      <c r="I219" s="578">
        <f t="shared" si="56"/>
        <v>7978.6837939588377</v>
      </c>
      <c r="J219" s="106"/>
      <c r="K219" s="445">
        <v>117108.14220324624</v>
      </c>
      <c r="L219" s="419">
        <f t="shared" si="57"/>
        <v>0.1086</v>
      </c>
      <c r="M219" s="419">
        <f t="shared" si="58"/>
        <v>0.52599015110063552</v>
      </c>
      <c r="N219" s="387">
        <f t="shared" si="59"/>
        <v>6689.5134142083825</v>
      </c>
      <c r="P219" s="872"/>
      <c r="S219" s="622"/>
      <c r="T219" s="622"/>
    </row>
    <row r="220" spans="1:20">
      <c r="A220" s="1066">
        <f t="shared" si="60"/>
        <v>205</v>
      </c>
      <c r="B220" s="465">
        <v>39906</v>
      </c>
      <c r="C220" s="115" t="s">
        <v>465</v>
      </c>
      <c r="D220" s="445">
        <v>18642.191809181691</v>
      </c>
      <c r="E220" s="578">
        <v>0</v>
      </c>
      <c r="F220" s="578">
        <f t="shared" si="55"/>
        <v>18642.191809181691</v>
      </c>
      <c r="G220" s="622">
        <f t="shared" si="66"/>
        <v>0.1086</v>
      </c>
      <c r="H220" s="622">
        <f t="shared" si="67"/>
        <v>0.52599015110063552</v>
      </c>
      <c r="I220" s="578">
        <f t="shared" si="56"/>
        <v>1064.8891685202539</v>
      </c>
      <c r="J220" s="106"/>
      <c r="K220" s="445">
        <v>-35212.885007407509</v>
      </c>
      <c r="L220" s="419">
        <f t="shared" si="57"/>
        <v>0.1086</v>
      </c>
      <c r="M220" s="419">
        <f t="shared" si="58"/>
        <v>0.52599015110063552</v>
      </c>
      <c r="N220" s="387">
        <f t="shared" si="59"/>
        <v>-2011.4490946428839</v>
      </c>
      <c r="P220" s="872"/>
      <c r="S220" s="622"/>
      <c r="T220" s="622"/>
    </row>
    <row r="221" spans="1:20">
      <c r="A221" s="1066">
        <f t="shared" si="60"/>
        <v>206</v>
      </c>
      <c r="B221" s="465">
        <v>39907</v>
      </c>
      <c r="C221" s="115" t="s">
        <v>520</v>
      </c>
      <c r="D221" s="445">
        <v>1071.4549209999916</v>
      </c>
      <c r="E221" s="578">
        <v>0</v>
      </c>
      <c r="F221" s="578">
        <f t="shared" si="55"/>
        <v>1071.4549209999916</v>
      </c>
      <c r="G221" s="622">
        <f t="shared" si="66"/>
        <v>0.1086</v>
      </c>
      <c r="H221" s="622">
        <f t="shared" si="67"/>
        <v>0.52599015110063552</v>
      </c>
      <c r="I221" s="578">
        <f t="shared" si="56"/>
        <v>61.204216307261532</v>
      </c>
      <c r="J221" s="106"/>
      <c r="K221" s="445">
        <v>-5186.6554505000086</v>
      </c>
      <c r="L221" s="419">
        <f t="shared" si="57"/>
        <v>0.1086</v>
      </c>
      <c r="M221" s="419">
        <f t="shared" si="58"/>
        <v>0.52599015110063552</v>
      </c>
      <c r="N221" s="387">
        <f t="shared" si="59"/>
        <v>-296.27488369493619</v>
      </c>
      <c r="P221" s="872"/>
      <c r="S221" s="622"/>
      <c r="T221" s="622"/>
    </row>
    <row r="222" spans="1:20">
      <c r="A222" s="1066">
        <f t="shared" si="60"/>
        <v>207</v>
      </c>
      <c r="B222" s="465">
        <v>39908</v>
      </c>
      <c r="C222" s="115" t="s">
        <v>184</v>
      </c>
      <c r="D222" s="445">
        <v>53760471.877220847</v>
      </c>
      <c r="E222" s="578">
        <v>0</v>
      </c>
      <c r="F222" s="578">
        <f t="shared" si="55"/>
        <v>53760471.877220847</v>
      </c>
      <c r="G222" s="622">
        <f t="shared" si="66"/>
        <v>0.1086</v>
      </c>
      <c r="H222" s="622">
        <f t="shared" si="67"/>
        <v>0.52599015110063552</v>
      </c>
      <c r="I222" s="578">
        <f t="shared" si="56"/>
        <v>3070934.1896371776</v>
      </c>
      <c r="J222" s="106"/>
      <c r="K222" s="445">
        <v>50066514.513103761</v>
      </c>
      <c r="L222" s="419">
        <f t="shared" si="57"/>
        <v>0.1086</v>
      </c>
      <c r="M222" s="419">
        <f t="shared" si="58"/>
        <v>0.52599015110063552</v>
      </c>
      <c r="N222" s="387">
        <f t="shared" si="59"/>
        <v>2859925.9977738955</v>
      </c>
      <c r="P222" s="872"/>
      <c r="S222" s="622"/>
      <c r="T222" s="622"/>
    </row>
    <row r="223" spans="1:20">
      <c r="A223" s="1066">
        <f t="shared" si="60"/>
        <v>208</v>
      </c>
      <c r="B223" s="465">
        <v>39910</v>
      </c>
      <c r="C223" s="115" t="s">
        <v>1223</v>
      </c>
      <c r="D223" s="445">
        <v>68178.782623999999</v>
      </c>
      <c r="E223" s="578">
        <v>0</v>
      </c>
      <c r="F223" s="578">
        <f t="shared" si="55"/>
        <v>68178.782623999999</v>
      </c>
      <c r="G223" s="622">
        <v>1</v>
      </c>
      <c r="H223" s="622">
        <f>$H$207</f>
        <v>1.083947E-2</v>
      </c>
      <c r="I223" s="578">
        <f t="shared" si="56"/>
        <v>739.02186888936933</v>
      </c>
      <c r="J223" s="106"/>
      <c r="K223" s="445">
        <v>62171.674985999976</v>
      </c>
      <c r="L223" s="419">
        <f t="shared" si="57"/>
        <v>1</v>
      </c>
      <c r="M223" s="419">
        <f t="shared" si="58"/>
        <v>1.083947E-2</v>
      </c>
      <c r="N223" s="387">
        <f t="shared" si="59"/>
        <v>673.90800586049716</v>
      </c>
      <c r="P223" s="872"/>
      <c r="S223" s="622"/>
      <c r="T223" s="622"/>
    </row>
    <row r="224" spans="1:20">
      <c r="A224" s="1066">
        <f t="shared" si="60"/>
        <v>209</v>
      </c>
      <c r="B224" s="465">
        <v>39916</v>
      </c>
      <c r="C224" s="115" t="s">
        <v>1224</v>
      </c>
      <c r="D224" s="445">
        <v>148061.35125750001</v>
      </c>
      <c r="E224" s="578">
        <v>0</v>
      </c>
      <c r="F224" s="578">
        <f t="shared" si="55"/>
        <v>148061.35125750001</v>
      </c>
      <c r="G224" s="622">
        <v>1</v>
      </c>
      <c r="H224" s="622">
        <f>$H$207</f>
        <v>1.083947E-2</v>
      </c>
      <c r="I224" s="578">
        <f t="shared" si="56"/>
        <v>1604.9065751151336</v>
      </c>
      <c r="J224" s="106"/>
      <c r="K224" s="445">
        <v>137885.24300300007</v>
      </c>
      <c r="L224" s="419">
        <f t="shared" si="57"/>
        <v>1</v>
      </c>
      <c r="M224" s="419">
        <f t="shared" si="58"/>
        <v>1.083947E-2</v>
      </c>
      <c r="N224" s="387">
        <f t="shared" si="59"/>
        <v>1494.6029549737293</v>
      </c>
      <c r="P224" s="872"/>
      <c r="S224" s="622"/>
      <c r="T224" s="622"/>
    </row>
    <row r="225" spans="1:20">
      <c r="A225" s="1066">
        <f t="shared" si="60"/>
        <v>210</v>
      </c>
      <c r="B225" s="465">
        <v>39917</v>
      </c>
      <c r="C225" s="115" t="s">
        <v>1225</v>
      </c>
      <c r="D225" s="445">
        <v>45661.639016000016</v>
      </c>
      <c r="E225" s="578">
        <v>0</v>
      </c>
      <c r="F225" s="578">
        <f t="shared" si="55"/>
        <v>45661.639016000016</v>
      </c>
      <c r="G225" s="622">
        <v>1</v>
      </c>
      <c r="H225" s="622">
        <f>$H$207</f>
        <v>1.083947E-2</v>
      </c>
      <c r="I225" s="578">
        <f t="shared" si="56"/>
        <v>494.9479662647617</v>
      </c>
      <c r="J225" s="106"/>
      <c r="K225" s="445">
        <v>42660.219451999998</v>
      </c>
      <c r="L225" s="419">
        <f t="shared" si="57"/>
        <v>1</v>
      </c>
      <c r="M225" s="419">
        <f t="shared" si="58"/>
        <v>1.083947E-2</v>
      </c>
      <c r="N225" s="387">
        <f t="shared" si="59"/>
        <v>462.41416894337044</v>
      </c>
      <c r="P225" s="872"/>
      <c r="S225" s="622"/>
      <c r="T225" s="622"/>
    </row>
    <row r="226" spans="1:20">
      <c r="A226" s="1066">
        <f t="shared" si="60"/>
        <v>211</v>
      </c>
      <c r="B226" s="465"/>
      <c r="C226" s="4" t="s">
        <v>1164</v>
      </c>
      <c r="D226" s="445">
        <v>0</v>
      </c>
      <c r="E226" s="493">
        <v>0</v>
      </c>
      <c r="F226" s="578">
        <f t="shared" si="55"/>
        <v>0</v>
      </c>
      <c r="G226" s="622">
        <f>$G$206</f>
        <v>0.1086</v>
      </c>
      <c r="H226" s="622">
        <f>$H$206</f>
        <v>0.52599015110063552</v>
      </c>
      <c r="I226" s="1141">
        <f t="shared" si="56"/>
        <v>0</v>
      </c>
      <c r="J226" s="106"/>
      <c r="K226" s="445">
        <v>0</v>
      </c>
      <c r="L226" s="419">
        <f t="shared" si="57"/>
        <v>0.1086</v>
      </c>
      <c r="M226" s="419">
        <f t="shared" si="58"/>
        <v>0.52599015110063552</v>
      </c>
      <c r="N226" s="390">
        <f t="shared" si="59"/>
        <v>0</v>
      </c>
      <c r="P226" s="872"/>
      <c r="S226" s="622"/>
      <c r="T226" s="622"/>
    </row>
    <row r="227" spans="1:20">
      <c r="A227" s="1066">
        <f t="shared" si="60"/>
        <v>212</v>
      </c>
      <c r="B227" s="1"/>
      <c r="C227" s="4"/>
      <c r="D227" s="789"/>
      <c r="E227" s="786"/>
      <c r="F227" s="786"/>
    </row>
    <row r="228" spans="1:20" ht="15.75" thickBot="1">
      <c r="A228" s="1066">
        <f t="shared" si="60"/>
        <v>213</v>
      </c>
      <c r="B228" s="1"/>
      <c r="C228" s="245" t="s">
        <v>1370</v>
      </c>
      <c r="D228" s="417">
        <f>SUM(D206:D227)</f>
        <v>65854374.223954692</v>
      </c>
      <c r="E228" s="417">
        <f>SUM(E206:E227)</f>
        <v>0</v>
      </c>
      <c r="F228" s="417">
        <f>SUM(F206:F227)</f>
        <v>65854374.223954692</v>
      </c>
      <c r="I228" s="417">
        <f>SUM(I206:I227)</f>
        <v>3579487.1754195755</v>
      </c>
      <c r="K228" s="417">
        <f>SUM(K206:K227)</f>
        <v>61014601.058996104</v>
      </c>
      <c r="N228" s="417">
        <f>SUM(N206:N227)</f>
        <v>3311540.7456931765</v>
      </c>
      <c r="P228" s="1055"/>
      <c r="Q228" s="1055"/>
    </row>
    <row r="229" spans="1:20" ht="15.75" thickTop="1">
      <c r="A229" s="1066">
        <f t="shared" si="60"/>
        <v>214</v>
      </c>
      <c r="P229" s="106"/>
      <c r="Q229" s="106"/>
    </row>
    <row r="230" spans="1:20" ht="30.75" thickBot="1">
      <c r="A230" s="1066">
        <f t="shared" si="60"/>
        <v>215</v>
      </c>
      <c r="C230" s="509" t="s">
        <v>1166</v>
      </c>
      <c r="D230" s="417">
        <f>D228+D201+D170+D112</f>
        <v>382647333.60502505</v>
      </c>
      <c r="E230" s="417">
        <f>E228+E201+E170+E112</f>
        <v>0</v>
      </c>
      <c r="F230" s="417">
        <f>F228+F201+F170+F112</f>
        <v>382589827.09502506</v>
      </c>
      <c r="I230" s="417">
        <f>I228+I201+I170+I112</f>
        <v>186336791.35810056</v>
      </c>
      <c r="K230" s="417">
        <f>K228+K201+K170+K112</f>
        <v>364321409.88865149</v>
      </c>
      <c r="N230" s="417">
        <f>N228+N201+N170+N112</f>
        <v>179723195.25925478</v>
      </c>
    </row>
    <row r="231" spans="1:20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66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A13" sqref="A13"/>
    </sheetView>
  </sheetViews>
  <sheetFormatPr defaultRowHeight="15"/>
  <cols>
    <col min="1" max="1" width="4.77734375" customWidth="1"/>
    <col min="2" max="2" width="9.33203125" customWidth="1"/>
    <col min="3" max="3" width="34.33203125" customWidth="1"/>
    <col min="4" max="4" width="12.6640625" customWidth="1"/>
    <col min="5" max="5" width="11" style="76" customWidth="1"/>
    <col min="6" max="6" width="11.33203125" style="76" customWidth="1"/>
    <col min="7" max="7" width="11.109375" style="76" customWidth="1"/>
    <col min="8" max="8" width="12" bestFit="1" customWidth="1"/>
    <col min="9" max="9" width="3.21875" customWidth="1"/>
    <col min="10" max="10" width="4.33203125" customWidth="1"/>
    <col min="11" max="11" width="11.109375" customWidth="1"/>
    <col min="12" max="12" width="9.6640625" customWidth="1"/>
    <col min="13" max="13" width="13.88671875" customWidth="1"/>
  </cols>
  <sheetData>
    <row r="1" spans="1:13">
      <c r="A1" s="1253" t="str">
        <f>'Table of Contents'!A1:C1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</row>
    <row r="2" spans="1:13">
      <c r="A2" s="1253" t="str">
        <f>'Table of Contents'!A2:C2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</row>
    <row r="3" spans="1:13">
      <c r="A3" s="1253" t="s">
        <v>96</v>
      </c>
      <c r="B3" s="1253"/>
      <c r="C3" s="1253"/>
      <c r="D3" s="1253"/>
      <c r="E3" s="1253"/>
      <c r="F3" s="1253"/>
      <c r="G3" s="1253"/>
      <c r="H3" s="1253"/>
      <c r="I3" s="1253"/>
    </row>
    <row r="4" spans="1:13">
      <c r="A4" s="1253" t="str">
        <f>'Table of Contents'!A4:C4</f>
        <v>Forecasted Test Period: Twelve Months Ended May 31, 2017</v>
      </c>
      <c r="B4" s="1253"/>
      <c r="C4" s="1253"/>
      <c r="D4" s="1253"/>
      <c r="E4" s="1253"/>
      <c r="F4" s="1253"/>
      <c r="G4" s="1253"/>
      <c r="H4" s="1253"/>
      <c r="I4" s="1253"/>
    </row>
    <row r="5" spans="1:13" ht="15.75">
      <c r="A5" s="40"/>
      <c r="B5" s="40"/>
      <c r="C5" s="40"/>
      <c r="D5" s="769"/>
      <c r="E5" s="780"/>
      <c r="F5" s="77"/>
      <c r="G5" s="77"/>
      <c r="H5" s="1"/>
      <c r="I5" s="1"/>
    </row>
    <row r="6" spans="1:13" ht="15.75">
      <c r="A6" s="4" t="str">
        <f>'B.1 F '!A6</f>
        <v>Data:______Base Period__X___Forecasted Period</v>
      </c>
      <c r="B6" s="1"/>
      <c r="C6" s="1"/>
      <c r="D6" s="1"/>
      <c r="E6" s="77"/>
      <c r="F6" s="77"/>
      <c r="H6" s="924" t="s">
        <v>1514</v>
      </c>
      <c r="M6" s="769"/>
    </row>
    <row r="7" spans="1:13">
      <c r="A7" s="4" t="str">
        <f>'B.1 F '!A7</f>
        <v>Type of Filing:___X____Original________Updated ________Revised</v>
      </c>
      <c r="B7" s="4"/>
      <c r="C7" s="1"/>
      <c r="D7" s="1"/>
      <c r="E7" s="77"/>
      <c r="F7" s="77"/>
      <c r="H7" s="721" t="s">
        <v>715</v>
      </c>
      <c r="I7" s="4"/>
    </row>
    <row r="8" spans="1:13">
      <c r="A8" s="73" t="str">
        <f>'B.1 F '!A8</f>
        <v>Workpaper Reference No(s).</v>
      </c>
      <c r="B8" s="6"/>
      <c r="C8" s="6"/>
      <c r="D8" s="6"/>
      <c r="E8" s="482"/>
      <c r="F8" s="482"/>
      <c r="G8" s="84"/>
      <c r="H8" s="646" t="str">
        <f>'B.1 B'!F8</f>
        <v>Witness:   Waller</v>
      </c>
      <c r="I8" s="73"/>
    </row>
    <row r="9" spans="1:13">
      <c r="A9" s="70"/>
      <c r="B9" s="47"/>
      <c r="C9" s="47"/>
      <c r="D9" s="47"/>
      <c r="E9" s="955"/>
      <c r="F9" s="296"/>
      <c r="G9" s="46"/>
      <c r="H9" s="70"/>
      <c r="I9" s="70"/>
    </row>
    <row r="10" spans="1:13">
      <c r="A10" s="70"/>
      <c r="B10" s="47"/>
      <c r="C10" s="47"/>
      <c r="D10" s="946" t="s">
        <v>1373</v>
      </c>
      <c r="E10" s="102" t="s">
        <v>1306</v>
      </c>
      <c r="F10" s="296" t="s">
        <v>13</v>
      </c>
      <c r="G10" s="2" t="s">
        <v>11</v>
      </c>
      <c r="H10" s="70"/>
      <c r="I10" s="70"/>
    </row>
    <row r="11" spans="1:13">
      <c r="A11" s="4" t="s">
        <v>98</v>
      </c>
      <c r="B11" s="2" t="s">
        <v>273</v>
      </c>
      <c r="C11" s="2" t="s">
        <v>221</v>
      </c>
      <c r="D11" s="77" t="s">
        <v>1372</v>
      </c>
      <c r="E11" s="1108" t="s">
        <v>275</v>
      </c>
      <c r="F11" s="2" t="s">
        <v>14</v>
      </c>
      <c r="G11" s="101" t="s">
        <v>610</v>
      </c>
      <c r="H11" s="2" t="s">
        <v>12</v>
      </c>
      <c r="I11" s="2"/>
    </row>
    <row r="12" spans="1:13">
      <c r="A12" s="44" t="s">
        <v>104</v>
      </c>
      <c r="B12" s="44" t="s">
        <v>104</v>
      </c>
      <c r="C12" s="44" t="s">
        <v>304</v>
      </c>
      <c r="D12" s="775">
        <f>'B.2 F'!D10</f>
        <v>42886</v>
      </c>
      <c r="E12" s="255" t="s">
        <v>1021</v>
      </c>
      <c r="F12" s="255" t="s">
        <v>643</v>
      </c>
      <c r="G12" s="255" t="s">
        <v>643</v>
      </c>
      <c r="H12" s="44" t="s">
        <v>109</v>
      </c>
      <c r="I12" s="46"/>
      <c r="K12" s="575"/>
      <c r="L12" s="575"/>
    </row>
    <row r="13" spans="1:13">
      <c r="A13" s="46"/>
      <c r="B13" s="46"/>
      <c r="C13" s="46"/>
      <c r="D13" s="46"/>
      <c r="E13" s="46"/>
      <c r="F13" s="46"/>
      <c r="G13" s="46"/>
      <c r="H13" s="46"/>
      <c r="I13" s="46"/>
    </row>
    <row r="14" spans="1:13" ht="15.75">
      <c r="B14" s="129" t="s">
        <v>6</v>
      </c>
      <c r="E14" s="944"/>
    </row>
    <row r="15" spans="1:13">
      <c r="A15" s="2">
        <v>1</v>
      </c>
      <c r="B15" s="1"/>
      <c r="C15" s="17" t="s">
        <v>305</v>
      </c>
      <c r="D15" s="106"/>
      <c r="E15" s="1128"/>
    </row>
    <row r="16" spans="1:13">
      <c r="A16" s="2">
        <f>A15+1</f>
        <v>2</v>
      </c>
      <c r="B16" s="682">
        <v>30100</v>
      </c>
      <c r="C16" s="4" t="s">
        <v>299</v>
      </c>
      <c r="D16" s="445">
        <v>0</v>
      </c>
      <c r="E16" s="622">
        <v>1</v>
      </c>
      <c r="F16" s="620">
        <v>1</v>
      </c>
      <c r="G16" s="621">
        <f>$F$16</f>
        <v>1</v>
      </c>
      <c r="H16" s="382">
        <f>D16*E16*F16*G16</f>
        <v>0</v>
      </c>
      <c r="I16" s="82"/>
    </row>
    <row r="17" spans="1:8">
      <c r="A17" s="776">
        <f t="shared" ref="A17:A80" si="0">A16+1</f>
        <v>3</v>
      </c>
      <c r="B17" s="682">
        <v>30200</v>
      </c>
      <c r="C17" s="4" t="s">
        <v>158</v>
      </c>
      <c r="D17" s="445">
        <v>0</v>
      </c>
      <c r="E17" s="622">
        <v>1</v>
      </c>
      <c r="F17" s="621">
        <f>$F$16</f>
        <v>1</v>
      </c>
      <c r="G17" s="621">
        <f>$F$16</f>
        <v>1</v>
      </c>
      <c r="H17" s="391">
        <f>D17*E17*F17*G17</f>
        <v>0</v>
      </c>
    </row>
    <row r="18" spans="1:8">
      <c r="A18" s="945">
        <f t="shared" si="0"/>
        <v>4</v>
      </c>
      <c r="B18" s="682"/>
      <c r="C18" s="4"/>
      <c r="D18" s="1142"/>
      <c r="E18" s="622"/>
      <c r="F18" s="621"/>
      <c r="G18" s="621"/>
      <c r="H18" s="788"/>
    </row>
    <row r="19" spans="1:8">
      <c r="A19" s="945">
        <f t="shared" si="0"/>
        <v>5</v>
      </c>
      <c r="B19" s="465"/>
      <c r="C19" s="4" t="s">
        <v>1384</v>
      </c>
      <c r="D19" s="445">
        <f>SUM(D16:D18)</f>
        <v>0</v>
      </c>
      <c r="E19" s="622"/>
      <c r="F19" s="621"/>
      <c r="G19" s="621"/>
      <c r="H19" s="382">
        <f>SUM(H16:H18)</f>
        <v>0</v>
      </c>
    </row>
    <row r="20" spans="1:8">
      <c r="A20" s="945">
        <f t="shared" si="0"/>
        <v>6</v>
      </c>
      <c r="B20" s="465"/>
      <c r="C20" s="1"/>
      <c r="D20" s="578"/>
      <c r="E20" s="622"/>
      <c r="F20" s="621"/>
      <c r="G20" s="621"/>
      <c r="H20" s="391"/>
    </row>
    <row r="21" spans="1:8">
      <c r="A21" s="776">
        <f t="shared" si="0"/>
        <v>7</v>
      </c>
      <c r="B21" s="465"/>
      <c r="C21" s="17" t="s">
        <v>159</v>
      </c>
      <c r="D21" s="578"/>
      <c r="E21" s="622"/>
      <c r="F21" s="621"/>
      <c r="G21" s="621"/>
      <c r="H21" s="391"/>
    </row>
    <row r="22" spans="1:8">
      <c r="A22" s="945">
        <f t="shared" si="0"/>
        <v>8</v>
      </c>
      <c r="B22" s="682">
        <v>32540</v>
      </c>
      <c r="C22" s="4" t="s">
        <v>166</v>
      </c>
      <c r="D22" s="445">
        <v>0</v>
      </c>
      <c r="E22" s="622">
        <v>1</v>
      </c>
      <c r="F22" s="621">
        <f t="shared" ref="F22:G24" si="1">$F$16</f>
        <v>1</v>
      </c>
      <c r="G22" s="621">
        <f t="shared" si="1"/>
        <v>1</v>
      </c>
      <c r="H22" s="391">
        <f t="shared" ref="H22:H24" si="2">D22*E22*F22*G22</f>
        <v>0</v>
      </c>
    </row>
    <row r="23" spans="1:8">
      <c r="A23" s="1069">
        <f t="shared" si="0"/>
        <v>9</v>
      </c>
      <c r="B23" s="682">
        <v>33202</v>
      </c>
      <c r="C23" s="4" t="s">
        <v>612</v>
      </c>
      <c r="D23" s="445">
        <v>0</v>
      </c>
      <c r="E23" s="622">
        <v>1</v>
      </c>
      <c r="F23" s="621">
        <f t="shared" si="1"/>
        <v>1</v>
      </c>
      <c r="G23" s="621">
        <f t="shared" si="1"/>
        <v>1</v>
      </c>
      <c r="H23" s="391">
        <f t="shared" si="2"/>
        <v>0</v>
      </c>
    </row>
    <row r="24" spans="1:8">
      <c r="A24" s="1069">
        <f t="shared" si="0"/>
        <v>10</v>
      </c>
      <c r="B24" s="682">
        <v>33400</v>
      </c>
      <c r="C24" s="4" t="s">
        <v>1140</v>
      </c>
      <c r="D24" s="445">
        <v>0</v>
      </c>
      <c r="E24" s="622">
        <v>1</v>
      </c>
      <c r="F24" s="621">
        <f t="shared" si="1"/>
        <v>1</v>
      </c>
      <c r="G24" s="621">
        <f t="shared" si="1"/>
        <v>1</v>
      </c>
      <c r="H24" s="391">
        <f t="shared" si="2"/>
        <v>0</v>
      </c>
    </row>
    <row r="25" spans="1:8">
      <c r="A25" s="1069">
        <f t="shared" si="0"/>
        <v>11</v>
      </c>
      <c r="B25" s="682"/>
      <c r="C25" s="1"/>
      <c r="D25" s="1142"/>
      <c r="E25" s="622"/>
      <c r="F25" s="621"/>
      <c r="G25" s="621"/>
      <c r="H25" s="391"/>
    </row>
    <row r="26" spans="1:8">
      <c r="A26" s="1069">
        <f t="shared" si="0"/>
        <v>12</v>
      </c>
      <c r="B26" s="682"/>
      <c r="C26" s="1" t="s">
        <v>1383</v>
      </c>
      <c r="D26" s="445">
        <f>SUM(D22:D25)</f>
        <v>0</v>
      </c>
      <c r="E26" s="622"/>
      <c r="F26" s="621"/>
      <c r="G26" s="621"/>
      <c r="H26" s="382">
        <f>SUM(H22:H25)</f>
        <v>0</v>
      </c>
    </row>
    <row r="27" spans="1:8">
      <c r="A27" s="1069">
        <f t="shared" si="0"/>
        <v>13</v>
      </c>
      <c r="B27" s="682"/>
      <c r="C27" s="4"/>
      <c r="D27" s="578"/>
      <c r="E27" s="622"/>
      <c r="F27" s="621"/>
      <c r="G27" s="621"/>
      <c r="H27" s="391"/>
    </row>
    <row r="28" spans="1:8">
      <c r="A28" s="1069">
        <f t="shared" si="0"/>
        <v>14</v>
      </c>
      <c r="B28" s="682"/>
      <c r="C28" s="17" t="s">
        <v>284</v>
      </c>
      <c r="D28" s="578"/>
      <c r="E28" s="622"/>
      <c r="F28" s="621"/>
      <c r="G28" s="621"/>
      <c r="H28" s="391"/>
    </row>
    <row r="29" spans="1:8">
      <c r="A29" s="1069">
        <f t="shared" si="0"/>
        <v>15</v>
      </c>
      <c r="B29" s="682">
        <v>35010</v>
      </c>
      <c r="C29" s="4" t="s">
        <v>300</v>
      </c>
      <c r="D29" s="445">
        <v>0</v>
      </c>
      <c r="E29" s="622">
        <v>1</v>
      </c>
      <c r="F29" s="621">
        <f t="shared" ref="F29:G45" si="3">$F$16</f>
        <v>1</v>
      </c>
      <c r="G29" s="621">
        <f t="shared" si="3"/>
        <v>1</v>
      </c>
      <c r="H29" s="382">
        <f t="shared" ref="H29:H45" si="4">D29*E29*F29*G29</f>
        <v>0</v>
      </c>
    </row>
    <row r="30" spans="1:8">
      <c r="A30" s="1069">
        <f t="shared" si="0"/>
        <v>16</v>
      </c>
      <c r="B30" s="682">
        <v>35020</v>
      </c>
      <c r="C30" s="4" t="s">
        <v>809</v>
      </c>
      <c r="D30" s="445">
        <v>0</v>
      </c>
      <c r="E30" s="622">
        <v>1</v>
      </c>
      <c r="F30" s="621">
        <f t="shared" si="3"/>
        <v>1</v>
      </c>
      <c r="G30" s="621">
        <f t="shared" si="3"/>
        <v>1</v>
      </c>
      <c r="H30" s="391">
        <f t="shared" si="4"/>
        <v>0</v>
      </c>
    </row>
    <row r="31" spans="1:8">
      <c r="A31" s="1069">
        <f t="shared" si="0"/>
        <v>17</v>
      </c>
      <c r="B31" s="682">
        <v>35100</v>
      </c>
      <c r="C31" s="4" t="s">
        <v>988</v>
      </c>
      <c r="D31" s="445">
        <v>299.20037300000001</v>
      </c>
      <c r="E31" s="622">
        <v>1</v>
      </c>
      <c r="F31" s="621">
        <f t="shared" si="3"/>
        <v>1</v>
      </c>
      <c r="G31" s="621">
        <f t="shared" si="3"/>
        <v>1</v>
      </c>
      <c r="H31" s="391">
        <f t="shared" si="4"/>
        <v>299.20037300000001</v>
      </c>
    </row>
    <row r="32" spans="1:8">
      <c r="A32" s="1069">
        <f t="shared" si="0"/>
        <v>18</v>
      </c>
      <c r="B32" s="682">
        <v>35102</v>
      </c>
      <c r="C32" s="4" t="s">
        <v>285</v>
      </c>
      <c r="D32" s="445">
        <v>1931.0923800000003</v>
      </c>
      <c r="E32" s="622">
        <v>1</v>
      </c>
      <c r="F32" s="621">
        <f t="shared" si="3"/>
        <v>1</v>
      </c>
      <c r="G32" s="621">
        <f t="shared" si="3"/>
        <v>1</v>
      </c>
      <c r="H32" s="391">
        <f t="shared" si="4"/>
        <v>1931.0923800000003</v>
      </c>
    </row>
    <row r="33" spans="1:8">
      <c r="A33" s="1069">
        <f t="shared" si="0"/>
        <v>19</v>
      </c>
      <c r="B33" s="682">
        <v>35103</v>
      </c>
      <c r="C33" s="4" t="s">
        <v>601</v>
      </c>
      <c r="D33" s="445">
        <v>212.87309600000006</v>
      </c>
      <c r="E33" s="622">
        <v>1</v>
      </c>
      <c r="F33" s="621">
        <f t="shared" si="3"/>
        <v>1</v>
      </c>
      <c r="G33" s="621">
        <f t="shared" si="3"/>
        <v>1</v>
      </c>
      <c r="H33" s="391">
        <f t="shared" si="4"/>
        <v>212.87309600000006</v>
      </c>
    </row>
    <row r="34" spans="1:8">
      <c r="A34" s="1069">
        <f t="shared" si="0"/>
        <v>20</v>
      </c>
      <c r="B34" s="682">
        <v>35104</v>
      </c>
      <c r="C34" s="4" t="s">
        <v>602</v>
      </c>
      <c r="D34" s="445">
        <v>1786.7528900000004</v>
      </c>
      <c r="E34" s="622">
        <v>1</v>
      </c>
      <c r="F34" s="621">
        <f t="shared" si="3"/>
        <v>1</v>
      </c>
      <c r="G34" s="621">
        <f t="shared" si="3"/>
        <v>1</v>
      </c>
      <c r="H34" s="391">
        <f t="shared" si="4"/>
        <v>1786.7528900000004</v>
      </c>
    </row>
    <row r="35" spans="1:8">
      <c r="A35" s="1069">
        <f t="shared" si="0"/>
        <v>21</v>
      </c>
      <c r="B35" s="682">
        <v>35200</v>
      </c>
      <c r="C35" s="4" t="s">
        <v>455</v>
      </c>
      <c r="D35" s="445">
        <v>176357.35914436745</v>
      </c>
      <c r="E35" s="622">
        <v>1</v>
      </c>
      <c r="F35" s="621">
        <f t="shared" si="3"/>
        <v>1</v>
      </c>
      <c r="G35" s="621">
        <f t="shared" si="3"/>
        <v>1</v>
      </c>
      <c r="H35" s="391">
        <f t="shared" si="4"/>
        <v>176357.35914436745</v>
      </c>
    </row>
    <row r="36" spans="1:8">
      <c r="A36" s="1069">
        <f t="shared" si="0"/>
        <v>22</v>
      </c>
      <c r="B36" s="682">
        <v>35201</v>
      </c>
      <c r="C36" s="4" t="s">
        <v>603</v>
      </c>
      <c r="D36" s="445">
        <v>25669.977954000005</v>
      </c>
      <c r="E36" s="622">
        <v>1</v>
      </c>
      <c r="F36" s="621">
        <f t="shared" si="3"/>
        <v>1</v>
      </c>
      <c r="G36" s="621">
        <f t="shared" si="3"/>
        <v>1</v>
      </c>
      <c r="H36" s="391">
        <f t="shared" si="4"/>
        <v>25669.977954000005</v>
      </c>
    </row>
    <row r="37" spans="1:8">
      <c r="A37" s="1069">
        <f t="shared" si="0"/>
        <v>23</v>
      </c>
      <c r="B37" s="682">
        <v>35202</v>
      </c>
      <c r="C37" s="4" t="s">
        <v>604</v>
      </c>
      <c r="D37" s="445">
        <v>3867.1153979999995</v>
      </c>
      <c r="E37" s="622">
        <v>1</v>
      </c>
      <c r="F37" s="621">
        <f t="shared" si="3"/>
        <v>1</v>
      </c>
      <c r="G37" s="621">
        <f t="shared" si="3"/>
        <v>1</v>
      </c>
      <c r="H37" s="391">
        <f t="shared" si="4"/>
        <v>3867.1153979999995</v>
      </c>
    </row>
    <row r="38" spans="1:8">
      <c r="A38" s="1069">
        <f t="shared" si="0"/>
        <v>24</v>
      </c>
      <c r="B38" s="682">
        <v>35203</v>
      </c>
      <c r="C38" s="4" t="s">
        <v>353</v>
      </c>
      <c r="D38" s="445">
        <v>30506.993279999999</v>
      </c>
      <c r="E38" s="622">
        <v>1</v>
      </c>
      <c r="F38" s="621">
        <f t="shared" si="3"/>
        <v>1</v>
      </c>
      <c r="G38" s="621">
        <f t="shared" si="3"/>
        <v>1</v>
      </c>
      <c r="H38" s="391">
        <f t="shared" si="4"/>
        <v>30506.993279999999</v>
      </c>
    </row>
    <row r="39" spans="1:8">
      <c r="A39" s="1069">
        <f t="shared" si="0"/>
        <v>25</v>
      </c>
      <c r="B39" s="682">
        <v>35210</v>
      </c>
      <c r="C39" s="4" t="s">
        <v>605</v>
      </c>
      <c r="D39" s="445">
        <v>624.85531499999991</v>
      </c>
      <c r="E39" s="622">
        <v>1</v>
      </c>
      <c r="F39" s="621">
        <f t="shared" si="3"/>
        <v>1</v>
      </c>
      <c r="G39" s="621">
        <f t="shared" si="3"/>
        <v>1</v>
      </c>
      <c r="H39" s="391">
        <f t="shared" si="4"/>
        <v>624.85531499999991</v>
      </c>
    </row>
    <row r="40" spans="1:8">
      <c r="A40" s="1069">
        <f t="shared" si="0"/>
        <v>26</v>
      </c>
      <c r="B40" s="682">
        <v>35211</v>
      </c>
      <c r="C40" s="4" t="s">
        <v>606</v>
      </c>
      <c r="D40" s="445">
        <v>480.60557599999987</v>
      </c>
      <c r="E40" s="622">
        <v>1</v>
      </c>
      <c r="F40" s="621">
        <f t="shared" si="3"/>
        <v>1</v>
      </c>
      <c r="G40" s="621">
        <f t="shared" si="3"/>
        <v>1</v>
      </c>
      <c r="H40" s="391">
        <f t="shared" si="4"/>
        <v>480.60557599999987</v>
      </c>
    </row>
    <row r="41" spans="1:8">
      <c r="A41" s="1069">
        <f t="shared" si="0"/>
        <v>27</v>
      </c>
      <c r="B41" s="682">
        <v>35301</v>
      </c>
      <c r="C41" s="1" t="s">
        <v>167</v>
      </c>
      <c r="D41" s="445">
        <v>1445.8248900000001</v>
      </c>
      <c r="E41" s="622">
        <v>1</v>
      </c>
      <c r="F41" s="621">
        <f t="shared" si="3"/>
        <v>1</v>
      </c>
      <c r="G41" s="621">
        <f t="shared" si="3"/>
        <v>1</v>
      </c>
      <c r="H41" s="391">
        <f t="shared" si="4"/>
        <v>1445.8248900000001</v>
      </c>
    </row>
    <row r="42" spans="1:8">
      <c r="A42" s="1069">
        <f t="shared" si="0"/>
        <v>28</v>
      </c>
      <c r="B42" s="682">
        <v>35302</v>
      </c>
      <c r="C42" s="4" t="s">
        <v>612</v>
      </c>
      <c r="D42" s="445">
        <v>0</v>
      </c>
      <c r="E42" s="622">
        <v>1</v>
      </c>
      <c r="F42" s="621">
        <f t="shared" si="3"/>
        <v>1</v>
      </c>
      <c r="G42" s="621">
        <f t="shared" si="3"/>
        <v>1</v>
      </c>
      <c r="H42" s="391">
        <f t="shared" si="4"/>
        <v>0</v>
      </c>
    </row>
    <row r="43" spans="1:8">
      <c r="A43" s="1069">
        <f t="shared" si="0"/>
        <v>29</v>
      </c>
      <c r="B43" s="682">
        <v>35400</v>
      </c>
      <c r="C43" s="4" t="s">
        <v>607</v>
      </c>
      <c r="D43" s="445">
        <v>16622.028900000001</v>
      </c>
      <c r="E43" s="622">
        <v>1</v>
      </c>
      <c r="F43" s="621">
        <f t="shared" si="3"/>
        <v>1</v>
      </c>
      <c r="G43" s="621">
        <f t="shared" si="3"/>
        <v>1</v>
      </c>
      <c r="H43" s="391">
        <f t="shared" si="4"/>
        <v>16622.028900000001</v>
      </c>
    </row>
    <row r="44" spans="1:8">
      <c r="A44" s="1069">
        <f t="shared" si="0"/>
        <v>30</v>
      </c>
      <c r="B44" s="682">
        <v>35500</v>
      </c>
      <c r="C44" s="4" t="s">
        <v>1011</v>
      </c>
      <c r="D44" s="445">
        <v>1228.503453</v>
      </c>
      <c r="E44" s="622">
        <v>1</v>
      </c>
      <c r="F44" s="621">
        <f t="shared" si="3"/>
        <v>1</v>
      </c>
      <c r="G44" s="621">
        <f t="shared" si="3"/>
        <v>1</v>
      </c>
      <c r="H44" s="391">
        <f t="shared" si="4"/>
        <v>1228.503453</v>
      </c>
    </row>
    <row r="45" spans="1:8">
      <c r="A45" s="1069">
        <f t="shared" si="0"/>
        <v>31</v>
      </c>
      <c r="B45" s="682">
        <v>35600</v>
      </c>
      <c r="C45" s="4" t="s">
        <v>1060</v>
      </c>
      <c r="D45" s="445">
        <v>8500.6007250000021</v>
      </c>
      <c r="E45" s="622">
        <v>1</v>
      </c>
      <c r="F45" s="621">
        <f t="shared" si="3"/>
        <v>1</v>
      </c>
      <c r="G45" s="621">
        <f t="shared" si="3"/>
        <v>1</v>
      </c>
      <c r="H45" s="392">
        <f t="shared" si="4"/>
        <v>8500.6007250000021</v>
      </c>
    </row>
    <row r="46" spans="1:8">
      <c r="A46" s="1069">
        <f t="shared" si="0"/>
        <v>32</v>
      </c>
      <c r="B46" s="682"/>
      <c r="C46" s="4"/>
      <c r="D46" s="1142"/>
      <c r="E46" s="622"/>
      <c r="F46" s="621"/>
      <c r="G46" s="621"/>
      <c r="H46" s="391"/>
    </row>
    <row r="47" spans="1:8">
      <c r="A47" s="1069">
        <f t="shared" si="0"/>
        <v>33</v>
      </c>
      <c r="B47" s="682"/>
      <c r="C47" s="4" t="s">
        <v>1381</v>
      </c>
      <c r="D47" s="445">
        <f>SUM(D29:D46)</f>
        <v>269533.78337436746</v>
      </c>
      <c r="E47" s="622"/>
      <c r="F47" s="621"/>
      <c r="G47" s="621"/>
      <c r="H47" s="382">
        <f>SUM(H29:H46)</f>
        <v>269533.78337436746</v>
      </c>
    </row>
    <row r="48" spans="1:8">
      <c r="A48" s="1069">
        <f t="shared" si="0"/>
        <v>34</v>
      </c>
      <c r="B48" s="682"/>
      <c r="C48" s="4"/>
      <c r="D48" s="578"/>
      <c r="E48" s="622"/>
      <c r="F48" s="621"/>
      <c r="G48" s="621"/>
      <c r="H48" s="391"/>
    </row>
    <row r="49" spans="1:8">
      <c r="A49" s="1069">
        <f t="shared" si="0"/>
        <v>35</v>
      </c>
      <c r="B49" s="682"/>
      <c r="C49" s="17" t="s">
        <v>1012</v>
      </c>
      <c r="D49" s="578"/>
      <c r="E49" s="622"/>
      <c r="F49" s="621"/>
      <c r="G49" s="621"/>
      <c r="H49" s="391"/>
    </row>
    <row r="50" spans="1:8">
      <c r="A50" s="1069">
        <f t="shared" si="0"/>
        <v>36</v>
      </c>
      <c r="B50" s="682">
        <v>36510</v>
      </c>
      <c r="C50" s="4" t="s">
        <v>300</v>
      </c>
      <c r="D50" s="445">
        <v>0</v>
      </c>
      <c r="E50" s="622">
        <v>1</v>
      </c>
      <c r="F50" s="621">
        <f t="shared" ref="F50:G57" si="5">$F$16</f>
        <v>1</v>
      </c>
      <c r="G50" s="621">
        <f t="shared" si="5"/>
        <v>1</v>
      </c>
      <c r="H50" s="382">
        <f t="shared" ref="H50:H57" si="6">D50*E50*F50*G50</f>
        <v>0</v>
      </c>
    </row>
    <row r="51" spans="1:8">
      <c r="A51" s="1069">
        <f t="shared" si="0"/>
        <v>37</v>
      </c>
      <c r="B51" s="682">
        <v>36520</v>
      </c>
      <c r="C51" s="4" t="s">
        <v>809</v>
      </c>
      <c r="D51" s="445">
        <v>11541.367600000003</v>
      </c>
      <c r="E51" s="622">
        <v>1</v>
      </c>
      <c r="F51" s="621">
        <f t="shared" si="5"/>
        <v>1</v>
      </c>
      <c r="G51" s="621">
        <f t="shared" si="5"/>
        <v>1</v>
      </c>
      <c r="H51" s="391">
        <f t="shared" si="6"/>
        <v>11541.367600000003</v>
      </c>
    </row>
    <row r="52" spans="1:8">
      <c r="A52" s="1069">
        <f t="shared" si="0"/>
        <v>38</v>
      </c>
      <c r="B52" s="682">
        <v>36602</v>
      </c>
      <c r="C52" s="4" t="s">
        <v>874</v>
      </c>
      <c r="D52" s="445">
        <v>872.23061599999994</v>
      </c>
      <c r="E52" s="622">
        <v>1</v>
      </c>
      <c r="F52" s="621">
        <f t="shared" si="5"/>
        <v>1</v>
      </c>
      <c r="G52" s="621">
        <f t="shared" si="5"/>
        <v>1</v>
      </c>
      <c r="H52" s="391">
        <f t="shared" si="6"/>
        <v>872.23061599999994</v>
      </c>
    </row>
    <row r="53" spans="1:8">
      <c r="A53" s="1069">
        <f t="shared" si="0"/>
        <v>39</v>
      </c>
      <c r="B53" s="682">
        <v>36603</v>
      </c>
      <c r="C53" s="4" t="s">
        <v>1013</v>
      </c>
      <c r="D53" s="445">
        <v>1082.707962</v>
      </c>
      <c r="E53" s="622">
        <v>1</v>
      </c>
      <c r="F53" s="621">
        <f t="shared" si="5"/>
        <v>1</v>
      </c>
      <c r="G53" s="621">
        <f t="shared" si="5"/>
        <v>1</v>
      </c>
      <c r="H53" s="391">
        <f t="shared" si="6"/>
        <v>1082.707962</v>
      </c>
    </row>
    <row r="54" spans="1:8">
      <c r="A54" s="1069">
        <f t="shared" si="0"/>
        <v>40</v>
      </c>
      <c r="B54" s="682">
        <v>36700</v>
      </c>
      <c r="C54" s="4" t="s">
        <v>861</v>
      </c>
      <c r="D54" s="445">
        <v>9275.4399999999987</v>
      </c>
      <c r="E54" s="622">
        <v>1</v>
      </c>
      <c r="F54" s="621">
        <f t="shared" si="5"/>
        <v>1</v>
      </c>
      <c r="G54" s="621">
        <f t="shared" si="5"/>
        <v>1</v>
      </c>
      <c r="H54" s="391">
        <f t="shared" si="6"/>
        <v>9275.4399999999987</v>
      </c>
    </row>
    <row r="55" spans="1:8">
      <c r="A55" s="1069">
        <f t="shared" si="0"/>
        <v>41</v>
      </c>
      <c r="B55" s="682">
        <v>36701</v>
      </c>
      <c r="C55" s="4" t="s">
        <v>16</v>
      </c>
      <c r="D55" s="445">
        <v>524702.12300100015</v>
      </c>
      <c r="E55" s="622">
        <v>1</v>
      </c>
      <c r="F55" s="621">
        <f t="shared" si="5"/>
        <v>1</v>
      </c>
      <c r="G55" s="621">
        <f t="shared" si="5"/>
        <v>1</v>
      </c>
      <c r="H55" s="391">
        <f t="shared" si="6"/>
        <v>524702.12300100015</v>
      </c>
    </row>
    <row r="56" spans="1:8">
      <c r="A56" s="1069">
        <f t="shared" si="0"/>
        <v>42</v>
      </c>
      <c r="B56" s="682">
        <v>36900</v>
      </c>
      <c r="C56" s="4" t="s">
        <v>1014</v>
      </c>
      <c r="D56" s="445">
        <v>13161.468231999999</v>
      </c>
      <c r="E56" s="622">
        <v>1</v>
      </c>
      <c r="F56" s="621">
        <f t="shared" si="5"/>
        <v>1</v>
      </c>
      <c r="G56" s="621">
        <f t="shared" si="5"/>
        <v>1</v>
      </c>
      <c r="H56" s="391">
        <f t="shared" si="6"/>
        <v>13161.468231999999</v>
      </c>
    </row>
    <row r="57" spans="1:8">
      <c r="A57" s="1069">
        <f t="shared" si="0"/>
        <v>43</v>
      </c>
      <c r="B57" s="682">
        <v>36901</v>
      </c>
      <c r="C57" s="4" t="s">
        <v>1014</v>
      </c>
      <c r="D57" s="445">
        <v>48575.248174000008</v>
      </c>
      <c r="E57" s="622">
        <v>1</v>
      </c>
      <c r="F57" s="621">
        <f t="shared" si="5"/>
        <v>1</v>
      </c>
      <c r="G57" s="621">
        <f t="shared" si="5"/>
        <v>1</v>
      </c>
      <c r="H57" s="392">
        <f t="shared" si="6"/>
        <v>48575.248174000008</v>
      </c>
    </row>
    <row r="58" spans="1:8">
      <c r="A58" s="1069">
        <f t="shared" si="0"/>
        <v>44</v>
      </c>
      <c r="B58" s="682"/>
      <c r="C58" s="4"/>
      <c r="D58" s="1142"/>
      <c r="E58" s="622"/>
      <c r="F58" s="621"/>
      <c r="G58" s="621"/>
      <c r="H58" s="391"/>
    </row>
    <row r="59" spans="1:8">
      <c r="A59" s="1069">
        <f t="shared" si="0"/>
        <v>45</v>
      </c>
      <c r="B59" s="465"/>
      <c r="C59" s="4" t="s">
        <v>1382</v>
      </c>
      <c r="D59" s="445">
        <f>SUM(D50:D58)</f>
        <v>609210.58558500023</v>
      </c>
      <c r="E59" s="622"/>
      <c r="F59" s="621"/>
      <c r="G59" s="621"/>
      <c r="H59" s="382">
        <f>SUM(H50:H58)</f>
        <v>609210.58558500023</v>
      </c>
    </row>
    <row r="60" spans="1:8">
      <c r="A60" s="1069">
        <f t="shared" si="0"/>
        <v>46</v>
      </c>
      <c r="B60" s="465"/>
      <c r="C60" s="1"/>
      <c r="D60" s="578"/>
      <c r="E60" s="622"/>
      <c r="F60" s="621"/>
      <c r="G60" s="621"/>
      <c r="H60" s="391"/>
    </row>
    <row r="61" spans="1:8">
      <c r="A61" s="1069">
        <f t="shared" si="0"/>
        <v>47</v>
      </c>
      <c r="B61" s="465"/>
      <c r="C61" s="17" t="s">
        <v>307</v>
      </c>
      <c r="D61" s="578"/>
      <c r="E61" s="622"/>
      <c r="F61" s="621"/>
      <c r="G61" s="621"/>
      <c r="H61" s="391"/>
    </row>
    <row r="62" spans="1:8">
      <c r="A62" s="1069">
        <f t="shared" si="0"/>
        <v>48</v>
      </c>
      <c r="B62" s="682">
        <v>37400</v>
      </c>
      <c r="C62" s="4" t="s">
        <v>1168</v>
      </c>
      <c r="D62" s="445">
        <v>0</v>
      </c>
      <c r="E62" s="622">
        <v>1</v>
      </c>
      <c r="F62" s="621">
        <f t="shared" ref="F62:G81" si="7">$F$16</f>
        <v>1</v>
      </c>
      <c r="G62" s="621">
        <f t="shared" si="7"/>
        <v>1</v>
      </c>
      <c r="H62" s="382">
        <f t="shared" ref="H62:H81" si="8">D62*E62*F62*G62</f>
        <v>0</v>
      </c>
    </row>
    <row r="63" spans="1:8">
      <c r="A63" s="1069">
        <f t="shared" si="0"/>
        <v>49</v>
      </c>
      <c r="B63" s="682">
        <v>37401</v>
      </c>
      <c r="C63" s="4" t="s">
        <v>300</v>
      </c>
      <c r="D63" s="445">
        <v>0</v>
      </c>
      <c r="E63" s="622">
        <v>1</v>
      </c>
      <c r="F63" s="621">
        <f t="shared" si="7"/>
        <v>1</v>
      </c>
      <c r="G63" s="621">
        <f t="shared" si="7"/>
        <v>1</v>
      </c>
      <c r="H63" s="391">
        <f t="shared" si="8"/>
        <v>0</v>
      </c>
    </row>
    <row r="64" spans="1:8">
      <c r="A64" s="1069">
        <f t="shared" si="0"/>
        <v>50</v>
      </c>
      <c r="B64" s="682">
        <v>37402</v>
      </c>
      <c r="C64" s="4" t="s">
        <v>1018</v>
      </c>
      <c r="D64" s="445">
        <v>22034.76307152833</v>
      </c>
      <c r="E64" s="622">
        <v>1</v>
      </c>
      <c r="F64" s="621">
        <f t="shared" si="7"/>
        <v>1</v>
      </c>
      <c r="G64" s="621">
        <f t="shared" si="7"/>
        <v>1</v>
      </c>
      <c r="H64" s="391">
        <f t="shared" si="8"/>
        <v>22034.76307152833</v>
      </c>
    </row>
    <row r="65" spans="1:8">
      <c r="A65" s="1069">
        <f t="shared" si="0"/>
        <v>51</v>
      </c>
      <c r="B65" s="682">
        <v>37403</v>
      </c>
      <c r="C65" s="4" t="s">
        <v>1015</v>
      </c>
      <c r="D65" s="445">
        <v>0</v>
      </c>
      <c r="E65" s="622">
        <v>1</v>
      </c>
      <c r="F65" s="621">
        <f t="shared" si="7"/>
        <v>1</v>
      </c>
      <c r="G65" s="621">
        <f t="shared" si="7"/>
        <v>1</v>
      </c>
      <c r="H65" s="391">
        <f t="shared" si="8"/>
        <v>0</v>
      </c>
    </row>
    <row r="66" spans="1:8">
      <c r="A66" s="1069">
        <f t="shared" si="0"/>
        <v>52</v>
      </c>
      <c r="B66" s="682">
        <v>37500</v>
      </c>
      <c r="C66" s="4" t="s">
        <v>874</v>
      </c>
      <c r="D66" s="445">
        <v>6925.0513239999991</v>
      </c>
      <c r="E66" s="622">
        <v>1</v>
      </c>
      <c r="F66" s="621">
        <f t="shared" si="7"/>
        <v>1</v>
      </c>
      <c r="G66" s="621">
        <f t="shared" si="7"/>
        <v>1</v>
      </c>
      <c r="H66" s="391">
        <f t="shared" si="8"/>
        <v>6925.0513239999991</v>
      </c>
    </row>
    <row r="67" spans="1:8">
      <c r="A67" s="1069">
        <f t="shared" si="0"/>
        <v>53</v>
      </c>
      <c r="B67" s="682">
        <v>37501</v>
      </c>
      <c r="C67" s="4" t="s">
        <v>1016</v>
      </c>
      <c r="D67" s="445">
        <v>2056.2534780000001</v>
      </c>
      <c r="E67" s="622">
        <v>1</v>
      </c>
      <c r="F67" s="621">
        <f t="shared" si="7"/>
        <v>1</v>
      </c>
      <c r="G67" s="621">
        <f t="shared" si="7"/>
        <v>1</v>
      </c>
      <c r="H67" s="391">
        <f t="shared" si="8"/>
        <v>2056.2534780000001</v>
      </c>
    </row>
    <row r="68" spans="1:8">
      <c r="A68" s="1069">
        <f t="shared" si="0"/>
        <v>54</v>
      </c>
      <c r="B68" s="682">
        <v>37502</v>
      </c>
      <c r="C68" s="4" t="s">
        <v>1018</v>
      </c>
      <c r="D68" s="445">
        <v>953.04231399999992</v>
      </c>
      <c r="E68" s="622">
        <v>1</v>
      </c>
      <c r="F68" s="621">
        <f t="shared" si="7"/>
        <v>1</v>
      </c>
      <c r="G68" s="621">
        <f t="shared" si="7"/>
        <v>1</v>
      </c>
      <c r="H68" s="391">
        <f t="shared" si="8"/>
        <v>953.04231399999992</v>
      </c>
    </row>
    <row r="69" spans="1:8">
      <c r="A69" s="1069">
        <f t="shared" si="0"/>
        <v>55</v>
      </c>
      <c r="B69" s="682">
        <v>37503</v>
      </c>
      <c r="C69" s="4" t="s">
        <v>1017</v>
      </c>
      <c r="D69" s="445">
        <v>82.504648000000017</v>
      </c>
      <c r="E69" s="622">
        <v>1</v>
      </c>
      <c r="F69" s="621">
        <f t="shared" si="7"/>
        <v>1</v>
      </c>
      <c r="G69" s="621">
        <f t="shared" si="7"/>
        <v>1</v>
      </c>
      <c r="H69" s="391">
        <f t="shared" si="8"/>
        <v>82.504648000000017</v>
      </c>
    </row>
    <row r="70" spans="1:8">
      <c r="A70" s="1069">
        <f t="shared" si="0"/>
        <v>56</v>
      </c>
      <c r="B70" s="682">
        <v>37600</v>
      </c>
      <c r="C70" s="4" t="s">
        <v>861</v>
      </c>
      <c r="D70" s="445">
        <v>999819.13068977057</v>
      </c>
      <c r="E70" s="622">
        <v>1</v>
      </c>
      <c r="F70" s="621">
        <f t="shared" si="7"/>
        <v>1</v>
      </c>
      <c r="G70" s="621">
        <f t="shared" si="7"/>
        <v>1</v>
      </c>
      <c r="H70" s="391">
        <f t="shared" si="8"/>
        <v>999819.13068977057</v>
      </c>
    </row>
    <row r="71" spans="1:8">
      <c r="A71" s="1069">
        <f t="shared" si="0"/>
        <v>57</v>
      </c>
      <c r="B71" s="682">
        <v>37601</v>
      </c>
      <c r="C71" s="4" t="s">
        <v>16</v>
      </c>
      <c r="D71" s="445">
        <v>2352783.3176337215</v>
      </c>
      <c r="E71" s="622">
        <v>1</v>
      </c>
      <c r="F71" s="621">
        <f t="shared" si="7"/>
        <v>1</v>
      </c>
      <c r="G71" s="621">
        <f t="shared" si="7"/>
        <v>1</v>
      </c>
      <c r="H71" s="391">
        <f t="shared" si="8"/>
        <v>2352783.3176337215</v>
      </c>
    </row>
    <row r="72" spans="1:8">
      <c r="A72" s="1069">
        <f t="shared" si="0"/>
        <v>58</v>
      </c>
      <c r="B72" s="682">
        <v>37602</v>
      </c>
      <c r="C72" s="4" t="s">
        <v>862</v>
      </c>
      <c r="D72" s="445">
        <v>2039735.1093095655</v>
      </c>
      <c r="E72" s="622">
        <v>1</v>
      </c>
      <c r="F72" s="621">
        <f t="shared" si="7"/>
        <v>1</v>
      </c>
      <c r="G72" s="621">
        <f t="shared" si="7"/>
        <v>1</v>
      </c>
      <c r="H72" s="391">
        <f t="shared" si="8"/>
        <v>2039735.1093095655</v>
      </c>
    </row>
    <row r="73" spans="1:8">
      <c r="A73" s="1069">
        <f t="shared" si="0"/>
        <v>59</v>
      </c>
      <c r="B73" s="682">
        <v>37800</v>
      </c>
      <c r="C73" s="4" t="s">
        <v>234</v>
      </c>
      <c r="D73" s="445">
        <v>216137.89111233331</v>
      </c>
      <c r="E73" s="622">
        <v>1</v>
      </c>
      <c r="F73" s="621">
        <f t="shared" si="7"/>
        <v>1</v>
      </c>
      <c r="G73" s="621">
        <f t="shared" si="7"/>
        <v>1</v>
      </c>
      <c r="H73" s="391">
        <f t="shared" si="8"/>
        <v>216137.89111233331</v>
      </c>
    </row>
    <row r="74" spans="1:8">
      <c r="A74" s="1069">
        <f t="shared" si="0"/>
        <v>60</v>
      </c>
      <c r="B74" s="682">
        <v>37900</v>
      </c>
      <c r="C74" s="4" t="s">
        <v>1211</v>
      </c>
      <c r="D74" s="445">
        <v>90303.174404974852</v>
      </c>
      <c r="E74" s="622">
        <v>1</v>
      </c>
      <c r="F74" s="621">
        <f t="shared" si="7"/>
        <v>1</v>
      </c>
      <c r="G74" s="621">
        <f t="shared" si="7"/>
        <v>1</v>
      </c>
      <c r="H74" s="391">
        <f t="shared" si="8"/>
        <v>90303.174404974852</v>
      </c>
    </row>
    <row r="75" spans="1:8">
      <c r="A75" s="1069">
        <f t="shared" si="0"/>
        <v>61</v>
      </c>
      <c r="B75" s="682">
        <v>37905</v>
      </c>
      <c r="C75" s="4" t="s">
        <v>742</v>
      </c>
      <c r="D75" s="445">
        <v>39863.269445999998</v>
      </c>
      <c r="E75" s="622">
        <v>1</v>
      </c>
      <c r="F75" s="621">
        <f t="shared" si="7"/>
        <v>1</v>
      </c>
      <c r="G75" s="621">
        <f t="shared" si="7"/>
        <v>1</v>
      </c>
      <c r="H75" s="391">
        <f t="shared" si="8"/>
        <v>39863.269445999998</v>
      </c>
    </row>
    <row r="76" spans="1:8">
      <c r="A76" s="1069">
        <f t="shared" si="0"/>
        <v>62</v>
      </c>
      <c r="B76" s="682">
        <v>38000</v>
      </c>
      <c r="C76" s="4" t="s">
        <v>1072</v>
      </c>
      <c r="D76" s="445">
        <v>4108573.0972411716</v>
      </c>
      <c r="E76" s="622">
        <v>1</v>
      </c>
      <c r="F76" s="621">
        <f t="shared" si="7"/>
        <v>1</v>
      </c>
      <c r="G76" s="621">
        <f t="shared" si="7"/>
        <v>1</v>
      </c>
      <c r="H76" s="391">
        <f t="shared" si="8"/>
        <v>4108573.0972411716</v>
      </c>
    </row>
    <row r="77" spans="1:8">
      <c r="A77" s="1069">
        <f t="shared" si="0"/>
        <v>63</v>
      </c>
      <c r="B77" s="682">
        <v>38100</v>
      </c>
      <c r="C77" s="4" t="s">
        <v>863</v>
      </c>
      <c r="D77" s="445">
        <v>2891148.2269128943</v>
      </c>
      <c r="E77" s="622">
        <v>1</v>
      </c>
      <c r="F77" s="621">
        <f t="shared" si="7"/>
        <v>1</v>
      </c>
      <c r="G77" s="621">
        <f t="shared" si="7"/>
        <v>1</v>
      </c>
      <c r="H77" s="391">
        <f t="shared" si="8"/>
        <v>2891148.2269128943</v>
      </c>
    </row>
    <row r="78" spans="1:8">
      <c r="A78" s="1069">
        <f t="shared" si="0"/>
        <v>64</v>
      </c>
      <c r="B78" s="682">
        <v>38200</v>
      </c>
      <c r="C78" s="4" t="s">
        <v>456</v>
      </c>
      <c r="D78" s="445">
        <v>2133257.5757953348</v>
      </c>
      <c r="E78" s="622">
        <v>1</v>
      </c>
      <c r="F78" s="621">
        <f t="shared" si="7"/>
        <v>1</v>
      </c>
      <c r="G78" s="621">
        <f t="shared" si="7"/>
        <v>1</v>
      </c>
      <c r="H78" s="391">
        <f t="shared" si="8"/>
        <v>2133257.5757953348</v>
      </c>
    </row>
    <row r="79" spans="1:8">
      <c r="A79" s="1069">
        <f t="shared" si="0"/>
        <v>65</v>
      </c>
      <c r="B79" s="682">
        <v>38300</v>
      </c>
      <c r="C79" s="4" t="s">
        <v>1073</v>
      </c>
      <c r="D79" s="445">
        <v>264731.17739306088</v>
      </c>
      <c r="E79" s="622">
        <v>1</v>
      </c>
      <c r="F79" s="621">
        <f t="shared" si="7"/>
        <v>1</v>
      </c>
      <c r="G79" s="621">
        <f t="shared" si="7"/>
        <v>1</v>
      </c>
      <c r="H79" s="391">
        <f t="shared" si="8"/>
        <v>264731.17739306088</v>
      </c>
    </row>
    <row r="80" spans="1:8">
      <c r="A80" s="1069">
        <f t="shared" si="0"/>
        <v>66</v>
      </c>
      <c r="B80" s="682">
        <v>38400</v>
      </c>
      <c r="C80" s="4" t="s">
        <v>457</v>
      </c>
      <c r="D80" s="445">
        <v>3625.4944600000003</v>
      </c>
      <c r="E80" s="622">
        <v>1</v>
      </c>
      <c r="F80" s="621">
        <f t="shared" si="7"/>
        <v>1</v>
      </c>
      <c r="G80" s="621">
        <f t="shared" si="7"/>
        <v>1</v>
      </c>
      <c r="H80" s="391">
        <f t="shared" si="8"/>
        <v>3625.4944600000003</v>
      </c>
    </row>
    <row r="81" spans="1:13">
      <c r="A81" s="1069">
        <f t="shared" ref="A81:A144" si="9">A80+1</f>
        <v>67</v>
      </c>
      <c r="B81" s="682">
        <v>38500</v>
      </c>
      <c r="C81" s="4" t="s">
        <v>458</v>
      </c>
      <c r="D81" s="445">
        <v>147334.46093811328</v>
      </c>
      <c r="E81" s="622">
        <v>1</v>
      </c>
      <c r="F81" s="621">
        <f t="shared" si="7"/>
        <v>1</v>
      </c>
      <c r="G81" s="621">
        <f t="shared" si="7"/>
        <v>1</v>
      </c>
      <c r="H81" s="391">
        <f t="shared" si="8"/>
        <v>147334.46093811328</v>
      </c>
      <c r="M81" s="951"/>
    </row>
    <row r="82" spans="1:13">
      <c r="A82" s="1069">
        <f t="shared" si="9"/>
        <v>68</v>
      </c>
      <c r="B82" s="682"/>
      <c r="C82" s="4"/>
      <c r="D82" s="1142"/>
      <c r="E82" s="622"/>
      <c r="F82" s="621"/>
      <c r="G82" s="621"/>
      <c r="H82" s="788"/>
    </row>
    <row r="83" spans="1:13">
      <c r="A83" s="1069">
        <f t="shared" si="9"/>
        <v>69</v>
      </c>
      <c r="B83" s="682"/>
      <c r="C83" s="4" t="s">
        <v>1379</v>
      </c>
      <c r="D83" s="445">
        <f>SUM(D62:D82)</f>
        <v>15319363.540172465</v>
      </c>
      <c r="E83" s="622"/>
      <c r="F83" s="621"/>
      <c r="G83" s="621"/>
      <c r="H83" s="382">
        <f>SUM(H62:H82)</f>
        <v>15319363.540172465</v>
      </c>
    </row>
    <row r="84" spans="1:13">
      <c r="A84" s="1069">
        <f t="shared" si="9"/>
        <v>70</v>
      </c>
      <c r="B84" s="682"/>
      <c r="C84" s="4"/>
      <c r="D84" s="578"/>
      <c r="E84" s="622"/>
      <c r="F84" s="621"/>
      <c r="G84" s="621"/>
      <c r="H84" s="391"/>
    </row>
    <row r="85" spans="1:13">
      <c r="A85" s="1069">
        <f t="shared" si="9"/>
        <v>71</v>
      </c>
      <c r="B85" s="465"/>
      <c r="C85" s="17" t="s">
        <v>309</v>
      </c>
      <c r="D85" s="578"/>
      <c r="E85" s="622"/>
      <c r="F85" s="621"/>
      <c r="G85" s="621"/>
      <c r="H85" s="391"/>
    </row>
    <row r="86" spans="1:13">
      <c r="A86" s="1069">
        <f t="shared" si="9"/>
        <v>72</v>
      </c>
      <c r="B86" s="682">
        <v>38900</v>
      </c>
      <c r="C86" s="4" t="s">
        <v>1168</v>
      </c>
      <c r="D86" s="445">
        <v>0</v>
      </c>
      <c r="E86" s="622">
        <v>1</v>
      </c>
      <c r="F86" s="621">
        <f t="shared" ref="F86:G99" si="10">$F$16</f>
        <v>1</v>
      </c>
      <c r="G86" s="621">
        <f t="shared" si="10"/>
        <v>1</v>
      </c>
      <c r="H86" s="382">
        <f t="shared" ref="H86:H106" si="11">D86*E86*F86*G86</f>
        <v>0</v>
      </c>
    </row>
    <row r="87" spans="1:13">
      <c r="A87" s="1069">
        <f t="shared" si="9"/>
        <v>73</v>
      </c>
      <c r="B87" s="682">
        <v>39000</v>
      </c>
      <c r="C87" s="4" t="s">
        <v>556</v>
      </c>
      <c r="D87" s="445">
        <v>197267.85288295537</v>
      </c>
      <c r="E87" s="622">
        <v>1</v>
      </c>
      <c r="F87" s="621">
        <f t="shared" si="10"/>
        <v>1</v>
      </c>
      <c r="G87" s="621">
        <f t="shared" si="10"/>
        <v>1</v>
      </c>
      <c r="H87" s="391">
        <f t="shared" si="11"/>
        <v>197267.85288295537</v>
      </c>
    </row>
    <row r="88" spans="1:13">
      <c r="A88" s="1069">
        <f t="shared" si="9"/>
        <v>74</v>
      </c>
      <c r="B88" s="682">
        <v>39002</v>
      </c>
      <c r="C88" s="4" t="s">
        <v>1017</v>
      </c>
      <c r="D88" s="445">
        <v>6509.1183599999995</v>
      </c>
      <c r="E88" s="622">
        <v>1</v>
      </c>
      <c r="F88" s="621">
        <f t="shared" si="10"/>
        <v>1</v>
      </c>
      <c r="G88" s="621">
        <f t="shared" si="10"/>
        <v>1</v>
      </c>
      <c r="H88" s="391">
        <f t="shared" si="11"/>
        <v>6509.1183599999995</v>
      </c>
    </row>
    <row r="89" spans="1:13">
      <c r="A89" s="1069">
        <f t="shared" si="9"/>
        <v>75</v>
      </c>
      <c r="B89" s="682">
        <v>39003</v>
      </c>
      <c r="C89" s="4" t="s">
        <v>459</v>
      </c>
      <c r="D89" s="445">
        <v>26665.889167999998</v>
      </c>
      <c r="E89" s="622">
        <v>1</v>
      </c>
      <c r="F89" s="621">
        <f t="shared" si="10"/>
        <v>1</v>
      </c>
      <c r="G89" s="621">
        <f t="shared" si="10"/>
        <v>1</v>
      </c>
      <c r="H89" s="391">
        <f t="shared" si="11"/>
        <v>26665.889167999998</v>
      </c>
    </row>
    <row r="90" spans="1:13">
      <c r="A90" s="1069">
        <f t="shared" si="9"/>
        <v>76</v>
      </c>
      <c r="B90" s="682">
        <v>39004</v>
      </c>
      <c r="C90" s="4" t="s">
        <v>1056</v>
      </c>
      <c r="D90" s="445">
        <v>280.55202400000002</v>
      </c>
      <c r="E90" s="622">
        <v>1</v>
      </c>
      <c r="F90" s="621">
        <f t="shared" si="10"/>
        <v>1</v>
      </c>
      <c r="G90" s="621">
        <f t="shared" si="10"/>
        <v>1</v>
      </c>
      <c r="H90" s="391">
        <f t="shared" si="11"/>
        <v>280.55202400000002</v>
      </c>
    </row>
    <row r="91" spans="1:13">
      <c r="A91" s="1069">
        <f t="shared" si="9"/>
        <v>77</v>
      </c>
      <c r="B91" s="682">
        <v>39009</v>
      </c>
      <c r="C91" s="4" t="s">
        <v>796</v>
      </c>
      <c r="D91" s="445">
        <v>233162.93107800002</v>
      </c>
      <c r="E91" s="622">
        <v>1</v>
      </c>
      <c r="F91" s="621">
        <f t="shared" si="10"/>
        <v>1</v>
      </c>
      <c r="G91" s="621">
        <f t="shared" si="10"/>
        <v>1</v>
      </c>
      <c r="H91" s="391">
        <f t="shared" si="11"/>
        <v>233162.93107800002</v>
      </c>
    </row>
    <row r="92" spans="1:13">
      <c r="A92" s="1069">
        <f t="shared" si="9"/>
        <v>78</v>
      </c>
      <c r="B92" s="682">
        <v>39100</v>
      </c>
      <c r="C92" s="4" t="s">
        <v>542</v>
      </c>
      <c r="D92" s="445">
        <v>129910.72039867274</v>
      </c>
      <c r="E92" s="622">
        <v>1</v>
      </c>
      <c r="F92" s="621">
        <f t="shared" si="10"/>
        <v>1</v>
      </c>
      <c r="G92" s="621">
        <f t="shared" si="10"/>
        <v>1</v>
      </c>
      <c r="H92" s="391">
        <f t="shared" si="11"/>
        <v>129910.72039867274</v>
      </c>
    </row>
    <row r="93" spans="1:13">
      <c r="A93" s="1069">
        <f t="shared" si="9"/>
        <v>79</v>
      </c>
      <c r="B93" s="682">
        <v>39200</v>
      </c>
      <c r="C93" s="4" t="s">
        <v>348</v>
      </c>
      <c r="D93" s="445">
        <v>54944.030474000007</v>
      </c>
      <c r="E93" s="1146">
        <v>0.43469400347292619</v>
      </c>
      <c r="F93" s="621">
        <f t="shared" si="10"/>
        <v>1</v>
      </c>
      <c r="G93" s="621">
        <f t="shared" si="10"/>
        <v>1</v>
      </c>
      <c r="H93" s="391">
        <f t="shared" si="11"/>
        <v>23883.840573681522</v>
      </c>
      <c r="K93" s="794"/>
    </row>
    <row r="94" spans="1:13">
      <c r="A94" s="1069">
        <f t="shared" si="9"/>
        <v>80</v>
      </c>
      <c r="B94" s="682">
        <v>39202</v>
      </c>
      <c r="C94" s="4" t="s">
        <v>91</v>
      </c>
      <c r="D94" s="445">
        <v>3302.5950449999996</v>
      </c>
      <c r="E94" s="1146">
        <v>0.43469400347292619</v>
      </c>
      <c r="F94" s="621">
        <f t="shared" si="10"/>
        <v>1</v>
      </c>
      <c r="G94" s="621">
        <f t="shared" si="10"/>
        <v>1</v>
      </c>
      <c r="H94" s="391">
        <f t="shared" si="11"/>
        <v>1435.6182619608987</v>
      </c>
      <c r="K94" s="794"/>
    </row>
    <row r="95" spans="1:13">
      <c r="A95" s="1069">
        <f t="shared" si="9"/>
        <v>81</v>
      </c>
      <c r="B95" s="682">
        <v>39400</v>
      </c>
      <c r="C95" s="4" t="s">
        <v>557</v>
      </c>
      <c r="D95" s="445">
        <v>166536.717393664</v>
      </c>
      <c r="E95" s="1146">
        <v>0.43594523066092161</v>
      </c>
      <c r="F95" s="621">
        <f t="shared" si="10"/>
        <v>1</v>
      </c>
      <c r="G95" s="621">
        <f t="shared" si="10"/>
        <v>1</v>
      </c>
      <c r="H95" s="391">
        <f t="shared" si="11"/>
        <v>72600.887677693565</v>
      </c>
      <c r="K95" s="794"/>
    </row>
    <row r="96" spans="1:13">
      <c r="A96" s="1069">
        <f t="shared" si="9"/>
        <v>82</v>
      </c>
      <c r="B96" s="465">
        <v>39603</v>
      </c>
      <c r="C96" s="4" t="s">
        <v>93</v>
      </c>
      <c r="D96" s="445">
        <v>9209.8863120000024</v>
      </c>
      <c r="E96" s="1146">
        <v>2.000120675986683E-2</v>
      </c>
      <c r="F96" s="621">
        <f t="shared" si="10"/>
        <v>1</v>
      </c>
      <c r="G96" s="621">
        <f t="shared" si="10"/>
        <v>1</v>
      </c>
      <c r="H96" s="391">
        <f t="shared" si="11"/>
        <v>184.20884036117943</v>
      </c>
      <c r="K96" s="794"/>
    </row>
    <row r="97" spans="1:14">
      <c r="A97" s="1069">
        <f t="shared" si="9"/>
        <v>83</v>
      </c>
      <c r="B97" s="465">
        <v>39604</v>
      </c>
      <c r="C97" s="1" t="s">
        <v>94</v>
      </c>
      <c r="D97" s="445">
        <v>12216.897363000004</v>
      </c>
      <c r="E97" s="1146">
        <v>2.000120675986683E-2</v>
      </c>
      <c r="F97" s="621">
        <f t="shared" si="10"/>
        <v>1</v>
      </c>
      <c r="G97" s="621">
        <f t="shared" si="10"/>
        <v>1</v>
      </c>
      <c r="H97" s="391">
        <f t="shared" si="11"/>
        <v>244.35269012143493</v>
      </c>
      <c r="K97" s="794"/>
    </row>
    <row r="98" spans="1:14">
      <c r="A98" s="1069">
        <f t="shared" si="9"/>
        <v>84</v>
      </c>
      <c r="B98" s="465">
        <v>39605</v>
      </c>
      <c r="C98" s="4" t="s">
        <v>454</v>
      </c>
      <c r="D98" s="445">
        <v>6471.0375180000001</v>
      </c>
      <c r="E98" s="622">
        <v>1</v>
      </c>
      <c r="F98" s="621">
        <f t="shared" si="10"/>
        <v>1</v>
      </c>
      <c r="G98" s="621">
        <f t="shared" si="10"/>
        <v>1</v>
      </c>
      <c r="H98" s="391">
        <f t="shared" si="11"/>
        <v>6471.0375180000001</v>
      </c>
    </row>
    <row r="99" spans="1:14">
      <c r="A99" s="1069">
        <f t="shared" si="9"/>
        <v>85</v>
      </c>
      <c r="B99" s="465">
        <v>39700</v>
      </c>
      <c r="C99" s="4" t="s">
        <v>869</v>
      </c>
      <c r="D99" s="445">
        <v>26941.290879375505</v>
      </c>
      <c r="E99" s="622">
        <v>1</v>
      </c>
      <c r="F99" s="621">
        <f t="shared" si="10"/>
        <v>1</v>
      </c>
      <c r="G99" s="621">
        <f t="shared" si="10"/>
        <v>1</v>
      </c>
      <c r="H99" s="391">
        <f t="shared" si="11"/>
        <v>26941.290879375505</v>
      </c>
    </row>
    <row r="100" spans="1:14">
      <c r="A100" s="1069">
        <f t="shared" si="9"/>
        <v>86</v>
      </c>
      <c r="B100" s="465">
        <v>39705</v>
      </c>
      <c r="C100" s="4" t="s">
        <v>666</v>
      </c>
      <c r="D100" s="445">
        <v>0</v>
      </c>
      <c r="E100" s="622">
        <v>1</v>
      </c>
      <c r="F100" s="621">
        <f t="shared" ref="F100:G106" si="12">$F$16</f>
        <v>1</v>
      </c>
      <c r="G100" s="621">
        <f t="shared" si="12"/>
        <v>1</v>
      </c>
      <c r="H100" s="391">
        <f t="shared" si="11"/>
        <v>0</v>
      </c>
    </row>
    <row r="101" spans="1:14">
      <c r="A101" s="1069">
        <f t="shared" si="9"/>
        <v>87</v>
      </c>
      <c r="B101" s="465">
        <v>39800</v>
      </c>
      <c r="C101" s="4" t="s">
        <v>1173</v>
      </c>
      <c r="D101" s="445">
        <v>214886.24942787245</v>
      </c>
      <c r="E101" s="622">
        <v>1</v>
      </c>
      <c r="F101" s="621">
        <f t="shared" si="12"/>
        <v>1</v>
      </c>
      <c r="G101" s="621">
        <f t="shared" si="12"/>
        <v>1</v>
      </c>
      <c r="H101" s="391">
        <f t="shared" si="11"/>
        <v>214886.24942787245</v>
      </c>
    </row>
    <row r="102" spans="1:14">
      <c r="A102" s="1069">
        <f t="shared" si="9"/>
        <v>88</v>
      </c>
      <c r="B102" s="465">
        <v>39903</v>
      </c>
      <c r="C102" s="4" t="s">
        <v>1198</v>
      </c>
      <c r="D102" s="445">
        <v>9471.0514969766064</v>
      </c>
      <c r="E102" s="622">
        <v>1</v>
      </c>
      <c r="F102" s="621">
        <f t="shared" si="12"/>
        <v>1</v>
      </c>
      <c r="G102" s="621">
        <f t="shared" si="12"/>
        <v>1</v>
      </c>
      <c r="H102" s="391">
        <f t="shared" si="11"/>
        <v>9471.0514969766064</v>
      </c>
    </row>
    <row r="103" spans="1:14">
      <c r="A103" s="1069">
        <f t="shared" si="9"/>
        <v>89</v>
      </c>
      <c r="B103" s="465">
        <v>39906</v>
      </c>
      <c r="C103" s="4" t="s">
        <v>520</v>
      </c>
      <c r="D103" s="445">
        <v>331152.80800732906</v>
      </c>
      <c r="E103" s="622">
        <v>1</v>
      </c>
      <c r="F103" s="621">
        <f t="shared" si="12"/>
        <v>1</v>
      </c>
      <c r="G103" s="621">
        <f t="shared" si="12"/>
        <v>1</v>
      </c>
      <c r="H103" s="391">
        <f t="shared" si="11"/>
        <v>331152.80800732906</v>
      </c>
    </row>
    <row r="104" spans="1:14">
      <c r="A104" s="1069">
        <f t="shared" si="9"/>
        <v>90</v>
      </c>
      <c r="B104" s="465">
        <v>39907</v>
      </c>
      <c r="C104" s="4" t="s">
        <v>184</v>
      </c>
      <c r="D104" s="445">
        <v>0</v>
      </c>
      <c r="E104" s="622">
        <v>1</v>
      </c>
      <c r="F104" s="621">
        <f t="shared" si="12"/>
        <v>1</v>
      </c>
      <c r="G104" s="621">
        <f t="shared" si="12"/>
        <v>1</v>
      </c>
      <c r="H104" s="391">
        <f t="shared" si="11"/>
        <v>0</v>
      </c>
    </row>
    <row r="105" spans="1:14">
      <c r="A105" s="1069">
        <f t="shared" si="9"/>
        <v>91</v>
      </c>
      <c r="B105" s="465">
        <v>39908</v>
      </c>
      <c r="C105" s="4" t="s">
        <v>352</v>
      </c>
      <c r="D105" s="445">
        <v>0</v>
      </c>
      <c r="E105" s="622">
        <v>1</v>
      </c>
      <c r="F105" s="621">
        <f t="shared" si="12"/>
        <v>1</v>
      </c>
      <c r="G105" s="621">
        <f t="shared" si="12"/>
        <v>1</v>
      </c>
      <c r="H105" s="391">
        <f t="shared" si="11"/>
        <v>0</v>
      </c>
    </row>
    <row r="106" spans="1:14" ht="15.75">
      <c r="A106" s="1069">
        <f t="shared" si="9"/>
        <v>92</v>
      </c>
      <c r="B106" s="939"/>
      <c r="C106" s="115" t="s">
        <v>1293</v>
      </c>
      <c r="D106" s="445">
        <v>561201.6</v>
      </c>
      <c r="E106" s="622">
        <v>1</v>
      </c>
      <c r="F106" s="621">
        <f t="shared" si="12"/>
        <v>1</v>
      </c>
      <c r="G106" s="621">
        <f t="shared" si="12"/>
        <v>1</v>
      </c>
      <c r="H106" s="391">
        <f t="shared" si="11"/>
        <v>561201.6</v>
      </c>
      <c r="J106" s="769"/>
      <c r="K106" s="794"/>
    </row>
    <row r="107" spans="1:14">
      <c r="A107" s="1069">
        <f t="shared" si="9"/>
        <v>93</v>
      </c>
      <c r="B107" s="465"/>
      <c r="C107" s="4"/>
      <c r="D107" s="1142"/>
      <c r="E107" s="950"/>
      <c r="H107" s="788"/>
    </row>
    <row r="108" spans="1:14">
      <c r="A108" s="1069">
        <f t="shared" si="9"/>
        <v>94</v>
      </c>
      <c r="B108" s="507"/>
      <c r="C108" s="4" t="s">
        <v>1378</v>
      </c>
      <c r="D108" s="445">
        <f>SUM(D86:D107)</f>
        <v>1990131.2278288454</v>
      </c>
      <c r="E108" s="949"/>
      <c r="H108" s="382">
        <f>SUM(H86:H107)</f>
        <v>1842270.0092850002</v>
      </c>
    </row>
    <row r="109" spans="1:14">
      <c r="A109" s="1069">
        <f t="shared" si="9"/>
        <v>95</v>
      </c>
      <c r="B109" s="507"/>
      <c r="C109" s="4"/>
      <c r="D109" s="578"/>
      <c r="E109" s="950"/>
      <c r="H109" s="391"/>
    </row>
    <row r="110" spans="1:14">
      <c r="A110" s="1069">
        <f t="shared" si="9"/>
        <v>96</v>
      </c>
      <c r="B110" s="507"/>
      <c r="C110" s="4" t="s">
        <v>1375</v>
      </c>
      <c r="D110" s="445">
        <f>D108+D83+D59+D47+D26+D19</f>
        <v>18188239.136960682</v>
      </c>
      <c r="E110" s="949"/>
      <c r="H110" s="382">
        <f>H108+H83+H59+H47+H26+H19</f>
        <v>18040377.918416835</v>
      </c>
      <c r="K110" s="1055"/>
      <c r="L110" s="106"/>
      <c r="M110" s="768"/>
      <c r="N110" s="768"/>
    </row>
    <row r="111" spans="1:14">
      <c r="A111" s="1069">
        <f t="shared" si="9"/>
        <v>97</v>
      </c>
      <c r="B111" s="507"/>
      <c r="C111" s="4"/>
      <c r="D111" s="578"/>
      <c r="E111" s="1128"/>
    </row>
    <row r="112" spans="1:14">
      <c r="A112" s="1069">
        <f t="shared" si="9"/>
        <v>98</v>
      </c>
      <c r="B112" s="508"/>
      <c r="C112" s="107"/>
      <c r="D112" s="578"/>
      <c r="E112" s="1128"/>
    </row>
    <row r="113" spans="1:15">
      <c r="A113" s="1069">
        <f t="shared" si="9"/>
        <v>99</v>
      </c>
      <c r="B113" s="403"/>
      <c r="D113" s="578"/>
      <c r="E113" s="1128"/>
    </row>
    <row r="114" spans="1:15" ht="15.75">
      <c r="A114" s="1069">
        <f t="shared" si="9"/>
        <v>100</v>
      </c>
      <c r="B114" s="416" t="s">
        <v>7</v>
      </c>
      <c r="D114" s="578"/>
      <c r="E114" s="1128"/>
    </row>
    <row r="115" spans="1:15">
      <c r="A115" s="1069">
        <f t="shared" si="9"/>
        <v>101</v>
      </c>
      <c r="B115" s="403"/>
      <c r="D115" s="578"/>
      <c r="E115" s="1128"/>
    </row>
    <row r="116" spans="1:15">
      <c r="A116" s="1069">
        <f t="shared" si="9"/>
        <v>102</v>
      </c>
      <c r="B116" s="507"/>
      <c r="C116" s="17" t="s">
        <v>305</v>
      </c>
      <c r="D116" s="578"/>
      <c r="E116" s="1128"/>
    </row>
    <row r="117" spans="1:15">
      <c r="A117" s="1069">
        <f t="shared" si="9"/>
        <v>103</v>
      </c>
      <c r="B117" s="682">
        <v>30100</v>
      </c>
      <c r="C117" s="4" t="s">
        <v>299</v>
      </c>
      <c r="D117" s="445">
        <v>0</v>
      </c>
      <c r="E117" s="622">
        <v>1</v>
      </c>
      <c r="F117" s="621">
        <f>$F$16</f>
        <v>1</v>
      </c>
      <c r="G117" s="622">
        <f>Allocation!$D$17</f>
        <v>0.49090457251500325</v>
      </c>
      <c r="H117" s="382">
        <f>D117*E117*F117*G117</f>
        <v>0</v>
      </c>
    </row>
    <row r="118" spans="1:15">
      <c r="A118" s="1069">
        <f t="shared" si="9"/>
        <v>104</v>
      </c>
      <c r="B118" s="682">
        <v>30300</v>
      </c>
      <c r="C118" s="4" t="s">
        <v>558</v>
      </c>
      <c r="D118" s="445">
        <v>0</v>
      </c>
      <c r="E118" s="622">
        <v>1</v>
      </c>
      <c r="F118" s="621">
        <f>$F$16</f>
        <v>1</v>
      </c>
      <c r="G118" s="622">
        <f>$G$117</f>
        <v>0.49090457251500325</v>
      </c>
      <c r="H118" s="392">
        <f>D118*E118*F118*G118</f>
        <v>0</v>
      </c>
    </row>
    <row r="119" spans="1:15">
      <c r="A119" s="1069">
        <f t="shared" si="9"/>
        <v>105</v>
      </c>
      <c r="B119" s="682"/>
      <c r="C119" s="4"/>
      <c r="D119" s="106"/>
      <c r="E119" s="1128"/>
    </row>
    <row r="120" spans="1:15">
      <c r="A120" s="1069">
        <f t="shared" si="9"/>
        <v>106</v>
      </c>
      <c r="B120" s="465"/>
      <c r="C120" s="4" t="s">
        <v>1380</v>
      </c>
      <c r="D120" s="445">
        <f>SUM(D117:D119)</f>
        <v>0</v>
      </c>
      <c r="E120" s="949"/>
      <c r="F120" s="621"/>
      <c r="G120" s="621"/>
      <c r="H120" s="382">
        <f>SUM(H117:H119)</f>
        <v>0</v>
      </c>
    </row>
    <row r="121" spans="1:15">
      <c r="A121" s="1069">
        <f t="shared" si="9"/>
        <v>107</v>
      </c>
      <c r="B121" s="684"/>
      <c r="D121" s="106"/>
      <c r="E121" s="1128"/>
    </row>
    <row r="122" spans="1:15">
      <c r="A122" s="1069">
        <f t="shared" si="9"/>
        <v>108</v>
      </c>
      <c r="B122" s="465"/>
      <c r="C122" s="17" t="s">
        <v>307</v>
      </c>
      <c r="D122" s="106"/>
      <c r="E122" s="1128"/>
    </row>
    <row r="123" spans="1:15">
      <c r="A123" s="1069">
        <f t="shared" si="9"/>
        <v>109</v>
      </c>
      <c r="B123" s="682">
        <v>37400</v>
      </c>
      <c r="C123" s="4" t="s">
        <v>1168</v>
      </c>
      <c r="D123" s="445">
        <v>0</v>
      </c>
      <c r="E123" s="622">
        <v>1</v>
      </c>
      <c r="F123" s="621">
        <f t="shared" ref="F123:F143" si="13">$F$16</f>
        <v>1</v>
      </c>
      <c r="G123" s="622">
        <f t="shared" ref="G123:G143" si="14">$G$117</f>
        <v>0.49090457251500325</v>
      </c>
      <c r="H123" s="382">
        <f>D123*E123*F123*G123</f>
        <v>0</v>
      </c>
    </row>
    <row r="124" spans="1:15">
      <c r="A124" s="1069">
        <f t="shared" si="9"/>
        <v>110</v>
      </c>
      <c r="B124" s="682">
        <v>35010</v>
      </c>
      <c r="C124" s="4" t="s">
        <v>300</v>
      </c>
      <c r="D124" s="578">
        <v>0</v>
      </c>
      <c r="E124" s="622">
        <v>1</v>
      </c>
      <c r="F124" s="621">
        <f t="shared" si="13"/>
        <v>1</v>
      </c>
      <c r="G124" s="622">
        <f t="shared" si="14"/>
        <v>0.49090457251500325</v>
      </c>
      <c r="H124" s="391">
        <f t="shared" ref="H124:H143" si="15">D124*E124*F124*G124</f>
        <v>0</v>
      </c>
    </row>
    <row r="125" spans="1:15">
      <c r="A125" s="1069">
        <f t="shared" si="9"/>
        <v>111</v>
      </c>
      <c r="B125" s="682">
        <v>37402</v>
      </c>
      <c r="C125" s="4" t="s">
        <v>1018</v>
      </c>
      <c r="D125" s="578">
        <v>0</v>
      </c>
      <c r="E125" s="622">
        <v>1</v>
      </c>
      <c r="F125" s="621">
        <f t="shared" si="13"/>
        <v>1</v>
      </c>
      <c r="G125" s="622">
        <f t="shared" si="14"/>
        <v>0.49090457251500325</v>
      </c>
      <c r="H125" s="391">
        <f t="shared" si="15"/>
        <v>0</v>
      </c>
    </row>
    <row r="126" spans="1:15">
      <c r="A126" s="1069">
        <f t="shared" si="9"/>
        <v>112</v>
      </c>
      <c r="B126" s="682">
        <v>37403</v>
      </c>
      <c r="C126" s="4" t="s">
        <v>1015</v>
      </c>
      <c r="D126" s="578">
        <v>0</v>
      </c>
      <c r="E126" s="622">
        <v>1</v>
      </c>
      <c r="F126" s="621">
        <f t="shared" si="13"/>
        <v>1</v>
      </c>
      <c r="G126" s="622">
        <f t="shared" si="14"/>
        <v>0.49090457251500325</v>
      </c>
      <c r="H126" s="391">
        <f t="shared" si="15"/>
        <v>0</v>
      </c>
      <c r="O126" s="4"/>
    </row>
    <row r="127" spans="1:15">
      <c r="A127" s="1069">
        <f t="shared" si="9"/>
        <v>113</v>
      </c>
      <c r="B127" s="682">
        <v>36602</v>
      </c>
      <c r="C127" s="4" t="s">
        <v>874</v>
      </c>
      <c r="D127" s="578">
        <v>0</v>
      </c>
      <c r="E127" s="622">
        <v>1</v>
      </c>
      <c r="F127" s="621">
        <f t="shared" si="13"/>
        <v>1</v>
      </c>
      <c r="G127" s="622">
        <f t="shared" si="14"/>
        <v>0.49090457251500325</v>
      </c>
      <c r="H127" s="391">
        <f t="shared" si="15"/>
        <v>0</v>
      </c>
    </row>
    <row r="128" spans="1:15">
      <c r="A128" s="1069">
        <f t="shared" si="9"/>
        <v>114</v>
      </c>
      <c r="B128" s="682">
        <v>37501</v>
      </c>
      <c r="C128" s="4" t="s">
        <v>1016</v>
      </c>
      <c r="D128" s="578">
        <v>0</v>
      </c>
      <c r="E128" s="622">
        <v>1</v>
      </c>
      <c r="F128" s="621">
        <f t="shared" si="13"/>
        <v>1</v>
      </c>
      <c r="G128" s="622">
        <f t="shared" si="14"/>
        <v>0.49090457251500325</v>
      </c>
      <c r="H128" s="391">
        <f t="shared" si="15"/>
        <v>0</v>
      </c>
      <c r="O128" s="682"/>
    </row>
    <row r="129" spans="1:15">
      <c r="A129" s="1069">
        <f t="shared" si="9"/>
        <v>115</v>
      </c>
      <c r="B129" s="682">
        <v>37402</v>
      </c>
      <c r="C129" s="4" t="s">
        <v>1018</v>
      </c>
      <c r="D129" s="578">
        <v>0</v>
      </c>
      <c r="E129" s="622">
        <v>1</v>
      </c>
      <c r="F129" s="621">
        <f t="shared" si="13"/>
        <v>1</v>
      </c>
      <c r="G129" s="622">
        <f t="shared" si="14"/>
        <v>0.49090457251500325</v>
      </c>
      <c r="H129" s="391">
        <f t="shared" si="15"/>
        <v>0</v>
      </c>
    </row>
    <row r="130" spans="1:15">
      <c r="A130" s="1069">
        <f t="shared" si="9"/>
        <v>116</v>
      </c>
      <c r="B130" s="682">
        <v>37503</v>
      </c>
      <c r="C130" s="4" t="s">
        <v>1017</v>
      </c>
      <c r="D130" s="578">
        <v>0</v>
      </c>
      <c r="E130" s="622">
        <v>1</v>
      </c>
      <c r="F130" s="621">
        <f t="shared" si="13"/>
        <v>1</v>
      </c>
      <c r="G130" s="622">
        <f t="shared" si="14"/>
        <v>0.49090457251500325</v>
      </c>
      <c r="H130" s="391">
        <f t="shared" si="15"/>
        <v>0</v>
      </c>
      <c r="O130" s="682"/>
    </row>
    <row r="131" spans="1:15">
      <c r="A131" s="1069">
        <f t="shared" si="9"/>
        <v>117</v>
      </c>
      <c r="B131" s="682">
        <v>36700</v>
      </c>
      <c r="C131" s="4" t="s">
        <v>861</v>
      </c>
      <c r="D131" s="578">
        <v>0</v>
      </c>
      <c r="E131" s="622">
        <v>1</v>
      </c>
      <c r="F131" s="621">
        <f t="shared" si="13"/>
        <v>1</v>
      </c>
      <c r="G131" s="622">
        <f t="shared" si="14"/>
        <v>0.49090457251500325</v>
      </c>
      <c r="H131" s="391">
        <f t="shared" si="15"/>
        <v>0</v>
      </c>
    </row>
    <row r="132" spans="1:15">
      <c r="A132" s="1069">
        <f t="shared" si="9"/>
        <v>118</v>
      </c>
      <c r="B132" s="682">
        <v>36701</v>
      </c>
      <c r="C132" s="4" t="s">
        <v>16</v>
      </c>
      <c r="D132" s="578">
        <v>0</v>
      </c>
      <c r="E132" s="622">
        <v>1</v>
      </c>
      <c r="F132" s="621">
        <f t="shared" si="13"/>
        <v>1</v>
      </c>
      <c r="G132" s="622">
        <f t="shared" si="14"/>
        <v>0.49090457251500325</v>
      </c>
      <c r="H132" s="391">
        <f t="shared" si="15"/>
        <v>0</v>
      </c>
    </row>
    <row r="133" spans="1:15">
      <c r="A133" s="1069">
        <f t="shared" si="9"/>
        <v>119</v>
      </c>
      <c r="B133" s="682">
        <v>37602</v>
      </c>
      <c r="C133" s="4" t="s">
        <v>862</v>
      </c>
      <c r="D133" s="578">
        <v>0</v>
      </c>
      <c r="E133" s="622">
        <v>1</v>
      </c>
      <c r="F133" s="621">
        <f t="shared" si="13"/>
        <v>1</v>
      </c>
      <c r="G133" s="622">
        <f t="shared" si="14"/>
        <v>0.49090457251500325</v>
      </c>
      <c r="H133" s="391">
        <f t="shared" si="15"/>
        <v>0</v>
      </c>
    </row>
    <row r="134" spans="1:15">
      <c r="A134" s="1069">
        <f t="shared" si="9"/>
        <v>120</v>
      </c>
      <c r="B134" s="682">
        <v>37800</v>
      </c>
      <c r="C134" s="4" t="s">
        <v>234</v>
      </c>
      <c r="D134" s="578">
        <v>0</v>
      </c>
      <c r="E134" s="622">
        <v>1</v>
      </c>
      <c r="F134" s="621">
        <f t="shared" si="13"/>
        <v>1</v>
      </c>
      <c r="G134" s="622">
        <f t="shared" si="14"/>
        <v>0.49090457251500325</v>
      </c>
      <c r="H134" s="391">
        <f t="shared" si="15"/>
        <v>0</v>
      </c>
      <c r="M134" s="954"/>
      <c r="N134" s="952"/>
      <c r="O134" s="106"/>
    </row>
    <row r="135" spans="1:15">
      <c r="A135" s="1069">
        <f t="shared" si="9"/>
        <v>121</v>
      </c>
      <c r="B135" s="682">
        <v>37900</v>
      </c>
      <c r="C135" s="4" t="s">
        <v>1211</v>
      </c>
      <c r="D135" s="578">
        <v>0</v>
      </c>
      <c r="E135" s="622">
        <v>1</v>
      </c>
      <c r="F135" s="621">
        <f t="shared" si="13"/>
        <v>1</v>
      </c>
      <c r="G135" s="622">
        <f t="shared" si="14"/>
        <v>0.49090457251500325</v>
      </c>
      <c r="H135" s="391">
        <f t="shared" si="15"/>
        <v>0</v>
      </c>
    </row>
    <row r="136" spans="1:15">
      <c r="A136" s="1069">
        <f t="shared" si="9"/>
        <v>122</v>
      </c>
      <c r="B136" s="682">
        <v>37905</v>
      </c>
      <c r="C136" s="4" t="s">
        <v>742</v>
      </c>
      <c r="D136" s="578">
        <v>0</v>
      </c>
      <c r="E136" s="622">
        <v>1</v>
      </c>
      <c r="F136" s="621">
        <f t="shared" si="13"/>
        <v>1</v>
      </c>
      <c r="G136" s="622">
        <f t="shared" si="14"/>
        <v>0.49090457251500325</v>
      </c>
      <c r="H136" s="391">
        <f t="shared" si="15"/>
        <v>0</v>
      </c>
      <c r="M136" s="951"/>
      <c r="N136" s="953"/>
    </row>
    <row r="137" spans="1:15">
      <c r="A137" s="1069">
        <f t="shared" si="9"/>
        <v>123</v>
      </c>
      <c r="B137" s="682">
        <v>38000</v>
      </c>
      <c r="C137" s="4" t="s">
        <v>1072</v>
      </c>
      <c r="D137" s="578">
        <v>0</v>
      </c>
      <c r="E137" s="622">
        <v>1</v>
      </c>
      <c r="F137" s="621">
        <f t="shared" si="13"/>
        <v>1</v>
      </c>
      <c r="G137" s="622">
        <f t="shared" si="14"/>
        <v>0.49090457251500325</v>
      </c>
      <c r="H137" s="391">
        <f t="shared" si="15"/>
        <v>0</v>
      </c>
    </row>
    <row r="138" spans="1:15">
      <c r="A138" s="1069">
        <f t="shared" si="9"/>
        <v>124</v>
      </c>
      <c r="B138" s="682">
        <v>38100</v>
      </c>
      <c r="C138" s="4" t="s">
        <v>863</v>
      </c>
      <c r="D138" s="578">
        <v>0</v>
      </c>
      <c r="E138" s="622">
        <v>1</v>
      </c>
      <c r="F138" s="621">
        <f t="shared" si="13"/>
        <v>1</v>
      </c>
      <c r="G138" s="622">
        <f t="shared" si="14"/>
        <v>0.49090457251500325</v>
      </c>
      <c r="H138" s="391">
        <f t="shared" si="15"/>
        <v>0</v>
      </c>
      <c r="M138" s="951"/>
      <c r="N138" s="952"/>
    </row>
    <row r="139" spans="1:15">
      <c r="A139" s="1069">
        <f t="shared" si="9"/>
        <v>125</v>
      </c>
      <c r="B139" s="682">
        <v>38200</v>
      </c>
      <c r="C139" s="4" t="s">
        <v>456</v>
      </c>
      <c r="D139" s="578">
        <v>0</v>
      </c>
      <c r="E139" s="622">
        <v>1</v>
      </c>
      <c r="F139" s="621">
        <f t="shared" si="13"/>
        <v>1</v>
      </c>
      <c r="G139" s="622">
        <f t="shared" si="14"/>
        <v>0.49090457251500325</v>
      </c>
      <c r="H139" s="391">
        <f t="shared" si="15"/>
        <v>0</v>
      </c>
    </row>
    <row r="140" spans="1:15">
      <c r="A140" s="1069">
        <f t="shared" si="9"/>
        <v>126</v>
      </c>
      <c r="B140" s="682">
        <v>38300</v>
      </c>
      <c r="C140" s="4" t="s">
        <v>1073</v>
      </c>
      <c r="D140" s="578">
        <v>0</v>
      </c>
      <c r="E140" s="622">
        <v>1</v>
      </c>
      <c r="F140" s="621">
        <f t="shared" si="13"/>
        <v>1</v>
      </c>
      <c r="G140" s="622">
        <f t="shared" si="14"/>
        <v>0.49090457251500325</v>
      </c>
      <c r="H140" s="391">
        <f t="shared" si="15"/>
        <v>0</v>
      </c>
      <c r="M140" s="951"/>
      <c r="N140" s="952"/>
    </row>
    <row r="141" spans="1:15">
      <c r="A141" s="1069">
        <f t="shared" si="9"/>
        <v>127</v>
      </c>
      <c r="B141" s="682">
        <v>38400</v>
      </c>
      <c r="C141" s="4" t="s">
        <v>457</v>
      </c>
      <c r="D141" s="578">
        <v>0</v>
      </c>
      <c r="E141" s="622">
        <v>1</v>
      </c>
      <c r="F141" s="621">
        <f t="shared" si="13"/>
        <v>1</v>
      </c>
      <c r="G141" s="622">
        <f t="shared" si="14"/>
        <v>0.49090457251500325</v>
      </c>
      <c r="H141" s="391">
        <f t="shared" si="15"/>
        <v>0</v>
      </c>
    </row>
    <row r="142" spans="1:15">
      <c r="A142" s="1069">
        <f t="shared" si="9"/>
        <v>128</v>
      </c>
      <c r="B142" s="682">
        <v>38500</v>
      </c>
      <c r="C142" s="4" t="s">
        <v>458</v>
      </c>
      <c r="D142" s="578">
        <v>0</v>
      </c>
      <c r="E142" s="622">
        <v>1</v>
      </c>
      <c r="F142" s="621">
        <f t="shared" si="13"/>
        <v>1</v>
      </c>
      <c r="G142" s="622">
        <f t="shared" si="14"/>
        <v>0.49090457251500325</v>
      </c>
      <c r="H142" s="391">
        <f t="shared" si="15"/>
        <v>0</v>
      </c>
    </row>
    <row r="143" spans="1:15">
      <c r="A143" s="1069">
        <f t="shared" si="9"/>
        <v>129</v>
      </c>
      <c r="B143" s="682">
        <v>38600</v>
      </c>
      <c r="C143" s="4" t="s">
        <v>111</v>
      </c>
      <c r="D143" s="1141">
        <v>0</v>
      </c>
      <c r="E143" s="622">
        <v>1</v>
      </c>
      <c r="F143" s="621">
        <f t="shared" si="13"/>
        <v>1</v>
      </c>
      <c r="G143" s="622">
        <f t="shared" si="14"/>
        <v>0.49090457251500325</v>
      </c>
      <c r="H143" s="392">
        <f t="shared" si="15"/>
        <v>0</v>
      </c>
    </row>
    <row r="144" spans="1:15">
      <c r="A144" s="1069">
        <f t="shared" si="9"/>
        <v>130</v>
      </c>
      <c r="B144" s="682"/>
      <c r="C144" s="4"/>
      <c r="D144" s="106"/>
      <c r="E144" s="1128"/>
    </row>
    <row r="145" spans="1:14">
      <c r="A145" s="1069">
        <f t="shared" ref="A145:A208" si="16">A144+1</f>
        <v>131</v>
      </c>
      <c r="B145" s="682"/>
      <c r="C145" s="4" t="s">
        <v>1379</v>
      </c>
      <c r="D145" s="445">
        <f>SUM(D123:D144)</f>
        <v>0</v>
      </c>
      <c r="E145" s="949"/>
      <c r="H145" s="382">
        <f>SUM(H123:H144)</f>
        <v>0</v>
      </c>
    </row>
    <row r="146" spans="1:14">
      <c r="A146" s="1069">
        <f t="shared" si="16"/>
        <v>132</v>
      </c>
      <c r="B146" s="682"/>
      <c r="C146" s="4"/>
      <c r="D146" s="106"/>
      <c r="E146" s="1128"/>
    </row>
    <row r="147" spans="1:14">
      <c r="A147" s="1069">
        <f t="shared" si="16"/>
        <v>133</v>
      </c>
      <c r="B147" s="465"/>
      <c r="C147" s="17" t="s">
        <v>309</v>
      </c>
      <c r="D147" s="106"/>
      <c r="E147" s="1128"/>
    </row>
    <row r="148" spans="1:14">
      <c r="A148" s="1069">
        <f t="shared" si="16"/>
        <v>134</v>
      </c>
      <c r="B148" s="682">
        <v>39001</v>
      </c>
      <c r="C148" s="4" t="s">
        <v>556</v>
      </c>
      <c r="D148" s="445">
        <v>4806.272336</v>
      </c>
      <c r="E148" s="622">
        <v>1</v>
      </c>
      <c r="F148" s="621">
        <f t="shared" ref="F148:F163" si="17">$F$16</f>
        <v>1</v>
      </c>
      <c r="G148" s="622">
        <f t="shared" ref="G148:G163" si="18">$G$117</f>
        <v>0.49090457251500325</v>
      </c>
      <c r="H148" s="382">
        <f t="shared" ref="H148:H163" si="19">D148*E148*F148*G148</f>
        <v>2359.4210664947659</v>
      </c>
      <c r="N148" s="622"/>
    </row>
    <row r="149" spans="1:14">
      <c r="A149" s="1069">
        <f t="shared" si="16"/>
        <v>135</v>
      </c>
      <c r="B149" s="682">
        <v>39004</v>
      </c>
      <c r="C149" s="4" t="s">
        <v>459</v>
      </c>
      <c r="D149" s="445">
        <v>0</v>
      </c>
      <c r="E149" s="622">
        <v>1</v>
      </c>
      <c r="F149" s="621">
        <f t="shared" si="17"/>
        <v>1</v>
      </c>
      <c r="G149" s="622">
        <f t="shared" si="18"/>
        <v>0.49090457251500325</v>
      </c>
      <c r="H149" s="391">
        <f t="shared" si="19"/>
        <v>0</v>
      </c>
      <c r="N149" s="622"/>
    </row>
    <row r="150" spans="1:14">
      <c r="A150" s="1069">
        <f t="shared" si="16"/>
        <v>136</v>
      </c>
      <c r="B150" s="682">
        <v>39009</v>
      </c>
      <c r="C150" s="4" t="s">
        <v>1056</v>
      </c>
      <c r="D150" s="445">
        <v>7659.75</v>
      </c>
      <c r="E150" s="622">
        <v>1</v>
      </c>
      <c r="F150" s="621">
        <f t="shared" si="17"/>
        <v>1</v>
      </c>
      <c r="G150" s="622">
        <f t="shared" si="18"/>
        <v>0.49090457251500325</v>
      </c>
      <c r="H150" s="391">
        <f t="shared" si="19"/>
        <v>3760.206299321796</v>
      </c>
      <c r="N150" s="622"/>
    </row>
    <row r="151" spans="1:14">
      <c r="A151" s="1069">
        <f t="shared" si="16"/>
        <v>137</v>
      </c>
      <c r="B151" s="682">
        <v>39100</v>
      </c>
      <c r="C151" s="4" t="s">
        <v>796</v>
      </c>
      <c r="D151" s="445">
        <v>1244.0405833333336</v>
      </c>
      <c r="E151" s="622">
        <v>1</v>
      </c>
      <c r="F151" s="621">
        <f t="shared" si="17"/>
        <v>1</v>
      </c>
      <c r="G151" s="622">
        <f t="shared" si="18"/>
        <v>0.49090457251500325</v>
      </c>
      <c r="H151" s="391">
        <f t="shared" si="19"/>
        <v>610.70521075256545</v>
      </c>
      <c r="N151" s="622"/>
    </row>
    <row r="152" spans="1:14">
      <c r="A152" s="1069">
        <f t="shared" si="16"/>
        <v>138</v>
      </c>
      <c r="B152" s="682">
        <v>39200</v>
      </c>
      <c r="C152" s="4" t="s">
        <v>1096</v>
      </c>
      <c r="D152" s="445">
        <v>0</v>
      </c>
      <c r="E152" s="1146">
        <v>1</v>
      </c>
      <c r="F152" s="621">
        <f t="shared" si="17"/>
        <v>1</v>
      </c>
      <c r="G152" s="622">
        <f t="shared" si="18"/>
        <v>0.49090457251500325</v>
      </c>
      <c r="H152" s="391">
        <f t="shared" si="19"/>
        <v>0</v>
      </c>
      <c r="K152" s="794"/>
      <c r="N152" s="622"/>
    </row>
    <row r="153" spans="1:14">
      <c r="A153" s="1069">
        <f t="shared" si="16"/>
        <v>139</v>
      </c>
      <c r="B153" s="682">
        <v>39400</v>
      </c>
      <c r="C153" s="4" t="s">
        <v>1055</v>
      </c>
      <c r="D153" s="445">
        <v>5566.0536400000019</v>
      </c>
      <c r="E153" s="1146">
        <v>0.43606356895167786</v>
      </c>
      <c r="F153" s="621">
        <f t="shared" si="17"/>
        <v>1</v>
      </c>
      <c r="G153" s="622">
        <f t="shared" si="18"/>
        <v>0.49090457251500325</v>
      </c>
      <c r="H153" s="391">
        <f t="shared" si="19"/>
        <v>1191.5006115532935</v>
      </c>
      <c r="K153" s="794"/>
      <c r="N153" s="622"/>
    </row>
    <row r="154" spans="1:14">
      <c r="A154" s="1069">
        <f t="shared" si="16"/>
        <v>140</v>
      </c>
      <c r="B154" s="682">
        <v>39600</v>
      </c>
      <c r="C154" s="4" t="s">
        <v>557</v>
      </c>
      <c r="D154" s="445">
        <v>481.22061200000007</v>
      </c>
      <c r="E154" s="1146">
        <v>2.0000858405940236E-2</v>
      </c>
      <c r="F154" s="621">
        <f t="shared" si="17"/>
        <v>1</v>
      </c>
      <c r="G154" s="622">
        <f t="shared" si="18"/>
        <v>0.49090457251500325</v>
      </c>
      <c r="H154" s="391">
        <f t="shared" si="19"/>
        <v>4.7248707605381943</v>
      </c>
      <c r="K154" s="794"/>
      <c r="N154" s="622"/>
    </row>
    <row r="155" spans="1:14">
      <c r="A155" s="1069">
        <f t="shared" si="16"/>
        <v>141</v>
      </c>
      <c r="B155" s="465">
        <v>39700</v>
      </c>
      <c r="C155" s="4" t="s">
        <v>454</v>
      </c>
      <c r="D155" s="445">
        <v>5296.2787905000005</v>
      </c>
      <c r="E155" s="622">
        <v>1</v>
      </c>
      <c r="F155" s="621">
        <f t="shared" si="17"/>
        <v>1</v>
      </c>
      <c r="G155" s="622">
        <f t="shared" si="18"/>
        <v>0.49090457251500325</v>
      </c>
      <c r="H155" s="391">
        <f t="shared" si="19"/>
        <v>2599.967475570681</v>
      </c>
      <c r="N155" s="622"/>
    </row>
    <row r="156" spans="1:14">
      <c r="A156" s="1069">
        <f t="shared" si="16"/>
        <v>142</v>
      </c>
      <c r="B156" s="465">
        <v>39800</v>
      </c>
      <c r="C156" s="4" t="s">
        <v>666</v>
      </c>
      <c r="D156" s="445">
        <v>30613.317846000009</v>
      </c>
      <c r="E156" s="622">
        <v>1</v>
      </c>
      <c r="F156" s="621">
        <f t="shared" si="17"/>
        <v>1</v>
      </c>
      <c r="G156" s="622">
        <f t="shared" si="18"/>
        <v>0.49090457251500325</v>
      </c>
      <c r="H156" s="391">
        <f t="shared" si="19"/>
        <v>15028.217710456554</v>
      </c>
      <c r="N156" s="622"/>
    </row>
    <row r="157" spans="1:14">
      <c r="A157" s="1069">
        <f t="shared" si="16"/>
        <v>143</v>
      </c>
      <c r="B157" s="465">
        <v>39900</v>
      </c>
      <c r="C157" s="4" t="s">
        <v>1173</v>
      </c>
      <c r="D157" s="445">
        <v>0</v>
      </c>
      <c r="E157" s="622">
        <v>1</v>
      </c>
      <c r="F157" s="621">
        <f t="shared" si="17"/>
        <v>1</v>
      </c>
      <c r="G157" s="622">
        <f t="shared" si="18"/>
        <v>0.49090457251500325</v>
      </c>
      <c r="H157" s="391">
        <f t="shared" si="19"/>
        <v>0</v>
      </c>
      <c r="N157" s="622"/>
    </row>
    <row r="158" spans="1:14">
      <c r="A158" s="1069">
        <f t="shared" si="16"/>
        <v>144</v>
      </c>
      <c r="B158" s="465">
        <v>39901</v>
      </c>
      <c r="C158" s="4" t="s">
        <v>489</v>
      </c>
      <c r="D158" s="445">
        <v>21684.193019999995</v>
      </c>
      <c r="E158" s="622">
        <v>1</v>
      </c>
      <c r="F158" s="621">
        <f t="shared" si="17"/>
        <v>1</v>
      </c>
      <c r="G158" s="622">
        <f t="shared" si="18"/>
        <v>0.49090457251500325</v>
      </c>
      <c r="H158" s="391">
        <f t="shared" si="19"/>
        <v>10644.869504815915</v>
      </c>
      <c r="N158" s="622"/>
    </row>
    <row r="159" spans="1:14">
      <c r="A159" s="1069">
        <f t="shared" si="16"/>
        <v>145</v>
      </c>
      <c r="B159" s="465">
        <v>39902</v>
      </c>
      <c r="C159" s="4" t="s">
        <v>979</v>
      </c>
      <c r="D159" s="445">
        <v>0</v>
      </c>
      <c r="E159" s="622">
        <v>1</v>
      </c>
      <c r="F159" s="621">
        <f t="shared" si="17"/>
        <v>1</v>
      </c>
      <c r="G159" s="622">
        <f t="shared" si="18"/>
        <v>0.49090457251500325</v>
      </c>
      <c r="H159" s="391">
        <f t="shared" si="19"/>
        <v>0</v>
      </c>
      <c r="N159" s="622"/>
    </row>
    <row r="160" spans="1:14">
      <c r="A160" s="1069">
        <f t="shared" si="16"/>
        <v>146</v>
      </c>
      <c r="B160" s="465">
        <v>39903</v>
      </c>
      <c r="C160" s="4" t="s">
        <v>1022</v>
      </c>
      <c r="D160" s="445">
        <v>0</v>
      </c>
      <c r="E160" s="622">
        <v>1</v>
      </c>
      <c r="F160" s="621">
        <f t="shared" si="17"/>
        <v>1</v>
      </c>
      <c r="G160" s="622">
        <f t="shared" si="18"/>
        <v>0.49090457251500325</v>
      </c>
      <c r="H160" s="391">
        <f t="shared" si="19"/>
        <v>0</v>
      </c>
      <c r="N160" s="622"/>
    </row>
    <row r="161" spans="1:14">
      <c r="A161" s="1069">
        <f t="shared" si="16"/>
        <v>147</v>
      </c>
      <c r="B161" s="465">
        <v>39906</v>
      </c>
      <c r="C161" s="4" t="s">
        <v>465</v>
      </c>
      <c r="D161" s="445">
        <v>0</v>
      </c>
      <c r="E161" s="622">
        <v>1</v>
      </c>
      <c r="F161" s="621">
        <f t="shared" si="17"/>
        <v>1</v>
      </c>
      <c r="G161" s="622">
        <f t="shared" si="18"/>
        <v>0.49090457251500325</v>
      </c>
      <c r="H161" s="391">
        <f t="shared" si="19"/>
        <v>0</v>
      </c>
      <c r="N161" s="622"/>
    </row>
    <row r="162" spans="1:14">
      <c r="A162" s="1069">
        <f t="shared" si="16"/>
        <v>148</v>
      </c>
      <c r="B162" s="465">
        <v>39907</v>
      </c>
      <c r="C162" s="4" t="s">
        <v>520</v>
      </c>
      <c r="D162" s="445">
        <v>8319.1757770000022</v>
      </c>
      <c r="E162" s="622">
        <v>1</v>
      </c>
      <c r="F162" s="621">
        <f t="shared" si="17"/>
        <v>1</v>
      </c>
      <c r="G162" s="622">
        <f t="shared" si="18"/>
        <v>0.49090457251500325</v>
      </c>
      <c r="H162" s="391">
        <f t="shared" si="19"/>
        <v>4083.921428485356</v>
      </c>
      <c r="N162" s="622"/>
    </row>
    <row r="163" spans="1:14">
      <c r="A163" s="1069">
        <f t="shared" si="16"/>
        <v>149</v>
      </c>
      <c r="B163" s="465">
        <v>39908</v>
      </c>
      <c r="C163" s="4" t="s">
        <v>184</v>
      </c>
      <c r="D163" s="445">
        <v>0</v>
      </c>
      <c r="E163" s="622">
        <v>1</v>
      </c>
      <c r="F163" s="621">
        <f t="shared" si="17"/>
        <v>1</v>
      </c>
      <c r="G163" s="622">
        <f t="shared" si="18"/>
        <v>0.49090457251500325</v>
      </c>
      <c r="H163" s="391">
        <f t="shared" si="19"/>
        <v>0</v>
      </c>
      <c r="N163" s="622"/>
    </row>
    <row r="164" spans="1:14">
      <c r="A164" s="1069">
        <f t="shared" si="16"/>
        <v>150</v>
      </c>
      <c r="B164" s="465"/>
      <c r="C164" s="115"/>
      <c r="D164" s="578"/>
      <c r="E164" s="622"/>
      <c r="F164" s="621"/>
      <c r="G164" s="622"/>
      <c r="H164" s="391"/>
    </row>
    <row r="165" spans="1:14">
      <c r="A165" s="1069">
        <f t="shared" si="16"/>
        <v>151</v>
      </c>
      <c r="B165" s="507"/>
      <c r="C165" s="4"/>
      <c r="D165" s="809"/>
      <c r="E165" s="1137"/>
      <c r="H165" s="786"/>
    </row>
    <row r="166" spans="1:14">
      <c r="A166" s="1069">
        <f t="shared" si="16"/>
        <v>152</v>
      </c>
      <c r="B166" s="507"/>
      <c r="C166" s="4" t="s">
        <v>1378</v>
      </c>
      <c r="D166" s="445">
        <f>SUM(D148:D164)</f>
        <v>85670.302604833341</v>
      </c>
      <c r="E166" s="1147"/>
      <c r="H166" s="382">
        <f>SUM(H148:H164)</f>
        <v>40283.53417821147</v>
      </c>
    </row>
    <row r="167" spans="1:14">
      <c r="A167" s="1069">
        <f t="shared" si="16"/>
        <v>153</v>
      </c>
      <c r="B167" s="507"/>
      <c r="C167" s="4"/>
      <c r="D167" s="106"/>
      <c r="E167" s="1137"/>
    </row>
    <row r="168" spans="1:14" ht="15.75" thickBot="1">
      <c r="A168" s="1069">
        <f t="shared" si="16"/>
        <v>154</v>
      </c>
      <c r="B168" s="507"/>
      <c r="C168" s="4" t="s">
        <v>1374</v>
      </c>
      <c r="D168" s="425">
        <f>D120+D145+D166</f>
        <v>85670.302604833341</v>
      </c>
      <c r="E168" s="1147"/>
      <c r="H168" s="422">
        <f>H120+H145+H166</f>
        <v>40283.53417821147</v>
      </c>
      <c r="K168" s="1055"/>
      <c r="L168" s="106"/>
    </row>
    <row r="169" spans="1:14" ht="15.75" thickTop="1">
      <c r="A169" s="1069">
        <f t="shared" si="16"/>
        <v>155</v>
      </c>
      <c r="B169" s="403"/>
      <c r="D169" s="578"/>
      <c r="E169" s="1137"/>
    </row>
    <row r="170" spans="1:14" ht="15.75">
      <c r="A170" s="1069">
        <f t="shared" si="16"/>
        <v>156</v>
      </c>
      <c r="B170" s="416" t="s">
        <v>8</v>
      </c>
      <c r="D170" s="578"/>
      <c r="E170" s="1128"/>
    </row>
    <row r="171" spans="1:14">
      <c r="A171" s="1069">
        <f t="shared" si="16"/>
        <v>157</v>
      </c>
      <c r="D171" s="578"/>
      <c r="E171" s="1128"/>
    </row>
    <row r="172" spans="1:14">
      <c r="A172" s="1069">
        <f t="shared" si="16"/>
        <v>158</v>
      </c>
      <c r="B172" s="507"/>
      <c r="C172" s="810" t="s">
        <v>309</v>
      </c>
      <c r="D172" s="578"/>
      <c r="E172" s="1128"/>
      <c r="F172" s="239"/>
    </row>
    <row r="173" spans="1:14">
      <c r="A173" s="1069">
        <f t="shared" si="16"/>
        <v>159</v>
      </c>
      <c r="B173" s="682">
        <v>39000</v>
      </c>
      <c r="C173" s="115" t="s">
        <v>874</v>
      </c>
      <c r="D173" s="445">
        <v>70255.987255329164</v>
      </c>
      <c r="E173" s="620">
        <v>1</v>
      </c>
      <c r="F173" s="622">
        <f>Allocation!$C$14</f>
        <v>0.1071</v>
      </c>
      <c r="G173" s="622">
        <f>Allocation!$D$14</f>
        <v>0.49090457251500325</v>
      </c>
      <c r="H173" s="382">
        <f>D173*E173*F173*G173</f>
        <v>3693.7703352900858</v>
      </c>
      <c r="N173" s="622"/>
    </row>
    <row r="174" spans="1:14">
      <c r="A174" s="1069">
        <f t="shared" si="16"/>
        <v>160</v>
      </c>
      <c r="B174" s="682">
        <v>39005</v>
      </c>
      <c r="C174" s="115" t="s">
        <v>1217</v>
      </c>
      <c r="D174" s="445">
        <v>276901.95535100001</v>
      </c>
      <c r="E174" s="620">
        <v>1</v>
      </c>
      <c r="F174" s="808">
        <v>1</v>
      </c>
      <c r="G174" s="622">
        <f>Allocation!$I$20</f>
        <v>1.5418259551017742E-2</v>
      </c>
      <c r="H174" s="391">
        <f t="shared" ref="H174:H194" si="20">D174*E174*F174*G174</f>
        <v>4269.3462177860447</v>
      </c>
      <c r="N174" s="622"/>
    </row>
    <row r="175" spans="1:14">
      <c r="A175" s="1069">
        <f t="shared" si="16"/>
        <v>161</v>
      </c>
      <c r="B175" s="682">
        <v>39009</v>
      </c>
      <c r="C175" s="115" t="s">
        <v>1056</v>
      </c>
      <c r="D175" s="445">
        <v>314437.93366501841</v>
      </c>
      <c r="E175" s="620">
        <v>1</v>
      </c>
      <c r="F175" s="622">
        <f t="shared" ref="F175:F196" si="21">$F$173</f>
        <v>0.1071</v>
      </c>
      <c r="G175" s="555">
        <f t="shared" ref="G175:G196" si="22">$G$173</f>
        <v>0.49090457251500325</v>
      </c>
      <c r="H175" s="391">
        <f t="shared" si="20"/>
        <v>16531.850978631803</v>
      </c>
      <c r="N175" s="622"/>
    </row>
    <row r="176" spans="1:14">
      <c r="A176" s="1069">
        <f t="shared" si="16"/>
        <v>162</v>
      </c>
      <c r="B176" s="682">
        <v>39100</v>
      </c>
      <c r="C176" s="115" t="s">
        <v>796</v>
      </c>
      <c r="D176" s="445">
        <v>445069.94758115447</v>
      </c>
      <c r="E176" s="620">
        <v>1</v>
      </c>
      <c r="F176" s="622">
        <f t="shared" si="21"/>
        <v>0.1071</v>
      </c>
      <c r="G176" s="555">
        <f t="shared" si="22"/>
        <v>0.49090457251500325</v>
      </c>
      <c r="H176" s="391">
        <f t="shared" si="20"/>
        <v>23399.944029392023</v>
      </c>
      <c r="N176" s="622"/>
    </row>
    <row r="177" spans="1:14">
      <c r="A177" s="1069">
        <f t="shared" si="16"/>
        <v>163</v>
      </c>
      <c r="B177" s="682">
        <v>39102</v>
      </c>
      <c r="C177" s="115" t="s">
        <v>542</v>
      </c>
      <c r="D177" s="445">
        <v>0</v>
      </c>
      <c r="E177" s="620">
        <v>1</v>
      </c>
      <c r="F177" s="622">
        <f t="shared" si="21"/>
        <v>0.1071</v>
      </c>
      <c r="G177" s="555">
        <f t="shared" si="22"/>
        <v>0.49090457251500325</v>
      </c>
      <c r="H177" s="391">
        <f t="shared" si="20"/>
        <v>0</v>
      </c>
      <c r="N177" s="622"/>
    </row>
    <row r="178" spans="1:14">
      <c r="A178" s="1069">
        <f t="shared" si="16"/>
        <v>164</v>
      </c>
      <c r="B178" s="683">
        <v>39103</v>
      </c>
      <c r="C178" s="115" t="s">
        <v>797</v>
      </c>
      <c r="D178" s="445">
        <v>0</v>
      </c>
      <c r="E178" s="620">
        <v>1</v>
      </c>
      <c r="F178" s="622">
        <f t="shared" si="21"/>
        <v>0.1071</v>
      </c>
      <c r="G178" s="555">
        <f t="shared" si="22"/>
        <v>0.49090457251500325</v>
      </c>
      <c r="H178" s="391">
        <f t="shared" si="20"/>
        <v>0</v>
      </c>
      <c r="N178" s="622"/>
    </row>
    <row r="179" spans="1:14">
      <c r="A179" s="1069">
        <f t="shared" si="16"/>
        <v>165</v>
      </c>
      <c r="B179" s="682">
        <v>39104</v>
      </c>
      <c r="C179" s="106" t="s">
        <v>1218</v>
      </c>
      <c r="D179" s="445">
        <v>2524.1376600000003</v>
      </c>
      <c r="E179" s="620">
        <v>1</v>
      </c>
      <c r="F179" s="808">
        <v>1</v>
      </c>
      <c r="G179" s="622">
        <f>Allocation!$I$20</f>
        <v>1.5418259551017742E-2</v>
      </c>
      <c r="H179" s="391">
        <f t="shared" si="20"/>
        <v>38.917809584378581</v>
      </c>
      <c r="N179" s="622"/>
    </row>
    <row r="180" spans="1:14">
      <c r="A180" s="1069">
        <f t="shared" si="16"/>
        <v>166</v>
      </c>
      <c r="B180" s="682">
        <v>39200</v>
      </c>
      <c r="C180" s="115" t="s">
        <v>1096</v>
      </c>
      <c r="D180" s="445">
        <v>718.73862850000012</v>
      </c>
      <c r="E180" s="620">
        <v>1</v>
      </c>
      <c r="F180" s="622">
        <f t="shared" si="21"/>
        <v>0.1071</v>
      </c>
      <c r="G180" s="555">
        <f t="shared" si="22"/>
        <v>0.49090457251500325</v>
      </c>
      <c r="H180" s="391">
        <f t="shared" si="20"/>
        <v>37.7883156795153</v>
      </c>
      <c r="N180" s="622"/>
    </row>
    <row r="181" spans="1:14">
      <c r="A181" s="1069">
        <f t="shared" si="16"/>
        <v>167</v>
      </c>
      <c r="B181" s="682">
        <v>39300</v>
      </c>
      <c r="C181" s="115" t="s">
        <v>665</v>
      </c>
      <c r="D181" s="445">
        <v>0</v>
      </c>
      <c r="E181" s="620">
        <v>1</v>
      </c>
      <c r="F181" s="622">
        <f t="shared" si="21"/>
        <v>0.1071</v>
      </c>
      <c r="G181" s="555">
        <f t="shared" si="22"/>
        <v>0.49090457251500325</v>
      </c>
      <c r="H181" s="391">
        <f t="shared" si="20"/>
        <v>0</v>
      </c>
      <c r="N181" s="622"/>
    </row>
    <row r="182" spans="1:14">
      <c r="A182" s="1069">
        <f t="shared" si="16"/>
        <v>168</v>
      </c>
      <c r="B182" s="682">
        <v>39400</v>
      </c>
      <c r="C182" s="115" t="s">
        <v>1055</v>
      </c>
      <c r="D182" s="445">
        <v>136810.54097884436</v>
      </c>
      <c r="E182" s="620">
        <v>1</v>
      </c>
      <c r="F182" s="622">
        <f t="shared" si="21"/>
        <v>0.1071</v>
      </c>
      <c r="G182" s="555">
        <f t="shared" si="22"/>
        <v>0.49090457251500325</v>
      </c>
      <c r="H182" s="391">
        <f t="shared" si="20"/>
        <v>7192.9345464334301</v>
      </c>
      <c r="N182" s="622"/>
    </row>
    <row r="183" spans="1:14">
      <c r="A183" s="1069">
        <f t="shared" si="16"/>
        <v>169</v>
      </c>
      <c r="B183" s="682">
        <v>39500</v>
      </c>
      <c r="C183" s="4" t="s">
        <v>1219</v>
      </c>
      <c r="D183" s="445">
        <v>2375.0230350000002</v>
      </c>
      <c r="E183" s="620">
        <v>1</v>
      </c>
      <c r="F183" s="555">
        <f t="shared" si="21"/>
        <v>0.1071</v>
      </c>
      <c r="G183" s="555">
        <f t="shared" si="22"/>
        <v>0.49090457251500325</v>
      </c>
      <c r="H183" s="391">
        <f t="shared" si="20"/>
        <v>124.86892541173678</v>
      </c>
      <c r="N183" s="622"/>
    </row>
    <row r="184" spans="1:14">
      <c r="A184" s="1069">
        <f t="shared" si="16"/>
        <v>170</v>
      </c>
      <c r="B184" s="465">
        <v>39700</v>
      </c>
      <c r="C184" s="4" t="s">
        <v>454</v>
      </c>
      <c r="D184" s="445">
        <v>149150.99773317954</v>
      </c>
      <c r="E184" s="620">
        <v>1</v>
      </c>
      <c r="F184" s="555">
        <f t="shared" si="21"/>
        <v>0.1071</v>
      </c>
      <c r="G184" s="555">
        <f t="shared" si="22"/>
        <v>0.49090457251500325</v>
      </c>
      <c r="H184" s="391">
        <f t="shared" si="20"/>
        <v>7841.7449163942601</v>
      </c>
      <c r="N184" s="622"/>
    </row>
    <row r="185" spans="1:14">
      <c r="A185" s="1069">
        <f t="shared" si="16"/>
        <v>171</v>
      </c>
      <c r="B185" s="465">
        <v>39800</v>
      </c>
      <c r="C185" s="4" t="s">
        <v>666</v>
      </c>
      <c r="D185" s="445">
        <v>29183.424545880585</v>
      </c>
      <c r="E185" s="620">
        <v>1</v>
      </c>
      <c r="F185" s="555">
        <f t="shared" si="21"/>
        <v>0.1071</v>
      </c>
      <c r="G185" s="555">
        <f t="shared" si="22"/>
        <v>0.49090457251500325</v>
      </c>
      <c r="H185" s="391">
        <f t="shared" si="20"/>
        <v>1534.3442186355935</v>
      </c>
      <c r="N185" s="622"/>
    </row>
    <row r="186" spans="1:14">
      <c r="A186" s="1069">
        <f t="shared" si="16"/>
        <v>172</v>
      </c>
      <c r="B186" s="465">
        <v>39900</v>
      </c>
      <c r="C186" s="4" t="s">
        <v>1173</v>
      </c>
      <c r="D186" s="445">
        <v>21954.290980000005</v>
      </c>
      <c r="E186" s="620">
        <v>1</v>
      </c>
      <c r="F186" s="555">
        <f t="shared" si="21"/>
        <v>0.1071</v>
      </c>
      <c r="G186" s="555">
        <f t="shared" si="22"/>
        <v>0.49090457251500325</v>
      </c>
      <c r="H186" s="391">
        <f t="shared" si="20"/>
        <v>1154.2661618223783</v>
      </c>
      <c r="N186" s="622"/>
    </row>
    <row r="187" spans="1:14">
      <c r="A187" s="1069">
        <f t="shared" si="16"/>
        <v>173</v>
      </c>
      <c r="B187" s="465">
        <v>39901</v>
      </c>
      <c r="C187" s="4" t="s">
        <v>489</v>
      </c>
      <c r="D187" s="445">
        <v>2982346.6321798353</v>
      </c>
      <c r="E187" s="620">
        <v>1</v>
      </c>
      <c r="F187" s="555">
        <f t="shared" si="21"/>
        <v>0.1071</v>
      </c>
      <c r="G187" s="555">
        <f t="shared" si="22"/>
        <v>0.49090457251500325</v>
      </c>
      <c r="H187" s="391">
        <f t="shared" si="20"/>
        <v>156799.49780596897</v>
      </c>
      <c r="N187" s="622"/>
    </row>
    <row r="188" spans="1:14">
      <c r="A188" s="1069">
        <f t="shared" si="16"/>
        <v>174</v>
      </c>
      <c r="B188" s="465">
        <v>39902</v>
      </c>
      <c r="C188" s="4" t="s">
        <v>979</v>
      </c>
      <c r="D188" s="445">
        <v>1726500.5243235035</v>
      </c>
      <c r="E188" s="620">
        <v>1</v>
      </c>
      <c r="F188" s="555">
        <f t="shared" si="21"/>
        <v>0.1071</v>
      </c>
      <c r="G188" s="555">
        <f t="shared" si="22"/>
        <v>0.49090457251500325</v>
      </c>
      <c r="H188" s="391">
        <f t="shared" si="20"/>
        <v>90772.283897059548</v>
      </c>
      <c r="N188" s="622"/>
    </row>
    <row r="189" spans="1:14">
      <c r="A189" s="1069">
        <f t="shared" si="16"/>
        <v>175</v>
      </c>
      <c r="B189" s="465">
        <v>39903</v>
      </c>
      <c r="C189" s="4" t="s">
        <v>1022</v>
      </c>
      <c r="D189" s="445">
        <v>237759.58133916042</v>
      </c>
      <c r="E189" s="620">
        <v>1</v>
      </c>
      <c r="F189" s="555">
        <f t="shared" si="21"/>
        <v>0.1071</v>
      </c>
      <c r="G189" s="555">
        <f t="shared" si="22"/>
        <v>0.49090457251500325</v>
      </c>
      <c r="H189" s="391">
        <f t="shared" si="20"/>
        <v>12500.41914989906</v>
      </c>
      <c r="N189" s="622"/>
    </row>
    <row r="190" spans="1:14">
      <c r="A190" s="1069">
        <f t="shared" si="16"/>
        <v>176</v>
      </c>
      <c r="B190" s="465">
        <v>39904</v>
      </c>
      <c r="C190" s="4" t="s">
        <v>1198</v>
      </c>
      <c r="D190" s="445">
        <v>0</v>
      </c>
      <c r="E190" s="620">
        <v>1</v>
      </c>
      <c r="F190" s="555">
        <f t="shared" si="21"/>
        <v>0.1071</v>
      </c>
      <c r="G190" s="555">
        <f t="shared" si="22"/>
        <v>0.49090457251500325</v>
      </c>
      <c r="H190" s="391">
        <f t="shared" si="20"/>
        <v>0</v>
      </c>
      <c r="N190" s="622"/>
    </row>
    <row r="191" spans="1:14">
      <c r="A191" s="1069">
        <f t="shared" si="16"/>
        <v>177</v>
      </c>
      <c r="B191" s="465">
        <v>39905</v>
      </c>
      <c r="C191" s="4" t="s">
        <v>512</v>
      </c>
      <c r="D191" s="445">
        <v>0</v>
      </c>
      <c r="E191" s="620">
        <v>1</v>
      </c>
      <c r="F191" s="555">
        <f t="shared" si="21"/>
        <v>0.1071</v>
      </c>
      <c r="G191" s="555">
        <f t="shared" si="22"/>
        <v>0.49090457251500325</v>
      </c>
      <c r="H191" s="391">
        <f t="shared" si="20"/>
        <v>0</v>
      </c>
      <c r="N191" s="622"/>
    </row>
    <row r="192" spans="1:14">
      <c r="A192" s="1069">
        <f t="shared" si="16"/>
        <v>178</v>
      </c>
      <c r="B192" s="465">
        <v>39906</v>
      </c>
      <c r="C192" s="4" t="s">
        <v>465</v>
      </c>
      <c r="D192" s="445">
        <v>241152.87825257378</v>
      </c>
      <c r="E192" s="620">
        <v>1</v>
      </c>
      <c r="F192" s="555">
        <f t="shared" si="21"/>
        <v>0.1071</v>
      </c>
      <c r="G192" s="555">
        <f t="shared" si="22"/>
        <v>0.49090457251500325</v>
      </c>
      <c r="H192" s="391">
        <f t="shared" si="20"/>
        <v>12678.824720260567</v>
      </c>
      <c r="N192" s="622"/>
    </row>
    <row r="193" spans="1:14">
      <c r="A193" s="1069">
        <f t="shared" si="16"/>
        <v>179</v>
      </c>
      <c r="B193" s="465">
        <v>39907</v>
      </c>
      <c r="C193" s="4" t="s">
        <v>520</v>
      </c>
      <c r="D193" s="445">
        <v>45493.093288807519</v>
      </c>
      <c r="E193" s="620">
        <v>1</v>
      </c>
      <c r="F193" s="555">
        <f t="shared" si="21"/>
        <v>0.1071</v>
      </c>
      <c r="G193" s="555">
        <f t="shared" si="22"/>
        <v>0.49090457251500325</v>
      </c>
      <c r="H193" s="391">
        <f t="shared" si="20"/>
        <v>2391.8394006773451</v>
      </c>
      <c r="N193" s="622"/>
    </row>
    <row r="194" spans="1:14">
      <c r="A194" s="1069">
        <f t="shared" si="16"/>
        <v>180</v>
      </c>
      <c r="B194" s="465">
        <v>39908</v>
      </c>
      <c r="C194" s="4" t="s">
        <v>184</v>
      </c>
      <c r="D194" s="445">
        <v>8016943.061270942</v>
      </c>
      <c r="E194" s="620">
        <v>1</v>
      </c>
      <c r="F194" s="555">
        <f t="shared" si="21"/>
        <v>0.1071</v>
      </c>
      <c r="G194" s="555">
        <f t="shared" si="22"/>
        <v>0.49090457251500325</v>
      </c>
      <c r="H194" s="391">
        <f t="shared" si="20"/>
        <v>421497.83408226271</v>
      </c>
      <c r="N194" s="622"/>
    </row>
    <row r="195" spans="1:14" s="1055" customFormat="1">
      <c r="A195" s="1069">
        <f t="shared" si="16"/>
        <v>181</v>
      </c>
      <c r="B195" s="1058">
        <v>39909</v>
      </c>
      <c r="C195" s="4" t="s">
        <v>352</v>
      </c>
      <c r="D195" s="445">
        <v>0</v>
      </c>
      <c r="E195" s="620">
        <v>1</v>
      </c>
      <c r="F195" s="555">
        <f t="shared" si="21"/>
        <v>0.1071</v>
      </c>
      <c r="G195" s="555">
        <f t="shared" si="22"/>
        <v>0.49090457251500325</v>
      </c>
      <c r="H195" s="391">
        <f t="shared" ref="H195:H196" si="23">D195*E195*F195*G195</f>
        <v>0</v>
      </c>
      <c r="N195" s="622"/>
    </row>
    <row r="196" spans="1:14">
      <c r="A196" s="1069">
        <f t="shared" si="16"/>
        <v>182</v>
      </c>
      <c r="B196" s="1058">
        <v>39924</v>
      </c>
      <c r="C196" s="4" t="s">
        <v>1456</v>
      </c>
      <c r="D196" s="445">
        <v>0</v>
      </c>
      <c r="E196" s="620">
        <v>1</v>
      </c>
      <c r="F196" s="555">
        <f t="shared" si="21"/>
        <v>0.1071</v>
      </c>
      <c r="G196" s="555">
        <f t="shared" si="22"/>
        <v>0.49090457251500325</v>
      </c>
      <c r="H196" s="391">
        <f t="shared" si="23"/>
        <v>0</v>
      </c>
      <c r="I196" s="1055"/>
      <c r="J196" s="1055"/>
      <c r="K196" s="1055"/>
      <c r="L196" s="1055"/>
      <c r="M196" s="1055"/>
      <c r="N196" s="622"/>
    </row>
    <row r="197" spans="1:14">
      <c r="A197" s="1069">
        <f t="shared" si="16"/>
        <v>183</v>
      </c>
      <c r="B197" s="1047"/>
      <c r="C197" s="1111"/>
      <c r="D197" s="1148"/>
      <c r="E197" s="496"/>
      <c r="F197" s="554"/>
      <c r="G197" s="554"/>
      <c r="H197" s="392"/>
    </row>
    <row r="198" spans="1:14">
      <c r="A198" s="1069">
        <f t="shared" si="16"/>
        <v>184</v>
      </c>
      <c r="B198" s="507"/>
      <c r="C198" s="4"/>
      <c r="D198" s="106"/>
      <c r="E198" s="1137"/>
    </row>
    <row r="199" spans="1:14" ht="15.75" thickBot="1">
      <c r="A199" s="1069">
        <f t="shared" si="16"/>
        <v>185</v>
      </c>
      <c r="B199" s="507"/>
      <c r="C199" s="4" t="s">
        <v>1376</v>
      </c>
      <c r="D199" s="425">
        <f>SUM(D173:D197)</f>
        <v>14699578.748068728</v>
      </c>
      <c r="E199" s="1147"/>
      <c r="H199" s="422">
        <f>SUM(H173:H197)</f>
        <v>762460.47551118943</v>
      </c>
      <c r="K199" s="1055"/>
      <c r="M199" s="768"/>
      <c r="N199" s="768"/>
    </row>
    <row r="200" spans="1:14" ht="15.75" thickTop="1">
      <c r="A200" s="1069">
        <f t="shared" si="16"/>
        <v>186</v>
      </c>
      <c r="B200" s="403"/>
      <c r="D200" s="578"/>
      <c r="E200" s="1137"/>
    </row>
    <row r="201" spans="1:14" ht="15.75">
      <c r="A201" s="1069">
        <f t="shared" si="16"/>
        <v>187</v>
      </c>
      <c r="B201" s="416" t="s">
        <v>9</v>
      </c>
      <c r="D201" s="578"/>
      <c r="E201" s="1128"/>
    </row>
    <row r="202" spans="1:14">
      <c r="A202" s="1069">
        <f t="shared" si="16"/>
        <v>188</v>
      </c>
      <c r="B202" s="403"/>
      <c r="D202" s="578"/>
      <c r="E202" s="1128"/>
      <c r="K202" s="768"/>
    </row>
    <row r="203" spans="1:14">
      <c r="A203" s="1069">
        <f t="shared" si="16"/>
        <v>189</v>
      </c>
      <c r="B203" s="507"/>
      <c r="C203" s="17" t="s">
        <v>309</v>
      </c>
      <c r="D203" s="578"/>
      <c r="E203" s="1128"/>
    </row>
    <row r="204" spans="1:14">
      <c r="A204" s="1069">
        <f t="shared" si="16"/>
        <v>190</v>
      </c>
      <c r="B204" s="682">
        <v>38900</v>
      </c>
      <c r="C204" s="115" t="s">
        <v>300</v>
      </c>
      <c r="D204" s="445">
        <v>0</v>
      </c>
      <c r="E204" s="620">
        <v>1</v>
      </c>
      <c r="F204" s="622">
        <f>Allocation!$C$15</f>
        <v>0.1086</v>
      </c>
      <c r="G204" s="622">
        <f>Allocation!$D$15</f>
        <v>0.52599015110063552</v>
      </c>
      <c r="H204" s="382">
        <f>D204*E204*F204*G204</f>
        <v>0</v>
      </c>
      <c r="J204" s="78"/>
      <c r="N204" s="622"/>
    </row>
    <row r="205" spans="1:14">
      <c r="A205" s="1069">
        <f t="shared" si="16"/>
        <v>191</v>
      </c>
      <c r="B205" s="682">
        <v>38910</v>
      </c>
      <c r="C205" s="115" t="s">
        <v>1220</v>
      </c>
      <c r="D205" s="445">
        <v>0</v>
      </c>
      <c r="E205" s="814">
        <v>1</v>
      </c>
      <c r="F205" s="622">
        <v>1</v>
      </c>
      <c r="G205" s="622">
        <f>Allocation!$E$21</f>
        <v>1.083947E-2</v>
      </c>
      <c r="H205" s="391">
        <f t="shared" ref="H205:H223" si="24">D205*E205*F205*G205</f>
        <v>0</v>
      </c>
      <c r="N205" s="622"/>
    </row>
    <row r="206" spans="1:14">
      <c r="A206" s="1069">
        <f t="shared" si="16"/>
        <v>192</v>
      </c>
      <c r="B206" s="682">
        <v>39000</v>
      </c>
      <c r="C206" s="115" t="s">
        <v>874</v>
      </c>
      <c r="D206" s="445">
        <v>381920.17698739399</v>
      </c>
      <c r="E206" s="814">
        <v>1</v>
      </c>
      <c r="F206" s="622">
        <f t="shared" ref="F206:F220" si="25">$F$204</f>
        <v>0.1086</v>
      </c>
      <c r="G206" s="555">
        <f t="shared" ref="G206:G220" si="26">$G$204</f>
        <v>0.52599015110063552</v>
      </c>
      <c r="H206" s="391">
        <f t="shared" si="24"/>
        <v>21816.246923975119</v>
      </c>
      <c r="N206" s="622"/>
    </row>
    <row r="207" spans="1:14">
      <c r="A207" s="1069">
        <f t="shared" si="16"/>
        <v>193</v>
      </c>
      <c r="B207" s="682">
        <v>39009</v>
      </c>
      <c r="C207" s="115" t="s">
        <v>1056</v>
      </c>
      <c r="D207" s="445">
        <v>139699.11572500001</v>
      </c>
      <c r="E207" s="814">
        <v>1</v>
      </c>
      <c r="F207" s="622">
        <f t="shared" si="25"/>
        <v>0.1086</v>
      </c>
      <c r="G207" s="555">
        <f t="shared" si="26"/>
        <v>0.52599015110063552</v>
      </c>
      <c r="H207" s="391">
        <f t="shared" si="24"/>
        <v>7979.9669861856264</v>
      </c>
      <c r="N207" s="622"/>
    </row>
    <row r="208" spans="1:14">
      <c r="A208" s="1069">
        <f t="shared" si="16"/>
        <v>194</v>
      </c>
      <c r="B208" s="682">
        <v>39010</v>
      </c>
      <c r="C208" s="115" t="s">
        <v>1221</v>
      </c>
      <c r="D208" s="445">
        <v>313636.18197099998</v>
      </c>
      <c r="E208" s="814">
        <v>1</v>
      </c>
      <c r="F208" s="622">
        <v>1</v>
      </c>
      <c r="G208" s="622">
        <f>$G$205</f>
        <v>1.083947E-2</v>
      </c>
      <c r="H208" s="391">
        <f t="shared" si="24"/>
        <v>3399.6499853891951</v>
      </c>
      <c r="N208" s="622"/>
    </row>
    <row r="209" spans="1:14">
      <c r="A209" s="1069">
        <f t="shared" ref="A209:A228" si="27">A208+1</f>
        <v>195</v>
      </c>
      <c r="B209" s="682">
        <v>39100</v>
      </c>
      <c r="C209" s="115" t="s">
        <v>796</v>
      </c>
      <c r="D209" s="445">
        <v>90955.821046138502</v>
      </c>
      <c r="E209" s="814">
        <v>1</v>
      </c>
      <c r="F209" s="622">
        <f t="shared" si="25"/>
        <v>0.1086</v>
      </c>
      <c r="G209" s="555">
        <f t="shared" si="26"/>
        <v>0.52599015110063552</v>
      </c>
      <c r="H209" s="391">
        <f t="shared" si="24"/>
        <v>5195.6266536317262</v>
      </c>
      <c r="N209" s="622"/>
    </row>
    <row r="210" spans="1:14">
      <c r="A210" s="1069">
        <f t="shared" si="27"/>
        <v>196</v>
      </c>
      <c r="B210" s="682">
        <v>39103</v>
      </c>
      <c r="C210" s="115" t="s">
        <v>1367</v>
      </c>
      <c r="D210" s="445">
        <v>0</v>
      </c>
      <c r="E210" s="814">
        <v>1</v>
      </c>
      <c r="F210" s="622">
        <f t="shared" si="25"/>
        <v>0.1086</v>
      </c>
      <c r="G210" s="555">
        <f t="shared" si="26"/>
        <v>0.52599015110063552</v>
      </c>
      <c r="H210" s="391">
        <f t="shared" ref="H210" si="28">D210*E210*F210*G210</f>
        <v>0</v>
      </c>
      <c r="N210" s="622"/>
    </row>
    <row r="211" spans="1:14">
      <c r="A211" s="1069">
        <f t="shared" si="27"/>
        <v>197</v>
      </c>
      <c r="B211" s="465">
        <v>39700</v>
      </c>
      <c r="C211" s="115" t="s">
        <v>454</v>
      </c>
      <c r="D211" s="445">
        <v>114822.91138500003</v>
      </c>
      <c r="E211" s="814">
        <v>1</v>
      </c>
      <c r="F211" s="622">
        <f t="shared" si="25"/>
        <v>0.1086</v>
      </c>
      <c r="G211" s="555">
        <f t="shared" si="26"/>
        <v>0.52599015110063552</v>
      </c>
      <c r="H211" s="391">
        <f t="shared" si="24"/>
        <v>6558.97524730032</v>
      </c>
      <c r="N211" s="622"/>
    </row>
    <row r="212" spans="1:14">
      <c r="A212" s="1069">
        <f t="shared" si="27"/>
        <v>198</v>
      </c>
      <c r="B212" s="465">
        <v>39710</v>
      </c>
      <c r="C212" s="115" t="s">
        <v>1222</v>
      </c>
      <c r="D212" s="445">
        <v>15889.841370000004</v>
      </c>
      <c r="E212" s="814">
        <v>1</v>
      </c>
      <c r="F212" s="622">
        <v>1</v>
      </c>
      <c r="G212" s="622">
        <f>$G$205</f>
        <v>1.083947E-2</v>
      </c>
      <c r="H212" s="391">
        <f t="shared" si="24"/>
        <v>172.23745883487393</v>
      </c>
      <c r="N212" s="622"/>
    </row>
    <row r="213" spans="1:14">
      <c r="A213" s="1069">
        <f t="shared" si="27"/>
        <v>199</v>
      </c>
      <c r="B213" s="465">
        <v>39800</v>
      </c>
      <c r="C213" s="115" t="s">
        <v>666</v>
      </c>
      <c r="D213" s="445">
        <v>3255.5560651450769</v>
      </c>
      <c r="E213" s="814">
        <v>1</v>
      </c>
      <c r="F213" s="622">
        <f t="shared" si="25"/>
        <v>0.1086</v>
      </c>
      <c r="G213" s="555">
        <f t="shared" si="26"/>
        <v>0.52599015110063552</v>
      </c>
      <c r="H213" s="391">
        <f t="shared" si="24"/>
        <v>185.96560033117629</v>
      </c>
      <c r="N213" s="622"/>
    </row>
    <row r="214" spans="1:14">
      <c r="A214" s="1069">
        <f t="shared" si="27"/>
        <v>200</v>
      </c>
      <c r="B214" s="465">
        <v>39900</v>
      </c>
      <c r="C214" s="115" t="s">
        <v>1173</v>
      </c>
      <c r="D214" s="445">
        <v>82169.139675999992</v>
      </c>
      <c r="E214" s="814">
        <v>1</v>
      </c>
      <c r="F214" s="622">
        <f t="shared" si="25"/>
        <v>0.1086</v>
      </c>
      <c r="G214" s="555">
        <f t="shared" si="26"/>
        <v>0.52599015110063552</v>
      </c>
      <c r="H214" s="391">
        <f t="shared" si="24"/>
        <v>4693.7091798671472</v>
      </c>
      <c r="N214" s="622"/>
    </row>
    <row r="215" spans="1:14">
      <c r="A215" s="1069">
        <f t="shared" si="27"/>
        <v>201</v>
      </c>
      <c r="B215" s="465">
        <v>39901</v>
      </c>
      <c r="C215" s="115" t="s">
        <v>489</v>
      </c>
      <c r="D215" s="445">
        <v>778780.73391895415</v>
      </c>
      <c r="E215" s="814">
        <v>1</v>
      </c>
      <c r="F215" s="622">
        <f t="shared" si="25"/>
        <v>0.1086</v>
      </c>
      <c r="G215" s="555">
        <f t="shared" si="26"/>
        <v>0.52599015110063552</v>
      </c>
      <c r="H215" s="391">
        <f t="shared" si="24"/>
        <v>44485.92615564078</v>
      </c>
      <c r="N215" s="622"/>
    </row>
    <row r="216" spans="1:14">
      <c r="A216" s="1069">
        <f t="shared" si="27"/>
        <v>202</v>
      </c>
      <c r="B216" s="465">
        <v>39902</v>
      </c>
      <c r="C216" s="115" t="s">
        <v>979</v>
      </c>
      <c r="D216" s="445">
        <v>164032.53582691756</v>
      </c>
      <c r="E216" s="814">
        <v>1</v>
      </c>
      <c r="F216" s="622">
        <f t="shared" si="25"/>
        <v>0.1086</v>
      </c>
      <c r="G216" s="555">
        <f t="shared" si="26"/>
        <v>0.52599015110063552</v>
      </c>
      <c r="H216" s="391">
        <f t="shared" si="24"/>
        <v>9369.9535159252573</v>
      </c>
      <c r="N216" s="622"/>
    </row>
    <row r="217" spans="1:14">
      <c r="A217" s="1069">
        <f t="shared" si="27"/>
        <v>203</v>
      </c>
      <c r="B217" s="465">
        <v>39903</v>
      </c>
      <c r="C217" s="115" t="s">
        <v>1022</v>
      </c>
      <c r="D217" s="445">
        <v>44341.577507766975</v>
      </c>
      <c r="E217" s="814">
        <v>1</v>
      </c>
      <c r="F217" s="622">
        <f t="shared" si="25"/>
        <v>0.1086</v>
      </c>
      <c r="G217" s="555">
        <f t="shared" si="26"/>
        <v>0.52599015110063552</v>
      </c>
      <c r="H217" s="391">
        <f t="shared" si="24"/>
        <v>2532.9031095939067</v>
      </c>
      <c r="N217" s="622"/>
    </row>
    <row r="218" spans="1:14">
      <c r="A218" s="1069">
        <f t="shared" si="27"/>
        <v>204</v>
      </c>
      <c r="B218" s="465">
        <v>39906</v>
      </c>
      <c r="C218" s="115" t="s">
        <v>465</v>
      </c>
      <c r="D218" s="445">
        <v>106436.37652092979</v>
      </c>
      <c r="E218" s="814">
        <v>1</v>
      </c>
      <c r="F218" s="622">
        <f t="shared" si="25"/>
        <v>0.1086</v>
      </c>
      <c r="G218" s="555">
        <f t="shared" si="26"/>
        <v>0.52599015110063552</v>
      </c>
      <c r="H218" s="391">
        <f t="shared" si="24"/>
        <v>6079.9151544968918</v>
      </c>
      <c r="N218" s="622"/>
    </row>
    <row r="219" spans="1:14">
      <c r="A219" s="1069">
        <f t="shared" si="27"/>
        <v>205</v>
      </c>
      <c r="B219" s="465">
        <v>39907</v>
      </c>
      <c r="C219" s="115" t="s">
        <v>520</v>
      </c>
      <c r="D219" s="445">
        <v>12516.220742999996</v>
      </c>
      <c r="E219" s="814">
        <v>1</v>
      </c>
      <c r="F219" s="622">
        <f t="shared" si="25"/>
        <v>0.1086</v>
      </c>
      <c r="G219" s="555">
        <f t="shared" si="26"/>
        <v>0.52599015110063552</v>
      </c>
      <c r="H219" s="391">
        <f t="shared" si="24"/>
        <v>714.95820000439517</v>
      </c>
      <c r="N219" s="622"/>
    </row>
    <row r="220" spans="1:14">
      <c r="A220" s="1069">
        <f t="shared" si="27"/>
        <v>206</v>
      </c>
      <c r="B220" s="465">
        <v>39908</v>
      </c>
      <c r="C220" s="115" t="s">
        <v>184</v>
      </c>
      <c r="D220" s="445">
        <v>7350570.3991458537</v>
      </c>
      <c r="E220" s="814">
        <v>1</v>
      </c>
      <c r="F220" s="622">
        <f t="shared" si="25"/>
        <v>0.1086</v>
      </c>
      <c r="G220" s="555">
        <f t="shared" si="26"/>
        <v>0.52599015110063552</v>
      </c>
      <c r="H220" s="391">
        <f t="shared" si="24"/>
        <v>419883.18115259288</v>
      </c>
      <c r="N220" s="622"/>
    </row>
    <row r="221" spans="1:14">
      <c r="A221" s="1069">
        <f t="shared" si="27"/>
        <v>207</v>
      </c>
      <c r="B221" s="465">
        <v>39910</v>
      </c>
      <c r="C221" s="115" t="s">
        <v>1223</v>
      </c>
      <c r="D221" s="445">
        <v>12014.215276000003</v>
      </c>
      <c r="E221" s="814">
        <v>1</v>
      </c>
      <c r="F221" s="622">
        <v>1</v>
      </c>
      <c r="G221" s="622">
        <f>$G$205</f>
        <v>1.083947E-2</v>
      </c>
      <c r="H221" s="391">
        <f t="shared" si="24"/>
        <v>130.22772605774375</v>
      </c>
      <c r="N221" s="622"/>
    </row>
    <row r="222" spans="1:14">
      <c r="A222" s="1069">
        <f t="shared" si="27"/>
        <v>208</v>
      </c>
      <c r="B222" s="465">
        <v>39916</v>
      </c>
      <c r="C222" s="115" t="s">
        <v>1224</v>
      </c>
      <c r="D222" s="445">
        <v>20352.216508999998</v>
      </c>
      <c r="E222" s="814">
        <v>1</v>
      </c>
      <c r="F222" s="622">
        <v>1</v>
      </c>
      <c r="G222" s="622">
        <f>$G$205</f>
        <v>1.083947E-2</v>
      </c>
      <c r="H222" s="391">
        <f t="shared" si="24"/>
        <v>220.60724028281021</v>
      </c>
      <c r="N222" s="622"/>
    </row>
    <row r="223" spans="1:14">
      <c r="A223" s="1069">
        <f t="shared" si="27"/>
        <v>209</v>
      </c>
      <c r="B223" s="465">
        <v>39917</v>
      </c>
      <c r="C223" s="115" t="s">
        <v>1225</v>
      </c>
      <c r="D223" s="445">
        <v>6002.8391279999996</v>
      </c>
      <c r="E223" s="814">
        <v>1</v>
      </c>
      <c r="F223" s="622">
        <v>1</v>
      </c>
      <c r="G223" s="622">
        <f>$G$205</f>
        <v>1.083947E-2</v>
      </c>
      <c r="H223" s="391">
        <f t="shared" si="24"/>
        <v>65.067594642782154</v>
      </c>
      <c r="N223" s="622"/>
    </row>
    <row r="224" spans="1:14">
      <c r="A224" s="1069">
        <f t="shared" si="27"/>
        <v>210</v>
      </c>
      <c r="B224" s="465"/>
      <c r="C224" s="4"/>
      <c r="D224" s="1141"/>
      <c r="E224" s="1149"/>
      <c r="F224" s="555"/>
      <c r="G224" s="555"/>
      <c r="H224" s="392"/>
    </row>
    <row r="225" spans="1:12">
      <c r="A225" s="1069">
        <f t="shared" si="27"/>
        <v>211</v>
      </c>
      <c r="B225" s="1"/>
      <c r="C225" s="4"/>
      <c r="D225" s="578"/>
      <c r="E225" s="1137"/>
    </row>
    <row r="226" spans="1:12" ht="15.75" thickBot="1">
      <c r="A226" s="1069">
        <f t="shared" si="27"/>
        <v>212</v>
      </c>
      <c r="B226" s="1"/>
      <c r="C226" s="4" t="s">
        <v>1377</v>
      </c>
      <c r="D226" s="623">
        <f>SUM(D204:D225)</f>
        <v>9637395.8588020988</v>
      </c>
      <c r="E226" s="1147"/>
      <c r="H226" s="426">
        <f>SUM(H204:H225)</f>
        <v>533485.11788475257</v>
      </c>
      <c r="K226" s="1055"/>
      <c r="L226" s="106"/>
    </row>
    <row r="227" spans="1:12" ht="15.75" thickTop="1">
      <c r="A227" s="1069">
        <f t="shared" si="27"/>
        <v>213</v>
      </c>
      <c r="D227" s="106"/>
      <c r="E227" s="1137"/>
    </row>
    <row r="228" spans="1:12" ht="30.75" thickBot="1">
      <c r="A228" s="1069">
        <f t="shared" si="27"/>
        <v>214</v>
      </c>
      <c r="C228" s="509" t="s">
        <v>1166</v>
      </c>
      <c r="D228" s="623">
        <f>D226+D199+D168+D110</f>
        <v>42610884.04643634</v>
      </c>
      <c r="E228" s="1147"/>
      <c r="H228" s="426">
        <f>H226+H199+H168+H110</f>
        <v>19376607.045990989</v>
      </c>
    </row>
    <row r="229" spans="1:12" ht="15.75" thickTop="1"/>
    <row r="230" spans="1:12">
      <c r="C230" t="s">
        <v>701</v>
      </c>
      <c r="D230" s="78"/>
    </row>
    <row r="231" spans="1:12">
      <c r="C231" t="s">
        <v>1398</v>
      </c>
    </row>
  </sheetData>
  <mergeCells count="4">
    <mergeCell ref="A1:I1"/>
    <mergeCell ref="A2:I2"/>
    <mergeCell ref="A3:I3"/>
    <mergeCell ref="A4:I4"/>
  </mergeCells>
  <phoneticPr fontId="24" type="noConversion"/>
  <printOptions horizontalCentered="1"/>
  <pageMargins left="0.75" right="0.49" top="0.78" bottom="1" header="0.5" footer="0.33"/>
  <pageSetup scale="61" fitToHeight="15" orientation="portrait" r:id="rId1"/>
  <headerFooter alignWithMargins="0">
    <oddFooter>&amp;RSchedule &amp;A
Page &amp;P of &amp;N</oddFooter>
  </headerFooter>
  <rowBreaks count="3" manualBreakCount="3">
    <brk id="60" max="7" man="1"/>
    <brk id="111" max="7" man="1"/>
    <brk id="16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7" s="1" customFormat="1">
      <c r="A1" s="1255" t="str">
        <f>'Table of Contents'!A1:C1</f>
        <v>Atmos Energy Corporation, Kentucky/Mid-States Division</v>
      </c>
      <c r="B1" s="1255"/>
      <c r="C1" s="1255"/>
      <c r="D1" s="1255"/>
      <c r="E1" s="1255"/>
    </row>
    <row r="2" spans="1:7" s="1" customFormat="1">
      <c r="A2" s="1255" t="str">
        <f>'Table of Contents'!A2:C2</f>
        <v>Kentucky Jurisdiction Case No. 2015-00343</v>
      </c>
      <c r="B2" s="1255"/>
      <c r="C2" s="1255"/>
      <c r="D2" s="1255"/>
      <c r="E2" s="1255"/>
    </row>
    <row r="3" spans="1:7" s="1" customFormat="1">
      <c r="A3" s="1255" t="s">
        <v>445</v>
      </c>
      <c r="B3" s="1255"/>
      <c r="C3" s="1255"/>
      <c r="D3" s="1255"/>
      <c r="E3" s="1255"/>
    </row>
    <row r="4" spans="1:7" s="1" customFormat="1">
      <c r="A4" s="1255" t="str">
        <f>'B.1 B'!A4</f>
        <v>as of February 29, 2016</v>
      </c>
      <c r="B4" s="1255"/>
      <c r="C4" s="1255"/>
      <c r="D4" s="1255"/>
      <c r="E4" s="1255"/>
    </row>
    <row r="5" spans="1:7" s="1" customFormat="1">
      <c r="A5" s="107"/>
    </row>
    <row r="6" spans="1:7" s="1" customFormat="1">
      <c r="A6" s="4" t="str">
        <f>'B.1 B'!A6</f>
        <v>Data:__X___Base Period______Forecasted Period</v>
      </c>
      <c r="E6" s="1" t="s">
        <v>1515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718</v>
      </c>
    </row>
    <row r="8" spans="1:7" s="1" customFormat="1">
      <c r="A8" s="73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716</v>
      </c>
    </row>
    <row r="10" spans="1:7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7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7" s="1" customFormat="1">
      <c r="E12" s="2"/>
    </row>
    <row r="14" spans="1:7" s="1" customFormat="1">
      <c r="A14" s="2" t="s">
        <v>1115</v>
      </c>
      <c r="B14" s="115" t="s">
        <v>801</v>
      </c>
      <c r="C14" s="115" t="s">
        <v>33</v>
      </c>
      <c r="D14" s="159" t="s">
        <v>86</v>
      </c>
      <c r="E14" s="383">
        <f>'B.4.2 B'!H32</f>
        <v>3330930.5846503121</v>
      </c>
      <c r="F14" s="107"/>
      <c r="G14" s="107"/>
    </row>
    <row r="15" spans="1:7" s="1" customFormat="1">
      <c r="D15" s="11"/>
      <c r="E15" s="99"/>
      <c r="F15" s="107"/>
      <c r="G15" s="107"/>
    </row>
    <row r="16" spans="1:7" s="1" customFormat="1">
      <c r="A16" s="2">
        <v>2</v>
      </c>
      <c r="B16" s="4" t="s">
        <v>808</v>
      </c>
      <c r="C16" s="4" t="s">
        <v>88</v>
      </c>
      <c r="D16" s="2" t="s">
        <v>87</v>
      </c>
      <c r="E16" s="455">
        <f>'B.4.1 B'!K21</f>
        <v>499419.68577952601</v>
      </c>
      <c r="F16" s="107"/>
      <c r="G16" s="107"/>
    </row>
    <row r="17" spans="1:7" s="1" customFormat="1">
      <c r="D17" s="11"/>
      <c r="E17" s="455"/>
      <c r="F17" s="107"/>
      <c r="G17" s="107"/>
    </row>
    <row r="18" spans="1:7" s="1" customFormat="1">
      <c r="A18" s="2">
        <v>3</v>
      </c>
      <c r="B18" s="4" t="s">
        <v>1107</v>
      </c>
      <c r="C18" s="4" t="s">
        <v>88</v>
      </c>
      <c r="D18" s="2" t="s">
        <v>87</v>
      </c>
      <c r="E18" s="455">
        <f>'B.4.1 B'!K28</f>
        <v>7709187.0841779327</v>
      </c>
      <c r="F18" s="107"/>
      <c r="G18" s="107"/>
    </row>
    <row r="19" spans="1:7" s="1" customFormat="1">
      <c r="D19" s="11"/>
      <c r="E19" s="455"/>
      <c r="F19" s="107"/>
      <c r="G19" s="107"/>
    </row>
    <row r="20" spans="1:7" s="1" customFormat="1">
      <c r="A20" s="2">
        <v>4</v>
      </c>
      <c r="B20" s="4" t="s">
        <v>807</v>
      </c>
      <c r="C20" s="4" t="s">
        <v>88</v>
      </c>
      <c r="D20" s="2" t="s">
        <v>87</v>
      </c>
      <c r="E20" s="579">
        <f>'B.4.1 B'!K35</f>
        <v>1543318.5221844022</v>
      </c>
      <c r="F20" s="107"/>
      <c r="G20" s="107"/>
    </row>
    <row r="21" spans="1:7" s="1" customFormat="1">
      <c r="D21" s="11"/>
      <c r="E21" s="10"/>
      <c r="F21" s="107"/>
      <c r="G21" s="107"/>
    </row>
    <row r="22" spans="1:7" ht="15.75" thickBot="1">
      <c r="A22" s="2">
        <v>5</v>
      </c>
      <c r="B22" s="4" t="s">
        <v>505</v>
      </c>
      <c r="C22" s="1"/>
      <c r="D22" s="1"/>
      <c r="E22" s="385">
        <f>SUM(E14:E20)</f>
        <v>13082855.876792172</v>
      </c>
      <c r="F22" s="266"/>
      <c r="G22" s="266"/>
    </row>
    <row r="23" spans="1:7" ht="15.75" thickTop="1">
      <c r="D23" s="302"/>
      <c r="E23" s="257"/>
      <c r="F23" s="266"/>
      <c r="G23" s="266"/>
    </row>
    <row r="24" spans="1:7">
      <c r="E24" s="257"/>
      <c r="F24" s="266"/>
      <c r="G24" s="266"/>
    </row>
    <row r="25" spans="1:7">
      <c r="D25" s="302"/>
      <c r="E25" s="257"/>
      <c r="F25" s="266"/>
      <c r="G25" s="266"/>
    </row>
    <row r="26" spans="1:7">
      <c r="E26" s="257"/>
      <c r="F26" s="266"/>
      <c r="G26" s="266"/>
    </row>
    <row r="27" spans="1:7">
      <c r="D27" s="302"/>
      <c r="E27" s="257"/>
      <c r="F27" s="266"/>
      <c r="G27" s="266"/>
    </row>
    <row r="28" spans="1:7">
      <c r="E28" s="257"/>
      <c r="F28" s="266"/>
      <c r="G28" s="266"/>
    </row>
    <row r="29" spans="1:7">
      <c r="D29" s="302"/>
      <c r="E29" s="257"/>
    </row>
    <row r="30" spans="1:7">
      <c r="E30" s="257"/>
    </row>
    <row r="31" spans="1:7">
      <c r="E31" s="257"/>
    </row>
    <row r="32" spans="1:7">
      <c r="E32" s="257"/>
    </row>
    <row r="33" spans="5:5">
      <c r="E33" s="257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6" s="1" customFormat="1">
      <c r="A1" s="1255" t="str">
        <f>'Table of Contents'!A1:C1</f>
        <v>Atmos Energy Corporation, Kentucky/Mid-States Division</v>
      </c>
      <c r="B1" s="1255"/>
      <c r="C1" s="1255"/>
      <c r="D1" s="1255"/>
      <c r="E1" s="1255"/>
    </row>
    <row r="2" spans="1:6" s="1" customFormat="1">
      <c r="A2" s="1255" t="str">
        <f>'Table of Contents'!A2:C2</f>
        <v>Kentucky Jurisdiction Case No. 2015-00343</v>
      </c>
      <c r="B2" s="1255"/>
      <c r="C2" s="1255"/>
      <c r="D2" s="1255"/>
      <c r="E2" s="1255"/>
    </row>
    <row r="3" spans="1:6" s="1" customFormat="1">
      <c r="A3" s="1255" t="s">
        <v>445</v>
      </c>
      <c r="B3" s="1255"/>
      <c r="C3" s="1255"/>
      <c r="D3" s="1255"/>
      <c r="E3" s="1255"/>
    </row>
    <row r="4" spans="1:6" s="1" customFormat="1">
      <c r="A4" s="1255" t="str">
        <f>'B.1 F '!A4</f>
        <v>as of May 31, 2017</v>
      </c>
      <c r="B4" s="1255"/>
      <c r="C4" s="1255"/>
      <c r="D4" s="1255"/>
      <c r="E4" s="1255"/>
    </row>
    <row r="5" spans="1:6" s="1" customFormat="1">
      <c r="A5" s="107"/>
    </row>
    <row r="6" spans="1:6" s="1" customFormat="1">
      <c r="A6" s="4" t="str">
        <f>'B.1 F '!A6</f>
        <v>Data:______Base Period__X___Forecasted Period</v>
      </c>
      <c r="E6" s="1" t="s">
        <v>1515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719</v>
      </c>
    </row>
    <row r="8" spans="1:6" s="1" customFormat="1">
      <c r="A8" s="73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716</v>
      </c>
    </row>
    <row r="10" spans="1:6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6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6" s="1" customFormat="1">
      <c r="E12" s="2"/>
    </row>
    <row r="14" spans="1:6" s="1" customFormat="1">
      <c r="A14" s="2">
        <v>1</v>
      </c>
      <c r="B14" s="4" t="s">
        <v>801</v>
      </c>
      <c r="C14" s="4" t="s">
        <v>33</v>
      </c>
      <c r="D14" s="2" t="s">
        <v>86</v>
      </c>
      <c r="E14" s="383">
        <f>'B.4.2 F'!H32</f>
        <v>3200869.0979133956</v>
      </c>
      <c r="F14" s="107"/>
    </row>
    <row r="15" spans="1:6" s="1" customFormat="1">
      <c r="D15" s="11"/>
      <c r="E15" s="99"/>
      <c r="F15" s="107"/>
    </row>
    <row r="16" spans="1:6" s="1" customFormat="1">
      <c r="A16" s="2">
        <v>2</v>
      </c>
      <c r="B16" s="4" t="s">
        <v>808</v>
      </c>
      <c r="C16" s="4" t="s">
        <v>88</v>
      </c>
      <c r="D16" s="2" t="s">
        <v>87</v>
      </c>
      <c r="E16" s="99">
        <f>'B.4.1 F'!K21</f>
        <v>466497.99410356081</v>
      </c>
      <c r="F16" s="107"/>
    </row>
    <row r="17" spans="1:6" s="1" customFormat="1">
      <c r="D17" s="11"/>
      <c r="E17" s="99"/>
      <c r="F17" s="107"/>
    </row>
    <row r="18" spans="1:6" s="1" customFormat="1">
      <c r="A18" s="2">
        <v>3</v>
      </c>
      <c r="B18" s="4" t="s">
        <v>1107</v>
      </c>
      <c r="C18" s="4" t="s">
        <v>88</v>
      </c>
      <c r="D18" s="2" t="s">
        <v>87</v>
      </c>
      <c r="E18" s="99">
        <f>'B.4.1 F'!K28</f>
        <v>6229573.3901578095</v>
      </c>
      <c r="F18" s="107"/>
    </row>
    <row r="19" spans="1:6" s="1" customFormat="1">
      <c r="D19" s="11"/>
      <c r="E19" s="99"/>
      <c r="F19" s="107"/>
    </row>
    <row r="20" spans="1:6" s="1" customFormat="1">
      <c r="A20" s="2">
        <v>4</v>
      </c>
      <c r="B20" s="4" t="s">
        <v>807</v>
      </c>
      <c r="C20" s="4" t="s">
        <v>88</v>
      </c>
      <c r="D20" s="2" t="s">
        <v>87</v>
      </c>
      <c r="E20" s="112">
        <f>'B.4.1 F'!K35</f>
        <v>1553913.6957664278</v>
      </c>
      <c r="F20" s="107"/>
    </row>
    <row r="21" spans="1:6" s="1" customFormat="1">
      <c r="D21" s="2"/>
      <c r="E21" s="10"/>
      <c r="F21" s="107"/>
    </row>
    <row r="22" spans="1:6" ht="15.75" thickBot="1">
      <c r="A22" s="2">
        <v>5</v>
      </c>
      <c r="B22" s="4" t="s">
        <v>505</v>
      </c>
      <c r="C22" s="1"/>
      <c r="D22" s="1"/>
      <c r="E22" s="385">
        <f>SUM(E14:E20)</f>
        <v>11450854.177941194</v>
      </c>
      <c r="F22" s="266"/>
    </row>
    <row r="23" spans="1:6" ht="15.75" thickTop="1">
      <c r="E23" s="257"/>
      <c r="F23" s="266"/>
    </row>
    <row r="24" spans="1:6">
      <c r="D24" s="302"/>
      <c r="E24" s="257"/>
      <c r="F24" s="266"/>
    </row>
    <row r="25" spans="1:6">
      <c r="E25" s="257"/>
      <c r="F25" s="266"/>
    </row>
    <row r="26" spans="1:6">
      <c r="D26" s="302"/>
      <c r="E26" s="257"/>
      <c r="F26" s="266"/>
    </row>
    <row r="27" spans="1:6">
      <c r="E27" s="257"/>
      <c r="F27" s="266"/>
    </row>
    <row r="28" spans="1:6">
      <c r="D28" s="302"/>
      <c r="E28" s="257"/>
      <c r="F28" s="266"/>
    </row>
    <row r="29" spans="1:6">
      <c r="E29" s="257"/>
      <c r="F29" s="266"/>
    </row>
    <row r="30" spans="1:6">
      <c r="E30" s="257"/>
      <c r="F30" s="266"/>
    </row>
    <row r="31" spans="1:6">
      <c r="E31" s="257"/>
    </row>
    <row r="32" spans="1:6">
      <c r="A32" s="245"/>
      <c r="B32" s="245"/>
      <c r="E32" s="257"/>
    </row>
    <row r="33" spans="2:5">
      <c r="B33" s="245"/>
      <c r="E33" s="257"/>
    </row>
    <row r="34" spans="2:5">
      <c r="B34" s="245"/>
      <c r="E34" s="257"/>
    </row>
    <row r="35" spans="2:5">
      <c r="B35" s="245"/>
      <c r="E35" s="257"/>
    </row>
    <row r="36" spans="2:5">
      <c r="E36" s="257"/>
    </row>
    <row r="37" spans="2:5">
      <c r="E37" s="257"/>
    </row>
    <row r="38" spans="2:5">
      <c r="E38" s="257"/>
    </row>
    <row r="39" spans="2:5">
      <c r="E39" s="257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80" zoomScaleNormal="80" zoomScaleSheetLayoutView="80" workbookViewId="0">
      <selection sqref="A1:K1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4.109375" style="89" customWidth="1"/>
    <col min="4" max="4" width="13.5546875" style="89" customWidth="1"/>
    <col min="5" max="5" width="11.77734375" style="89" customWidth="1"/>
    <col min="6" max="6" width="12.5546875" style="89" customWidth="1"/>
    <col min="7" max="7" width="2.88671875" style="121" customWidth="1"/>
    <col min="8" max="8" width="13.33203125" style="89" bestFit="1" customWidth="1"/>
    <col min="9" max="9" width="12.6640625" style="89" customWidth="1"/>
    <col min="10" max="10" width="10.77734375" style="89" customWidth="1"/>
    <col min="11" max="11" width="11.6640625" style="89" customWidth="1"/>
    <col min="12" max="16384" width="8.44140625" style="89"/>
  </cols>
  <sheetData>
    <row r="1" spans="1:11">
      <c r="A1" s="1262" t="str">
        <f>Allocation!A1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</row>
    <row r="2" spans="1:11">
      <c r="A2" s="1262" t="str">
        <f>Allocation!A2</f>
        <v>Kentucky Jurisdiction Case No. 2015-00343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</row>
    <row r="3" spans="1:11">
      <c r="A3" s="1262" t="s">
        <v>994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</row>
    <row r="4" spans="1:11">
      <c r="A4" s="1262" t="str">
        <f>'B.1 B'!A4</f>
        <v>as of February 29, 2016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</row>
    <row r="7" spans="1:11">
      <c r="A7" s="95" t="str">
        <f>'B.1 B'!A6</f>
        <v>Data:__X___Base Period______Forecasted Period</v>
      </c>
      <c r="K7" s="653" t="s">
        <v>1516</v>
      </c>
    </row>
    <row r="8" spans="1:11">
      <c r="A8" s="95" t="str">
        <f>'B.1 B'!A7</f>
        <v>Type of Filing:___X____Original________Updated ________Revised</v>
      </c>
      <c r="B8" s="4"/>
      <c r="K8" s="925" t="s">
        <v>720</v>
      </c>
    </row>
    <row r="9" spans="1:11">
      <c r="A9" s="626" t="str">
        <f>'B.1 B'!A8</f>
        <v>Workpaper Reference No(s).</v>
      </c>
      <c r="B9" s="121"/>
      <c r="C9" s="121"/>
      <c r="D9" s="121"/>
      <c r="E9" s="121"/>
      <c r="F9" s="121"/>
      <c r="H9" s="121"/>
      <c r="I9" s="121"/>
      <c r="K9" s="926" t="str">
        <f>'B.1 B'!F8</f>
        <v>Witness:   Waller</v>
      </c>
    </row>
    <row r="10" spans="1:11">
      <c r="A10" s="440"/>
      <c r="B10" s="441"/>
      <c r="C10" s="1256" t="s">
        <v>1191</v>
      </c>
      <c r="D10" s="1257"/>
      <c r="E10" s="1257"/>
      <c r="F10" s="1258"/>
      <c r="H10" s="1259" t="s">
        <v>527</v>
      </c>
      <c r="I10" s="1260"/>
      <c r="J10" s="1260"/>
      <c r="K10" s="1261"/>
    </row>
    <row r="11" spans="1:11">
      <c r="A11" s="627"/>
      <c r="B11" s="628"/>
      <c r="C11" s="440"/>
      <c r="D11" s="436" t="s">
        <v>13</v>
      </c>
      <c r="E11" s="437" t="s">
        <v>11</v>
      </c>
      <c r="F11" s="441"/>
      <c r="H11" s="440"/>
      <c r="I11" s="436" t="s">
        <v>13</v>
      </c>
      <c r="J11" s="437" t="s">
        <v>11</v>
      </c>
      <c r="K11" s="441"/>
    </row>
    <row r="12" spans="1:11">
      <c r="A12" s="629" t="s">
        <v>98</v>
      </c>
      <c r="B12" s="628"/>
      <c r="C12" s="771">
        <f>'B.2 B'!D10</f>
        <v>42429</v>
      </c>
      <c r="D12" s="46" t="s">
        <v>14</v>
      </c>
      <c r="E12" s="101" t="s">
        <v>610</v>
      </c>
      <c r="F12" s="442" t="s">
        <v>12</v>
      </c>
      <c r="G12" s="317"/>
      <c r="H12" s="771">
        <f>C12</f>
        <v>42429</v>
      </c>
      <c r="I12" s="46" t="s">
        <v>14</v>
      </c>
      <c r="J12" s="101" t="s">
        <v>610</v>
      </c>
      <c r="K12" s="442" t="s">
        <v>12</v>
      </c>
    </row>
    <row r="13" spans="1:11">
      <c r="A13" s="630" t="s">
        <v>104</v>
      </c>
      <c r="B13" s="631" t="s">
        <v>1004</v>
      </c>
      <c r="C13" s="430" t="s">
        <v>326</v>
      </c>
      <c r="D13" s="255" t="s">
        <v>643</v>
      </c>
      <c r="E13" s="255" t="s">
        <v>643</v>
      </c>
      <c r="F13" s="443" t="s">
        <v>109</v>
      </c>
      <c r="G13" s="317"/>
      <c r="H13" s="430" t="s">
        <v>391</v>
      </c>
      <c r="I13" s="255" t="s">
        <v>643</v>
      </c>
      <c r="J13" s="255" t="s">
        <v>643</v>
      </c>
      <c r="K13" s="443" t="s">
        <v>109</v>
      </c>
    </row>
    <row r="14" spans="1:11">
      <c r="C14" s="316"/>
      <c r="F14" s="316"/>
      <c r="G14" s="317"/>
      <c r="H14" s="316"/>
      <c r="I14" s="316"/>
      <c r="K14" s="316"/>
    </row>
    <row r="16" spans="1:11">
      <c r="A16" s="316">
        <v>1</v>
      </c>
      <c r="B16" s="95" t="s">
        <v>534</v>
      </c>
      <c r="C16" s="113"/>
      <c r="D16" s="316"/>
      <c r="E16" s="316"/>
      <c r="F16" s="90"/>
      <c r="G16" s="111"/>
      <c r="H16" s="113"/>
      <c r="I16" s="113"/>
      <c r="J16" s="316"/>
      <c r="K16" s="90"/>
    </row>
    <row r="17" spans="1:11">
      <c r="A17" s="316">
        <v>2</v>
      </c>
      <c r="B17" s="410" t="s">
        <v>1192</v>
      </c>
      <c r="C17" s="439">
        <f>'WP B.4.1B'!O15</f>
        <v>-740439.30500000005</v>
      </c>
      <c r="D17" s="457">
        <v>1</v>
      </c>
      <c r="E17" s="457">
        <v>1</v>
      </c>
      <c r="F17" s="450">
        <f>C17*D17*E17</f>
        <v>-740439.30500000005</v>
      </c>
      <c r="G17" s="111"/>
      <c r="H17" s="439">
        <f>'WP B.4.1B'!P15</f>
        <v>-719438.51769230759</v>
      </c>
      <c r="I17" s="444">
        <f t="shared" ref="I17:J20" si="0">D17</f>
        <v>1</v>
      </c>
      <c r="J17" s="444">
        <f t="shared" si="0"/>
        <v>1</v>
      </c>
      <c r="K17" s="450">
        <f>H17*I17*J17</f>
        <v>-719438.51769230759</v>
      </c>
    </row>
    <row r="18" spans="1:11">
      <c r="A18" s="316">
        <v>3</v>
      </c>
      <c r="B18" s="410" t="s">
        <v>1193</v>
      </c>
      <c r="C18" s="452">
        <f>'WP B.4.1B'!O20</f>
        <v>2501713.2850000006</v>
      </c>
      <c r="D18" s="457">
        <v>1</v>
      </c>
      <c r="E18" s="458">
        <f>Allocation!H17</f>
        <v>0.49090457251500325</v>
      </c>
      <c r="F18" s="451">
        <f>C18*D18*E18</f>
        <v>1228102.4907280297</v>
      </c>
      <c r="G18" s="456"/>
      <c r="H18" s="452">
        <f>'WP B.4.1B'!P20</f>
        <v>2482882.1561538465</v>
      </c>
      <c r="I18" s="444">
        <f t="shared" si="0"/>
        <v>1</v>
      </c>
      <c r="J18" s="96">
        <f t="shared" si="0"/>
        <v>0.49090457251500325</v>
      </c>
      <c r="K18" s="451">
        <f>H18*I18*J18</f>
        <v>1218858.2034718336</v>
      </c>
    </row>
    <row r="19" spans="1:11">
      <c r="A19" s="316">
        <v>4</v>
      </c>
      <c r="B19" s="410" t="s">
        <v>1194</v>
      </c>
      <c r="C19" s="452">
        <f>'WP B.4.1B'!O25</f>
        <v>0</v>
      </c>
      <c r="D19" s="458">
        <f>Allocation!C14</f>
        <v>0.1071</v>
      </c>
      <c r="E19" s="458">
        <f>Allocation!H14</f>
        <v>0.49090457251500325</v>
      </c>
      <c r="F19" s="451">
        <f>C19*D19*E19</f>
        <v>0</v>
      </c>
      <c r="G19" s="456"/>
      <c r="H19" s="452">
        <f>'WP B.4.1B'!P25</f>
        <v>3.148250890752444E-12</v>
      </c>
      <c r="I19" s="96">
        <f t="shared" si="0"/>
        <v>0.1071</v>
      </c>
      <c r="J19" s="96">
        <f t="shared" si="0"/>
        <v>0.49090457251500325</v>
      </c>
      <c r="K19" s="451">
        <f>H19*I19*J19</f>
        <v>1.6552206014911381E-13</v>
      </c>
    </row>
    <row r="20" spans="1:11">
      <c r="A20" s="316">
        <v>5</v>
      </c>
      <c r="B20" s="410" t="s">
        <v>1195</v>
      </c>
      <c r="C20" s="453">
        <f>'WP B.4.1B'!O30</f>
        <v>0</v>
      </c>
      <c r="D20" s="458">
        <f>Allocation!C15</f>
        <v>0.1086</v>
      </c>
      <c r="E20" s="458">
        <f>Allocation!H15</f>
        <v>0.52599015110063552</v>
      </c>
      <c r="F20" s="454">
        <f>C20*D20*E20</f>
        <v>0</v>
      </c>
      <c r="G20" s="456"/>
      <c r="H20" s="453">
        <f>'WP B.4.1B'!P30</f>
        <v>0</v>
      </c>
      <c r="I20" s="96">
        <f t="shared" si="0"/>
        <v>0.1086</v>
      </c>
      <c r="J20" s="96">
        <f t="shared" si="0"/>
        <v>0.52599015110063552</v>
      </c>
      <c r="K20" s="454">
        <f>H20*I20*J20</f>
        <v>0</v>
      </c>
    </row>
    <row r="21" spans="1:11">
      <c r="A21" s="316">
        <v>6</v>
      </c>
      <c r="B21" s="363" t="s">
        <v>101</v>
      </c>
      <c r="C21" s="439">
        <f>SUM(C17:C20)</f>
        <v>1761273.9800000004</v>
      </c>
      <c r="D21" s="246"/>
      <c r="E21" s="316"/>
      <c r="F21" s="439">
        <f>SUM(F17:F20)</f>
        <v>487663.1857280297</v>
      </c>
      <c r="G21" s="111"/>
      <c r="H21" s="439">
        <f>SUM(H17:H20)</f>
        <v>1763443.6384615391</v>
      </c>
      <c r="I21" s="113"/>
      <c r="J21" s="316"/>
      <c r="K21" s="439">
        <f>SUM(K17:K20)</f>
        <v>499419.68577952601</v>
      </c>
    </row>
    <row r="22" spans="1:11">
      <c r="A22" s="316">
        <v>7</v>
      </c>
      <c r="C22" s="123"/>
      <c r="F22" s="90"/>
      <c r="G22" s="111"/>
      <c r="H22" s="113"/>
      <c r="I22" s="113"/>
      <c r="K22" s="90"/>
    </row>
    <row r="23" spans="1:11">
      <c r="A23" s="316">
        <v>8</v>
      </c>
      <c r="B23" s="95" t="s">
        <v>535</v>
      </c>
      <c r="C23" s="113"/>
      <c r="D23" s="316"/>
      <c r="E23" s="316"/>
      <c r="F23" s="90"/>
      <c r="G23" s="111"/>
      <c r="H23" s="113"/>
      <c r="I23" s="113"/>
      <c r="J23" s="316"/>
      <c r="K23" s="90"/>
    </row>
    <row r="24" spans="1:11">
      <c r="A24" s="316">
        <v>9</v>
      </c>
      <c r="B24" s="410" t="s">
        <v>1192</v>
      </c>
      <c r="C24" s="439">
        <f>'WP B.4.1B'!O34</f>
        <v>-778028.49315554556</v>
      </c>
      <c r="D24" s="444">
        <f>D17</f>
        <v>1</v>
      </c>
      <c r="E24" s="444">
        <f>E17</f>
        <v>1</v>
      </c>
      <c r="F24" s="450">
        <f>C24*D24*E24</f>
        <v>-778028.49315554556</v>
      </c>
      <c r="G24" s="111"/>
      <c r="H24" s="439">
        <f>'WP B.4.1B'!P34</f>
        <v>7709187.0841779327</v>
      </c>
      <c r="I24" s="444">
        <f>I17</f>
        <v>1</v>
      </c>
      <c r="J24" s="444">
        <f>J17</f>
        <v>1</v>
      </c>
      <c r="K24" s="450">
        <f>H24*I24*J24</f>
        <v>7709187.0841779327</v>
      </c>
    </row>
    <row r="25" spans="1:11">
      <c r="A25" s="316">
        <v>10</v>
      </c>
      <c r="B25" s="410" t="s">
        <v>1193</v>
      </c>
      <c r="C25" s="448">
        <f>'WP B.4.1B'!O36</f>
        <v>0</v>
      </c>
      <c r="D25" s="444">
        <f t="shared" ref="D25:E27" si="1">D18</f>
        <v>1</v>
      </c>
      <c r="E25" s="96">
        <f t="shared" si="1"/>
        <v>0.49090457251500325</v>
      </c>
      <c r="F25" s="451">
        <f>C25*D25*E25</f>
        <v>0</v>
      </c>
      <c r="G25" s="456"/>
      <c r="H25" s="452">
        <f>'WP B.4.1B'!P36</f>
        <v>0</v>
      </c>
      <c r="I25" s="444">
        <f t="shared" ref="I25:J27" si="2">I18</f>
        <v>1</v>
      </c>
      <c r="J25" s="96">
        <f t="shared" si="2"/>
        <v>0.49090457251500325</v>
      </c>
      <c r="K25" s="451">
        <f>H25*I25*J25</f>
        <v>0</v>
      </c>
    </row>
    <row r="26" spans="1:11">
      <c r="A26" s="316">
        <v>11</v>
      </c>
      <c r="B26" s="410" t="s">
        <v>1194</v>
      </c>
      <c r="C26" s="448">
        <f>'WP B.4.1B'!O38</f>
        <v>0</v>
      </c>
      <c r="D26" s="96">
        <f t="shared" si="1"/>
        <v>0.1071</v>
      </c>
      <c r="E26" s="96">
        <f t="shared" si="1"/>
        <v>0.49090457251500325</v>
      </c>
      <c r="F26" s="451">
        <f>C26*D26*E26</f>
        <v>0</v>
      </c>
      <c r="G26" s="456"/>
      <c r="H26" s="452">
        <f>'WP B.4.1B'!P38</f>
        <v>0</v>
      </c>
      <c r="I26" s="96">
        <f t="shared" si="2"/>
        <v>0.1071</v>
      </c>
      <c r="J26" s="96">
        <f t="shared" si="2"/>
        <v>0.49090457251500325</v>
      </c>
      <c r="K26" s="451">
        <f>H26*I26*J26</f>
        <v>0</v>
      </c>
    </row>
    <row r="27" spans="1:11">
      <c r="A27" s="316">
        <v>12</v>
      </c>
      <c r="B27" s="410" t="s">
        <v>1195</v>
      </c>
      <c r="C27" s="449">
        <f>'WP B.4.1B'!O40</f>
        <v>0</v>
      </c>
      <c r="D27" s="96">
        <f t="shared" si="1"/>
        <v>0.1086</v>
      </c>
      <c r="E27" s="96">
        <f t="shared" si="1"/>
        <v>0.52599015110063552</v>
      </c>
      <c r="F27" s="454">
        <f>C27*D27*E27</f>
        <v>0</v>
      </c>
      <c r="G27" s="456"/>
      <c r="H27" s="453">
        <f>'WP B.4.1B'!P40</f>
        <v>0</v>
      </c>
      <c r="I27" s="96">
        <f t="shared" si="2"/>
        <v>0.1086</v>
      </c>
      <c r="J27" s="96">
        <f t="shared" si="2"/>
        <v>0.52599015110063552</v>
      </c>
      <c r="K27" s="454">
        <f>H27*I27*J27</f>
        <v>0</v>
      </c>
    </row>
    <row r="28" spans="1:11">
      <c r="A28" s="316">
        <v>13</v>
      </c>
      <c r="B28" s="363" t="s">
        <v>101</v>
      </c>
      <c r="C28" s="439">
        <f>SUM(C24:C27)</f>
        <v>-778028.49315554556</v>
      </c>
      <c r="D28" s="316"/>
      <c r="E28" s="316"/>
      <c r="F28" s="439">
        <f>SUM(F24:F27)</f>
        <v>-778028.49315554556</v>
      </c>
      <c r="G28" s="111"/>
      <c r="H28" s="439">
        <f>SUM(H24:H27)</f>
        <v>7709187.0841779327</v>
      </c>
      <c r="I28" s="113"/>
      <c r="J28" s="316"/>
      <c r="K28" s="439">
        <f>SUM(K24:K27)</f>
        <v>7709187.0841779327</v>
      </c>
    </row>
    <row r="29" spans="1:11">
      <c r="A29" s="316">
        <v>14</v>
      </c>
      <c r="B29" s="363"/>
      <c r="C29" s="135"/>
      <c r="D29" s="318"/>
      <c r="E29" s="318"/>
      <c r="F29" s="111"/>
      <c r="G29" s="111"/>
      <c r="H29" s="114"/>
      <c r="I29" s="114"/>
      <c r="J29" s="317"/>
      <c r="K29" s="90"/>
    </row>
    <row r="30" spans="1:11">
      <c r="A30" s="316">
        <v>15</v>
      </c>
      <c r="B30" s="95" t="s">
        <v>536</v>
      </c>
      <c r="C30" s="114"/>
      <c r="D30" s="316"/>
      <c r="E30" s="316"/>
      <c r="F30" s="111"/>
      <c r="G30" s="111"/>
      <c r="H30" s="114"/>
      <c r="I30" s="114"/>
      <c r="J30" s="316"/>
      <c r="K30" s="111"/>
    </row>
    <row r="31" spans="1:11">
      <c r="A31" s="316">
        <v>16</v>
      </c>
      <c r="B31" s="410" t="s">
        <v>1192</v>
      </c>
      <c r="C31" s="439">
        <f>'WP B.4.1B'!O44</f>
        <v>198050.98500000002</v>
      </c>
      <c r="D31" s="444">
        <f>D17</f>
        <v>1</v>
      </c>
      <c r="E31" s="444">
        <f>E17</f>
        <v>1</v>
      </c>
      <c r="F31" s="450">
        <f>C31*D31*E31</f>
        <v>198050.98500000002</v>
      </c>
      <c r="G31" s="111"/>
      <c r="H31" s="439">
        <f>'WP B.4.1B'!P44</f>
        <v>190973.07153846155</v>
      </c>
      <c r="I31" s="444">
        <f>I17</f>
        <v>1</v>
      </c>
      <c r="J31" s="444">
        <f>J17</f>
        <v>1</v>
      </c>
      <c r="K31" s="450">
        <f>H31*I31*J31</f>
        <v>190973.07153846155</v>
      </c>
    </row>
    <row r="32" spans="1:11">
      <c r="A32" s="316">
        <v>17</v>
      </c>
      <c r="B32" s="410" t="s">
        <v>1193</v>
      </c>
      <c r="C32" s="452">
        <f>'WP B.4.1B'!O46</f>
        <v>2075.2800000000002</v>
      </c>
      <c r="D32" s="444">
        <f t="shared" ref="D32:E34" si="3">D18</f>
        <v>1</v>
      </c>
      <c r="E32" s="96">
        <f t="shared" si="3"/>
        <v>0.49090457251500325</v>
      </c>
      <c r="F32" s="451">
        <f>C32*D32*E32</f>
        <v>1018.764441248936</v>
      </c>
      <c r="G32" s="111"/>
      <c r="H32" s="452">
        <f>'WP B.4.1B'!P46</f>
        <v>3281.1792307692303</v>
      </c>
      <c r="I32" s="444">
        <f t="shared" ref="I32:J34" si="4">I18</f>
        <v>1</v>
      </c>
      <c r="J32" s="96">
        <f t="shared" si="4"/>
        <v>0.49090457251500325</v>
      </c>
      <c r="K32" s="451">
        <f>H32*I32*J32</f>
        <v>1610.7458876258761</v>
      </c>
    </row>
    <row r="33" spans="1:11">
      <c r="A33" s="316">
        <v>18</v>
      </c>
      <c r="B33" s="410" t="s">
        <v>1194</v>
      </c>
      <c r="C33" s="452">
        <f>'WP B.4.1B'!O48</f>
        <v>25758680.050000001</v>
      </c>
      <c r="D33" s="96">
        <f t="shared" si="3"/>
        <v>0.1071</v>
      </c>
      <c r="E33" s="96">
        <f t="shared" si="3"/>
        <v>0.49090457251500325</v>
      </c>
      <c r="F33" s="451">
        <f>C33*D33*E33</f>
        <v>1354285.2639609207</v>
      </c>
      <c r="G33" s="111"/>
      <c r="H33" s="452">
        <f>'WP B.4.1B'!P48</f>
        <v>25691147.956923082</v>
      </c>
      <c r="I33" s="96">
        <f t="shared" si="4"/>
        <v>0.1071</v>
      </c>
      <c r="J33" s="96">
        <f t="shared" si="4"/>
        <v>0.49090457251500325</v>
      </c>
      <c r="K33" s="451">
        <f>H33*I33*J33</f>
        <v>1350734.7047583149</v>
      </c>
    </row>
    <row r="34" spans="1:11">
      <c r="A34" s="316">
        <v>19</v>
      </c>
      <c r="B34" s="410" t="s">
        <v>1195</v>
      </c>
      <c r="C34" s="453" t="str">
        <f>'WP B.4.1B'!O50</f>
        <v xml:space="preserve"> 0</v>
      </c>
      <c r="D34" s="96">
        <f t="shared" si="3"/>
        <v>0.1086</v>
      </c>
      <c r="E34" s="96">
        <f t="shared" si="3"/>
        <v>0.52599015110063552</v>
      </c>
      <c r="F34" s="454">
        <f>C34*D34*E34</f>
        <v>0</v>
      </c>
      <c r="G34" s="111"/>
      <c r="H34" s="453">
        <f>'WP B.4.1B'!P50</f>
        <v>0</v>
      </c>
      <c r="I34" s="96">
        <f t="shared" si="4"/>
        <v>0.1086</v>
      </c>
      <c r="J34" s="96">
        <f t="shared" si="4"/>
        <v>0.52599015110063552</v>
      </c>
      <c r="K34" s="454">
        <f>H34*I34*J34</f>
        <v>0</v>
      </c>
    </row>
    <row r="35" spans="1:11">
      <c r="A35" s="316">
        <v>20</v>
      </c>
      <c r="B35" s="363" t="s">
        <v>101</v>
      </c>
      <c r="C35" s="439">
        <f>SUM(C31:C34)</f>
        <v>25958806.315000001</v>
      </c>
      <c r="D35" s="316"/>
      <c r="E35" s="316"/>
      <c r="F35" s="439">
        <f>SUM(F31:F34)</f>
        <v>1553355.0134021696</v>
      </c>
      <c r="G35" s="111"/>
      <c r="H35" s="439">
        <f>SUM(H31:H34)</f>
        <v>25885402.207692314</v>
      </c>
      <c r="I35" s="113"/>
      <c r="J35" s="316"/>
      <c r="K35" s="439">
        <f>SUM(K31:K34)</f>
        <v>1543318.5221844022</v>
      </c>
    </row>
    <row r="36" spans="1:11">
      <c r="A36" s="316">
        <v>21</v>
      </c>
      <c r="B36" s="363"/>
      <c r="D36" s="319"/>
      <c r="E36" s="319"/>
      <c r="F36" s="90"/>
      <c r="G36" s="111"/>
      <c r="H36" s="90"/>
      <c r="I36" s="90"/>
      <c r="K36" s="90"/>
    </row>
    <row r="37" spans="1:11" ht="15.75" thickBot="1">
      <c r="A37" s="316">
        <v>22</v>
      </c>
      <c r="B37" s="95" t="s">
        <v>504</v>
      </c>
      <c r="C37" s="446">
        <f>C35+C28+C21</f>
        <v>26942051.801844455</v>
      </c>
      <c r="F37" s="446">
        <f>F35+F28+F21</f>
        <v>1262989.7059746538</v>
      </c>
      <c r="G37" s="111"/>
      <c r="H37" s="446">
        <f>H35+H28+H21</f>
        <v>35358032.930331782</v>
      </c>
      <c r="I37" s="111"/>
      <c r="K37" s="446">
        <f>K35+K28+K21</f>
        <v>9751925.2921418622</v>
      </c>
    </row>
    <row r="38" spans="1:11" ht="15.75" thickTop="1">
      <c r="D38" s="319"/>
      <c r="E38" s="319"/>
      <c r="F38" s="90"/>
      <c r="G38" s="111"/>
      <c r="H38" s="90"/>
      <c r="I38" s="90"/>
    </row>
    <row r="39" spans="1:11">
      <c r="A39" s="316"/>
      <c r="F39" s="90"/>
      <c r="G39" s="111"/>
      <c r="H39" s="90"/>
      <c r="I39" s="90"/>
    </row>
    <row r="40" spans="1:11">
      <c r="D40" s="319"/>
      <c r="E40" s="319"/>
      <c r="F40" s="90"/>
      <c r="G40" s="111"/>
    </row>
    <row r="41" spans="1:11">
      <c r="C41" s="90"/>
      <c r="F41" s="90"/>
      <c r="G41" s="111"/>
    </row>
    <row r="42" spans="1:11">
      <c r="D42" s="319"/>
      <c r="E42" s="319"/>
      <c r="F42" s="90"/>
      <c r="G42" s="111"/>
    </row>
    <row r="43" spans="1:11">
      <c r="F43" s="90"/>
      <c r="G43" s="111"/>
    </row>
    <row r="44" spans="1:11">
      <c r="D44" s="319"/>
      <c r="E44" s="319"/>
      <c r="F44" s="90"/>
      <c r="G44" s="111"/>
    </row>
    <row r="45" spans="1:11">
      <c r="F45" s="90"/>
      <c r="G45" s="111"/>
    </row>
    <row r="46" spans="1:11">
      <c r="D46" s="319"/>
      <c r="E46" s="319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80" zoomScaleNormal="80" zoomScaleSheetLayoutView="80" workbookViewId="0">
      <selection sqref="A1:K1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3.88671875" style="89" customWidth="1"/>
    <col min="4" max="4" width="13.6640625" style="89" customWidth="1"/>
    <col min="5" max="5" width="11.6640625" style="89" customWidth="1"/>
    <col min="6" max="6" width="13.5546875" style="89" customWidth="1"/>
    <col min="7" max="7" width="2.88671875" style="121" customWidth="1"/>
    <col min="8" max="8" width="13.33203125" style="89" bestFit="1" customWidth="1"/>
    <col min="9" max="9" width="13.109375" style="89" bestFit="1" customWidth="1"/>
    <col min="10" max="10" width="10.44140625" style="89" customWidth="1"/>
    <col min="11" max="11" width="13.33203125" style="89" customWidth="1"/>
    <col min="12" max="16384" width="8.44140625" style="89"/>
  </cols>
  <sheetData>
    <row r="1" spans="1:11">
      <c r="A1" s="1262" t="str">
        <f>Allocation!A1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</row>
    <row r="2" spans="1:11">
      <c r="A2" s="1262" t="str">
        <f>Allocation!A2</f>
        <v>Kentucky Jurisdiction Case No. 2015-00343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</row>
    <row r="3" spans="1:11">
      <c r="A3" s="1262" t="s">
        <v>994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</row>
    <row r="4" spans="1:11">
      <c r="A4" s="1262" t="str">
        <f>'B.1 F '!A4</f>
        <v>as of May 31, 2017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</row>
    <row r="7" spans="1:11">
      <c r="A7" s="95" t="str">
        <f>'B.1 F '!A6</f>
        <v>Data:______Base Period__X___Forecasted Period</v>
      </c>
      <c r="K7" s="653" t="s">
        <v>1516</v>
      </c>
    </row>
    <row r="8" spans="1:11">
      <c r="A8" s="95" t="str">
        <f>'B.1 F '!A7</f>
        <v>Type of Filing:___X____Original________Updated ________Revised</v>
      </c>
      <c r="B8" s="4"/>
      <c r="K8" s="925" t="s">
        <v>721</v>
      </c>
    </row>
    <row r="9" spans="1:11">
      <c r="A9" s="626" t="str">
        <f>'B.1 F '!A8</f>
        <v>Workpaper Reference No(s).</v>
      </c>
      <c r="B9" s="121"/>
      <c r="C9" s="121"/>
      <c r="D9" s="121"/>
      <c r="E9" s="121"/>
      <c r="F9" s="121"/>
      <c r="H9" s="121"/>
      <c r="I9" s="121"/>
      <c r="K9" s="926" t="str">
        <f>'B.1 B'!F8</f>
        <v>Witness:   Waller</v>
      </c>
    </row>
    <row r="10" spans="1:11">
      <c r="A10" s="440"/>
      <c r="B10" s="441"/>
      <c r="C10" s="1256" t="s">
        <v>165</v>
      </c>
      <c r="D10" s="1257"/>
      <c r="E10" s="1257"/>
      <c r="F10" s="1258"/>
      <c r="H10" s="1259" t="s">
        <v>527</v>
      </c>
      <c r="I10" s="1260"/>
      <c r="J10" s="1260"/>
      <c r="K10" s="1261"/>
    </row>
    <row r="11" spans="1:11">
      <c r="A11" s="627"/>
      <c r="B11" s="628"/>
      <c r="C11" s="440"/>
      <c r="D11" s="436" t="s">
        <v>13</v>
      </c>
      <c r="E11" s="437" t="s">
        <v>11</v>
      </c>
      <c r="F11" s="441"/>
      <c r="H11" s="440"/>
      <c r="I11" s="436" t="s">
        <v>13</v>
      </c>
      <c r="J11" s="437" t="s">
        <v>11</v>
      </c>
      <c r="K11" s="441"/>
    </row>
    <row r="12" spans="1:11">
      <c r="A12" s="629" t="s">
        <v>98</v>
      </c>
      <c r="B12" s="628"/>
      <c r="C12" s="771">
        <f>'B.2 F'!D10</f>
        <v>42886</v>
      </c>
      <c r="D12" s="46" t="s">
        <v>14</v>
      </c>
      <c r="E12" s="101" t="s">
        <v>610</v>
      </c>
      <c r="F12" s="442" t="s">
        <v>12</v>
      </c>
      <c r="G12" s="317"/>
      <c r="H12" s="771">
        <f>C12</f>
        <v>42886</v>
      </c>
      <c r="I12" s="46" t="s">
        <v>14</v>
      </c>
      <c r="J12" s="101" t="s">
        <v>610</v>
      </c>
      <c r="K12" s="442" t="s">
        <v>12</v>
      </c>
    </row>
    <row r="13" spans="1:11">
      <c r="A13" s="630" t="s">
        <v>104</v>
      </c>
      <c r="B13" s="631" t="s">
        <v>1004</v>
      </c>
      <c r="C13" s="430" t="s">
        <v>326</v>
      </c>
      <c r="D13" s="255" t="s">
        <v>643</v>
      </c>
      <c r="E13" s="255" t="s">
        <v>643</v>
      </c>
      <c r="F13" s="443" t="s">
        <v>109</v>
      </c>
      <c r="G13" s="317"/>
      <c r="H13" s="430" t="s">
        <v>391</v>
      </c>
      <c r="I13" s="255" t="s">
        <v>643</v>
      </c>
      <c r="J13" s="255" t="s">
        <v>643</v>
      </c>
      <c r="K13" s="443" t="s">
        <v>109</v>
      </c>
    </row>
    <row r="14" spans="1:11">
      <c r="C14" s="316"/>
      <c r="F14" s="316"/>
      <c r="G14" s="317"/>
      <c r="H14" s="316"/>
      <c r="I14" s="316"/>
      <c r="K14" s="316"/>
    </row>
    <row r="16" spans="1:11">
      <c r="A16" s="316">
        <v>1</v>
      </c>
      <c r="B16" s="95" t="s">
        <v>534</v>
      </c>
      <c r="C16" s="113"/>
      <c r="D16" s="316"/>
      <c r="E16" s="316"/>
      <c r="F16" s="90"/>
      <c r="G16" s="111"/>
      <c r="H16" s="113"/>
      <c r="I16" s="113"/>
      <c r="J16" s="316"/>
      <c r="K16" s="90"/>
    </row>
    <row r="17" spans="1:11">
      <c r="A17" s="316">
        <v>2</v>
      </c>
      <c r="B17" s="410" t="s">
        <v>1192</v>
      </c>
      <c r="C17" s="439">
        <f>'WP B.4.1F'!O15</f>
        <v>-740439.30500000005</v>
      </c>
      <c r="D17" s="457">
        <v>1</v>
      </c>
      <c r="E17" s="457">
        <v>1</v>
      </c>
      <c r="F17" s="450">
        <f>C17*D17*E17</f>
        <v>-740439.30500000005</v>
      </c>
      <c r="G17" s="111"/>
      <c r="H17" s="439">
        <f>'WP B.4.1F'!P15</f>
        <v>-740439.30499999982</v>
      </c>
      <c r="I17" s="444">
        <f t="shared" ref="I17:J20" si="0">D17</f>
        <v>1</v>
      </c>
      <c r="J17" s="444">
        <f t="shared" si="0"/>
        <v>1</v>
      </c>
      <c r="K17" s="450">
        <f>H17*I17*J17</f>
        <v>-740439.30499999982</v>
      </c>
    </row>
    <row r="18" spans="1:11">
      <c r="A18" s="316">
        <v>3</v>
      </c>
      <c r="B18" s="410" t="s">
        <v>1193</v>
      </c>
      <c r="C18" s="452">
        <f>'WP B.4.1F'!O20</f>
        <v>1941222.496111111</v>
      </c>
      <c r="D18" s="457">
        <v>1</v>
      </c>
      <c r="E18" s="458">
        <f>Allocation!D17</f>
        <v>0.49090457251500325</v>
      </c>
      <c r="F18" s="451">
        <f>C18*D18*E18</f>
        <v>952954.99960993254</v>
      </c>
      <c r="G18" s="111"/>
      <c r="H18" s="452">
        <f>'WP B.4.1F'!P20</f>
        <v>2458598.6089316243</v>
      </c>
      <c r="I18" s="444">
        <f t="shared" si="0"/>
        <v>1</v>
      </c>
      <c r="J18" s="96">
        <f t="shared" si="0"/>
        <v>0.49090457251500325</v>
      </c>
      <c r="K18" s="451">
        <f>H18*I18*J18</f>
        <v>1206937.2991035606</v>
      </c>
    </row>
    <row r="19" spans="1:11">
      <c r="A19" s="316">
        <v>4</v>
      </c>
      <c r="B19" s="410" t="s">
        <v>1194</v>
      </c>
      <c r="C19" s="452">
        <f>'WP B.4.1F'!O25</f>
        <v>0</v>
      </c>
      <c r="D19" s="458">
        <f>Allocation!C14</f>
        <v>0.1071</v>
      </c>
      <c r="E19" s="458">
        <f>Allocation!D14</f>
        <v>0.49090457251500325</v>
      </c>
      <c r="F19" s="451">
        <f>C19*D19*E19</f>
        <v>0</v>
      </c>
      <c r="G19" s="111"/>
      <c r="H19" s="452">
        <f>'WP B.4.1F'!P25</f>
        <v>0</v>
      </c>
      <c r="I19" s="96">
        <f t="shared" si="0"/>
        <v>0.1071</v>
      </c>
      <c r="J19" s="96">
        <f t="shared" si="0"/>
        <v>0.49090457251500325</v>
      </c>
      <c r="K19" s="451">
        <f>H19*I19*J19</f>
        <v>0</v>
      </c>
    </row>
    <row r="20" spans="1:11">
      <c r="A20" s="316">
        <v>5</v>
      </c>
      <c r="B20" s="410" t="s">
        <v>1195</v>
      </c>
      <c r="C20" s="453">
        <f>'WP B.4.1F'!O30</f>
        <v>0</v>
      </c>
      <c r="D20" s="458">
        <f>Allocation!C15</f>
        <v>0.1086</v>
      </c>
      <c r="E20" s="458">
        <f>Allocation!D15</f>
        <v>0.52599015110063552</v>
      </c>
      <c r="F20" s="454">
        <f>C20*D20*E20</f>
        <v>0</v>
      </c>
      <c r="G20" s="111"/>
      <c r="H20" s="453">
        <f>'WP B.4.1F'!T30</f>
        <v>0</v>
      </c>
      <c r="I20" s="96">
        <f t="shared" si="0"/>
        <v>0.1086</v>
      </c>
      <c r="J20" s="96">
        <f t="shared" si="0"/>
        <v>0.52599015110063552</v>
      </c>
      <c r="K20" s="454">
        <f>H20*I20*J20</f>
        <v>0</v>
      </c>
    </row>
    <row r="21" spans="1:11">
      <c r="A21" s="316">
        <v>6</v>
      </c>
      <c r="B21" s="363" t="s">
        <v>101</v>
      </c>
      <c r="C21" s="439">
        <f>SUM(C17:C20)</f>
        <v>1200783.1911111111</v>
      </c>
      <c r="D21" s="246"/>
      <c r="E21" s="316"/>
      <c r="F21" s="439">
        <f>SUM(F17:F20)</f>
        <v>212515.69460993249</v>
      </c>
      <c r="G21" s="111"/>
      <c r="H21" s="439">
        <f>SUM(H17:H20)</f>
        <v>1718159.3039316246</v>
      </c>
      <c r="I21" s="113"/>
      <c r="J21" s="316"/>
      <c r="K21" s="439">
        <f>SUM(K17:K20)</f>
        <v>466497.99410356081</v>
      </c>
    </row>
    <row r="22" spans="1:11">
      <c r="A22" s="316">
        <v>7</v>
      </c>
      <c r="C22" s="123"/>
      <c r="F22" s="90"/>
      <c r="G22" s="111"/>
      <c r="H22" s="123"/>
      <c r="I22" s="113"/>
      <c r="K22" s="90"/>
    </row>
    <row r="23" spans="1:11">
      <c r="A23" s="316">
        <v>8</v>
      </c>
      <c r="B23" s="95" t="s">
        <v>535</v>
      </c>
      <c r="C23" s="113"/>
      <c r="D23" s="316"/>
      <c r="E23" s="316"/>
      <c r="F23" s="90"/>
      <c r="G23" s="111"/>
      <c r="H23" s="113"/>
      <c r="I23" s="113"/>
      <c r="J23" s="316"/>
      <c r="K23" s="90"/>
    </row>
    <row r="24" spans="1:11">
      <c r="A24" s="316">
        <v>9</v>
      </c>
      <c r="B24" s="410" t="s">
        <v>1192</v>
      </c>
      <c r="C24" s="439">
        <f>'WP B.4.1F'!O34</f>
        <v>794950.46160146035</v>
      </c>
      <c r="D24" s="444">
        <f t="shared" ref="D24:E27" si="1">D17</f>
        <v>1</v>
      </c>
      <c r="E24" s="444">
        <f t="shared" si="1"/>
        <v>1</v>
      </c>
      <c r="F24" s="450">
        <f>C24*D24*E24</f>
        <v>794950.46160146035</v>
      </c>
      <c r="G24" s="111"/>
      <c r="H24" s="439">
        <f>'WP B.4.1F'!P34</f>
        <v>6229573.3901578095</v>
      </c>
      <c r="I24" s="444">
        <f t="shared" ref="I24:J27" si="2">I17</f>
        <v>1</v>
      </c>
      <c r="J24" s="444">
        <f t="shared" si="2"/>
        <v>1</v>
      </c>
      <c r="K24" s="450">
        <f>H24*I24*J24</f>
        <v>6229573.3901578095</v>
      </c>
    </row>
    <row r="25" spans="1:11">
      <c r="A25" s="316">
        <v>10</v>
      </c>
      <c r="B25" s="410" t="s">
        <v>1193</v>
      </c>
      <c r="C25" s="448">
        <f>'WP B.4.1F'!O36</f>
        <v>0</v>
      </c>
      <c r="D25" s="444">
        <f t="shared" si="1"/>
        <v>1</v>
      </c>
      <c r="E25" s="96">
        <f t="shared" si="1"/>
        <v>0.49090457251500325</v>
      </c>
      <c r="F25" s="451">
        <f>C25*D25*E25</f>
        <v>0</v>
      </c>
      <c r="G25" s="111"/>
      <c r="H25" s="448">
        <f>'WP B.4.1F'!P36</f>
        <v>0</v>
      </c>
      <c r="I25" s="444">
        <f t="shared" si="2"/>
        <v>1</v>
      </c>
      <c r="J25" s="96">
        <f t="shared" si="2"/>
        <v>0.49090457251500325</v>
      </c>
      <c r="K25" s="451">
        <f>H25*I25*J25</f>
        <v>0</v>
      </c>
    </row>
    <row r="26" spans="1:11">
      <c r="A26" s="316">
        <v>11</v>
      </c>
      <c r="B26" s="410" t="s">
        <v>1194</v>
      </c>
      <c r="C26" s="448">
        <f>'WP B.4.1F'!O38</f>
        <v>0</v>
      </c>
      <c r="D26" s="96">
        <f t="shared" si="1"/>
        <v>0.1071</v>
      </c>
      <c r="E26" s="96">
        <f t="shared" si="1"/>
        <v>0.49090457251500325</v>
      </c>
      <c r="F26" s="451">
        <f>C26*D26*E26</f>
        <v>0</v>
      </c>
      <c r="G26" s="111"/>
      <c r="H26" s="448">
        <f>'WP B.4.1F'!P38</f>
        <v>0</v>
      </c>
      <c r="I26" s="96">
        <f t="shared" si="2"/>
        <v>0.1071</v>
      </c>
      <c r="J26" s="96">
        <f t="shared" si="2"/>
        <v>0.49090457251500325</v>
      </c>
      <c r="K26" s="451">
        <f>H26*I26*J26</f>
        <v>0</v>
      </c>
    </row>
    <row r="27" spans="1:11">
      <c r="A27" s="316">
        <v>12</v>
      </c>
      <c r="B27" s="410" t="s">
        <v>1195</v>
      </c>
      <c r="C27" s="449">
        <f>'WP B.4.1F'!O40</f>
        <v>0</v>
      </c>
      <c r="D27" s="96">
        <f t="shared" si="1"/>
        <v>0.1086</v>
      </c>
      <c r="E27" s="96">
        <f t="shared" si="1"/>
        <v>0.52599015110063552</v>
      </c>
      <c r="F27" s="454">
        <f>C27*D27*E27</f>
        <v>0</v>
      </c>
      <c r="G27" s="111"/>
      <c r="H27" s="449">
        <f>'WP B.4.1F'!P40</f>
        <v>0</v>
      </c>
      <c r="I27" s="96">
        <f t="shared" si="2"/>
        <v>0.1086</v>
      </c>
      <c r="J27" s="96">
        <f t="shared" si="2"/>
        <v>0.52599015110063552</v>
      </c>
      <c r="K27" s="454">
        <f>H27*I27*J27</f>
        <v>0</v>
      </c>
    </row>
    <row r="28" spans="1:11">
      <c r="A28" s="316">
        <v>13</v>
      </c>
      <c r="B28" s="363" t="s">
        <v>101</v>
      </c>
      <c r="C28" s="439">
        <f>SUM(C24:C27)</f>
        <v>794950.46160146035</v>
      </c>
      <c r="D28" s="316"/>
      <c r="E28" s="316"/>
      <c r="F28" s="439">
        <f>SUM(F24:F27)</f>
        <v>794950.46160146035</v>
      </c>
      <c r="G28" s="111"/>
      <c r="H28" s="439">
        <f>SUM(H24:H27)</f>
        <v>6229573.3901578095</v>
      </c>
      <c r="I28" s="113"/>
      <c r="J28" s="316"/>
      <c r="K28" s="439">
        <f>SUM(K24:K27)</f>
        <v>6229573.3901578095</v>
      </c>
    </row>
    <row r="29" spans="1:11">
      <c r="A29" s="316">
        <v>14</v>
      </c>
      <c r="B29" s="363"/>
      <c r="C29" s="135"/>
      <c r="D29" s="318"/>
      <c r="E29" s="318"/>
      <c r="F29" s="111"/>
      <c r="G29" s="111"/>
      <c r="H29" s="135"/>
      <c r="I29" s="114"/>
      <c r="J29" s="317"/>
      <c r="K29" s="90"/>
    </row>
    <row r="30" spans="1:11">
      <c r="A30" s="316">
        <v>15</v>
      </c>
      <c r="B30" s="95" t="s">
        <v>536</v>
      </c>
      <c r="C30" s="114"/>
      <c r="D30" s="316"/>
      <c r="E30" s="316"/>
      <c r="F30" s="111"/>
      <c r="G30" s="111"/>
      <c r="H30" s="114"/>
      <c r="I30" s="114"/>
      <c r="J30" s="316"/>
      <c r="K30" s="111"/>
    </row>
    <row r="31" spans="1:11">
      <c r="A31" s="316">
        <v>16</v>
      </c>
      <c r="B31" s="410" t="s">
        <v>1192</v>
      </c>
      <c r="C31" s="439">
        <f>'WP B.4.1F'!O44</f>
        <v>198050.98500000002</v>
      </c>
      <c r="D31" s="444">
        <f t="shared" ref="D31:E34" si="3">D17</f>
        <v>1</v>
      </c>
      <c r="E31" s="444">
        <f t="shared" si="3"/>
        <v>1</v>
      </c>
      <c r="F31" s="450">
        <f>C31*D31*E31</f>
        <v>198050.98500000002</v>
      </c>
      <c r="G31" s="111"/>
      <c r="H31" s="439">
        <f>'WP B.4.1F'!P44</f>
        <v>198050.98500000002</v>
      </c>
      <c r="I31" s="444">
        <f t="shared" ref="I31:J34" si="4">I17</f>
        <v>1</v>
      </c>
      <c r="J31" s="444">
        <f t="shared" si="4"/>
        <v>1</v>
      </c>
      <c r="K31" s="450">
        <f>H31*I31*J31</f>
        <v>198050.98500000002</v>
      </c>
    </row>
    <row r="32" spans="1:11">
      <c r="A32" s="316">
        <v>17</v>
      </c>
      <c r="B32" s="410" t="s">
        <v>1193</v>
      </c>
      <c r="C32" s="452">
        <f>'WP B.4.1F'!O46</f>
        <v>16870.152857142857</v>
      </c>
      <c r="D32" s="444">
        <f t="shared" si="3"/>
        <v>1</v>
      </c>
      <c r="E32" s="96">
        <f t="shared" si="3"/>
        <v>0.49090457251500325</v>
      </c>
      <c r="F32" s="451">
        <f>C32*D32*E32</f>
        <v>8281.6351765984746</v>
      </c>
      <c r="G32" s="111"/>
      <c r="H32" s="452">
        <f>'WP B.4.1F'!P46</f>
        <v>3213.3471428571424</v>
      </c>
      <c r="I32" s="444">
        <f t="shared" si="4"/>
        <v>1</v>
      </c>
      <c r="J32" s="96">
        <f t="shared" si="4"/>
        <v>0.49090457251500325</v>
      </c>
      <c r="K32" s="451">
        <f>H32*I32*J32</f>
        <v>1577.4468055065927</v>
      </c>
    </row>
    <row r="33" spans="1:11">
      <c r="A33" s="316">
        <v>18</v>
      </c>
      <c r="B33" s="410" t="s">
        <v>1194</v>
      </c>
      <c r="C33" s="452">
        <f>'WP B.4.1F'!O48</f>
        <v>25758680.050000001</v>
      </c>
      <c r="D33" s="96">
        <f t="shared" si="3"/>
        <v>0.1071</v>
      </c>
      <c r="E33" s="96">
        <f t="shared" si="3"/>
        <v>0.49090457251500325</v>
      </c>
      <c r="F33" s="451">
        <f>C33*D33*E33</f>
        <v>1354285.2639609207</v>
      </c>
      <c r="G33" s="111"/>
      <c r="H33" s="452">
        <f>'WP B.4.1F'!P48</f>
        <v>25758680.050000008</v>
      </c>
      <c r="I33" s="96">
        <f t="shared" si="4"/>
        <v>0.1071</v>
      </c>
      <c r="J33" s="96">
        <f t="shared" si="4"/>
        <v>0.49090457251500325</v>
      </c>
      <c r="K33" s="451">
        <f>H33*I33*J33</f>
        <v>1354285.2639609212</v>
      </c>
    </row>
    <row r="34" spans="1:11">
      <c r="A34" s="316">
        <v>19</v>
      </c>
      <c r="B34" s="410" t="s">
        <v>1195</v>
      </c>
      <c r="C34" s="453" t="str">
        <f>'WP B.4.1F'!O50</f>
        <v xml:space="preserve"> 0</v>
      </c>
      <c r="D34" s="96">
        <f t="shared" si="3"/>
        <v>0.1086</v>
      </c>
      <c r="E34" s="96">
        <f t="shared" si="3"/>
        <v>0.52599015110063552</v>
      </c>
      <c r="F34" s="454">
        <f>C34*D34*E34</f>
        <v>0</v>
      </c>
      <c r="G34" s="111"/>
      <c r="H34" s="453">
        <f>'WP B.4.1F'!P50</f>
        <v>0</v>
      </c>
      <c r="I34" s="96">
        <f t="shared" si="4"/>
        <v>0.1086</v>
      </c>
      <c r="J34" s="96">
        <f t="shared" si="4"/>
        <v>0.52599015110063552</v>
      </c>
      <c r="K34" s="454">
        <f>H34*I34*J34</f>
        <v>0</v>
      </c>
    </row>
    <row r="35" spans="1:11">
      <c r="A35" s="316">
        <v>20</v>
      </c>
      <c r="B35" s="363" t="s">
        <v>101</v>
      </c>
      <c r="C35" s="439">
        <f>SUM(C31:C34)</f>
        <v>25973601.187857144</v>
      </c>
      <c r="D35" s="316"/>
      <c r="E35" s="316"/>
      <c r="F35" s="439">
        <f>SUM(F31:F34)</f>
        <v>1560617.8841375192</v>
      </c>
      <c r="G35" s="111"/>
      <c r="H35" s="439">
        <f>SUM(H31:H34)</f>
        <v>25959944.382142864</v>
      </c>
      <c r="I35" s="113"/>
      <c r="J35" s="316"/>
      <c r="K35" s="439">
        <f>SUM(K31:K34)</f>
        <v>1553913.6957664278</v>
      </c>
    </row>
    <row r="36" spans="1:11">
      <c r="A36" s="316">
        <v>21</v>
      </c>
      <c r="B36" s="363"/>
      <c r="D36" s="319"/>
      <c r="E36" s="319"/>
      <c r="F36" s="90"/>
      <c r="G36" s="111"/>
      <c r="H36" s="90"/>
      <c r="I36" s="90"/>
      <c r="K36" s="90"/>
    </row>
    <row r="37" spans="1:11" ht="15.75" thickBot="1">
      <c r="A37" s="316">
        <v>22</v>
      </c>
      <c r="B37" s="95" t="s">
        <v>504</v>
      </c>
      <c r="C37" s="446">
        <f>C35+C28+C21</f>
        <v>27969334.840569712</v>
      </c>
      <c r="F37" s="446">
        <f>F35+F28+F21</f>
        <v>2568084.0403489121</v>
      </c>
      <c r="G37" s="111"/>
      <c r="H37" s="446">
        <f>H35+H28+H21</f>
        <v>33907677.076232299</v>
      </c>
      <c r="I37" s="111"/>
      <c r="K37" s="446">
        <f>K21+K28+K35</f>
        <v>8249985.0800277982</v>
      </c>
    </row>
    <row r="38" spans="1:11" ht="15.75" thickTop="1">
      <c r="D38" s="319"/>
      <c r="E38" s="319"/>
      <c r="F38" s="90"/>
      <c r="G38" s="111"/>
      <c r="H38" s="90"/>
      <c r="I38" s="90"/>
    </row>
    <row r="39" spans="1:11">
      <c r="A39" s="316"/>
      <c r="F39" s="90"/>
      <c r="G39" s="111"/>
      <c r="H39" s="90"/>
      <c r="I39" s="90"/>
    </row>
    <row r="40" spans="1:11">
      <c r="D40" s="319"/>
      <c r="E40" s="319"/>
      <c r="F40" s="90"/>
      <c r="G40" s="111"/>
    </row>
    <row r="41" spans="1:11">
      <c r="C41" s="90"/>
      <c r="F41" s="90"/>
      <c r="G41" s="111"/>
    </row>
    <row r="42" spans="1:11">
      <c r="D42" s="319"/>
      <c r="E42" s="319"/>
      <c r="F42" s="90"/>
      <c r="G42" s="111"/>
    </row>
    <row r="43" spans="1:11">
      <c r="F43" s="90"/>
      <c r="G43" s="111"/>
    </row>
    <row r="44" spans="1:11">
      <c r="D44" s="319"/>
      <c r="E44" s="319"/>
      <c r="F44" s="90"/>
      <c r="G44" s="111"/>
    </row>
    <row r="45" spans="1:11">
      <c r="F45" s="90"/>
      <c r="G45" s="111"/>
    </row>
    <row r="46" spans="1:11">
      <c r="D46" s="319"/>
      <c r="E46" s="319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80" zoomScaleNormal="90" zoomScaleSheetLayoutView="80" workbookViewId="0">
      <selection sqref="A1:H1"/>
    </sheetView>
  </sheetViews>
  <sheetFormatPr defaultColWidth="8.44140625" defaultRowHeight="15"/>
  <cols>
    <col min="1" max="1" width="6.6640625" style="60" customWidth="1"/>
    <col min="2" max="2" width="34.109375" style="60" customWidth="1"/>
    <col min="3" max="3" width="3.88671875" style="60" customWidth="1"/>
    <col min="4" max="4" width="13.109375" style="60" customWidth="1"/>
    <col min="5" max="5" width="4.33203125" style="60" customWidth="1"/>
    <col min="6" max="6" width="14.44140625" style="60" customWidth="1"/>
    <col min="7" max="7" width="3.88671875" style="60" customWidth="1"/>
    <col min="8" max="8" width="13.109375" style="60" customWidth="1"/>
    <col min="9" max="9" width="6.6640625" style="60" customWidth="1"/>
    <col min="10" max="10" width="7.5546875" style="60" customWidth="1"/>
    <col min="11" max="11" width="3.33203125" style="60" customWidth="1"/>
    <col min="12" max="12" width="11.88671875" style="60" customWidth="1"/>
    <col min="13" max="13" width="3.33203125" style="60" customWidth="1"/>
    <col min="14" max="14" width="14.44140625" style="60" customWidth="1"/>
    <col min="15" max="16384" width="8.44140625" style="60"/>
  </cols>
  <sheetData>
    <row r="1" spans="1:11" s="1" customFormat="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</row>
    <row r="2" spans="1:11" s="1" customFormat="1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</row>
    <row r="3" spans="1:11" s="1" customFormat="1">
      <c r="A3" s="1263" t="s">
        <v>1186</v>
      </c>
      <c r="B3" s="1263"/>
      <c r="C3" s="1263"/>
      <c r="D3" s="1263"/>
      <c r="E3" s="1263"/>
      <c r="F3" s="1263"/>
      <c r="G3" s="1263"/>
      <c r="H3" s="1263"/>
    </row>
    <row r="4" spans="1:11">
      <c r="A4" s="1263" t="str">
        <f>'B.1 B'!A4</f>
        <v>as of February 29, 2016</v>
      </c>
      <c r="B4" s="1263"/>
      <c r="C4" s="1263"/>
      <c r="D4" s="1263"/>
      <c r="E4" s="1263"/>
      <c r="F4" s="1263"/>
      <c r="G4" s="1263"/>
      <c r="H4" s="1263"/>
    </row>
    <row r="7" spans="1:11">
      <c r="A7" s="245" t="str">
        <f>'B.1 B'!A6</f>
        <v>Data:__X___Base Period______Forecasted Period</v>
      </c>
      <c r="H7" s="675" t="s">
        <v>1517</v>
      </c>
    </row>
    <row r="8" spans="1:11">
      <c r="A8" s="245" t="str">
        <f>'B.1 B'!A7</f>
        <v>Type of Filing:___X____Original________Updated ________Revised</v>
      </c>
      <c r="B8" s="4"/>
      <c r="H8" s="898" t="s">
        <v>722</v>
      </c>
    </row>
    <row r="9" spans="1:11">
      <c r="A9" s="263" t="str">
        <f>'B.1 B'!A8</f>
        <v>Workpaper Reference No(s).</v>
      </c>
      <c r="B9" s="260"/>
      <c r="C9" s="260"/>
      <c r="D9" s="260"/>
      <c r="E9" s="260"/>
      <c r="F9" s="260"/>
      <c r="G9" s="260"/>
      <c r="H9" s="899" t="str">
        <f>'B.1 B'!F8</f>
        <v>Witness:   Waller</v>
      </c>
      <c r="I9" s="261"/>
    </row>
    <row r="10" spans="1:11">
      <c r="A10" s="258" t="s">
        <v>98</v>
      </c>
      <c r="D10" s="258" t="s">
        <v>503</v>
      </c>
      <c r="F10" s="258" t="s">
        <v>32</v>
      </c>
      <c r="H10" s="258" t="s">
        <v>102</v>
      </c>
      <c r="I10" s="261"/>
    </row>
    <row r="11" spans="1:11">
      <c r="A11" s="303" t="s">
        <v>104</v>
      </c>
      <c r="B11" s="303" t="s">
        <v>1004</v>
      </c>
      <c r="C11" s="260"/>
      <c r="D11" s="303" t="s">
        <v>107</v>
      </c>
      <c r="E11" s="260"/>
      <c r="F11" s="303" t="s">
        <v>108</v>
      </c>
      <c r="G11" s="260"/>
      <c r="H11" s="303" t="s">
        <v>109</v>
      </c>
      <c r="I11" s="261"/>
    </row>
    <row r="12" spans="1:11">
      <c r="D12" s="258" t="s">
        <v>1112</v>
      </c>
      <c r="F12" s="258" t="s">
        <v>1113</v>
      </c>
      <c r="H12" s="258" t="s">
        <v>1114</v>
      </c>
      <c r="I12" s="261"/>
    </row>
    <row r="14" spans="1:11">
      <c r="A14" s="104">
        <v>1</v>
      </c>
      <c r="B14" s="245" t="s">
        <v>801</v>
      </c>
      <c r="D14" s="257"/>
      <c r="F14" s="377"/>
      <c r="H14" s="257"/>
      <c r="K14" s="257"/>
    </row>
    <row r="15" spans="1:11">
      <c r="A15" s="104"/>
      <c r="E15" s="257"/>
      <c r="F15" s="302"/>
      <c r="G15" s="257"/>
      <c r="H15" s="257"/>
      <c r="I15" s="257"/>
      <c r="K15" s="257"/>
    </row>
    <row r="16" spans="1:11">
      <c r="A16" s="104">
        <f>1+A14</f>
        <v>2</v>
      </c>
      <c r="B16" s="320" t="str">
        <f>+C.2!C18</f>
        <v>Production O&amp;M Expense</v>
      </c>
      <c r="D16" s="632">
        <f>+C.2!D18</f>
        <v>97.508702239093509</v>
      </c>
      <c r="F16" s="258" t="s">
        <v>1116</v>
      </c>
      <c r="H16" s="632">
        <f>(D16*0.125)</f>
        <v>12.188587779886689</v>
      </c>
      <c r="K16" s="257"/>
    </row>
    <row r="17" spans="1:11">
      <c r="A17" s="104"/>
      <c r="B17" s="321"/>
      <c r="K17" s="257"/>
    </row>
    <row r="18" spans="1:11">
      <c r="A18" s="104">
        <f>1+A16</f>
        <v>3</v>
      </c>
      <c r="B18" s="320" t="str">
        <f>+C.2!C19</f>
        <v>Storage O&amp;M Expense</v>
      </c>
      <c r="D18" s="257">
        <f>+C.2!D19</f>
        <v>362408.55462948012</v>
      </c>
      <c r="E18" s="257"/>
      <c r="F18" s="258" t="s">
        <v>1116</v>
      </c>
      <c r="G18" s="257"/>
      <c r="H18" s="257">
        <f>(D18*0.125)</f>
        <v>45301.069328685015</v>
      </c>
      <c r="I18" s="257"/>
      <c r="K18" s="257"/>
    </row>
    <row r="19" spans="1:11">
      <c r="A19" s="104"/>
      <c r="B19" s="321"/>
      <c r="E19" s="257"/>
      <c r="H19" s="257"/>
      <c r="I19" s="257"/>
      <c r="K19" s="257"/>
    </row>
    <row r="20" spans="1:11">
      <c r="A20" s="104">
        <f>1+A18</f>
        <v>4</v>
      </c>
      <c r="B20" s="320" t="str">
        <f>+C.2!C20</f>
        <v>Transmission O&amp;M Expense</v>
      </c>
      <c r="D20" s="257">
        <f>+C.2!D20</f>
        <v>362953.50522512116</v>
      </c>
      <c r="E20" s="257"/>
      <c r="F20" s="258" t="s">
        <v>1116</v>
      </c>
      <c r="G20" s="257"/>
      <c r="H20" s="257">
        <f>(D20*0.125)</f>
        <v>45369.188153140145</v>
      </c>
      <c r="K20" s="257"/>
    </row>
    <row r="21" spans="1:11">
      <c r="A21" s="104"/>
      <c r="B21" s="321"/>
      <c r="E21" s="257"/>
      <c r="F21" s="302"/>
      <c r="G21" s="257"/>
      <c r="H21" s="257"/>
      <c r="I21" s="257"/>
      <c r="K21" s="257"/>
    </row>
    <row r="22" spans="1:11">
      <c r="A22" s="104">
        <f>1+A20</f>
        <v>5</v>
      </c>
      <c r="B22" s="320" t="str">
        <f>+C.2!C21</f>
        <v>Distribution O&amp;M Expense</v>
      </c>
      <c r="D22" s="257">
        <f>+C.2!D21</f>
        <v>7317820.6217355933</v>
      </c>
      <c r="E22" s="257"/>
      <c r="F22" s="258" t="s">
        <v>1116</v>
      </c>
      <c r="G22" s="257"/>
      <c r="H22" s="257">
        <f>(D22*0.125)</f>
        <v>914727.57771694916</v>
      </c>
      <c r="I22" s="257"/>
      <c r="K22" s="257"/>
    </row>
    <row r="23" spans="1:11">
      <c r="A23" s="104"/>
      <c r="B23" s="321"/>
      <c r="E23" s="257"/>
      <c r="F23" s="302"/>
      <c r="G23" s="257"/>
      <c r="H23" s="257"/>
      <c r="I23" s="257"/>
      <c r="K23" s="257"/>
    </row>
    <row r="24" spans="1:11">
      <c r="A24" s="104">
        <f>1+A22</f>
        <v>6</v>
      </c>
      <c r="B24" s="321" t="str">
        <f>+C.2!C22</f>
        <v>Customer Accting. &amp; Collection</v>
      </c>
      <c r="D24" s="60">
        <f>+C.2!D22</f>
        <v>2146958.8701182501</v>
      </c>
      <c r="E24" s="257"/>
      <c r="F24" s="258" t="s">
        <v>1116</v>
      </c>
      <c r="G24" s="257"/>
      <c r="H24" s="257">
        <f>(D24*0.125)</f>
        <v>268369.85876478127</v>
      </c>
      <c r="I24" s="257"/>
      <c r="K24" s="257"/>
    </row>
    <row r="25" spans="1:11">
      <c r="A25" s="104"/>
      <c r="B25" s="321"/>
      <c r="E25" s="257"/>
      <c r="F25" s="302"/>
      <c r="G25" s="257"/>
      <c r="H25" s="257"/>
      <c r="I25" s="257"/>
      <c r="K25" s="257"/>
    </row>
    <row r="26" spans="1:11">
      <c r="A26" s="104">
        <f>1+A24</f>
        <v>7</v>
      </c>
      <c r="B26" s="320" t="str">
        <f>+C.2!C23</f>
        <v>Customer Service &amp; Information</v>
      </c>
      <c r="D26" s="257">
        <f>+C.2!D23</f>
        <v>125336.2162084311</v>
      </c>
      <c r="E26" s="257"/>
      <c r="F26" s="258" t="s">
        <v>1116</v>
      </c>
      <c r="G26" s="257"/>
      <c r="H26" s="257">
        <f>(D26*0.125)</f>
        <v>15667.027026053887</v>
      </c>
      <c r="I26" s="257"/>
      <c r="K26" s="257"/>
    </row>
    <row r="27" spans="1:11">
      <c r="A27" s="104"/>
      <c r="B27" s="321"/>
      <c r="D27" s="257"/>
      <c r="E27" s="257"/>
      <c r="F27" s="302"/>
      <c r="G27" s="257"/>
      <c r="H27" s="257"/>
      <c r="I27" s="257"/>
      <c r="K27" s="257"/>
    </row>
    <row r="28" spans="1:11">
      <c r="A28" s="104">
        <f>1+A26</f>
        <v>8</v>
      </c>
      <c r="B28" s="320" t="str">
        <f>+C.2!C24</f>
        <v>Sales Expense</v>
      </c>
      <c r="D28" s="257">
        <f>+C.2!D24</f>
        <v>337035.64807193889</v>
      </c>
      <c r="E28" s="257"/>
      <c r="F28" s="258" t="s">
        <v>1116</v>
      </c>
      <c r="G28" s="257"/>
      <c r="H28" s="257">
        <f>(D28*0.125)</f>
        <v>42129.456008992362</v>
      </c>
      <c r="I28" s="257"/>
      <c r="K28" s="257"/>
    </row>
    <row r="29" spans="1:11">
      <c r="A29" s="104"/>
      <c r="B29" s="321"/>
      <c r="D29" s="257"/>
      <c r="E29" s="257"/>
      <c r="F29" s="302"/>
      <c r="G29" s="257"/>
      <c r="H29" s="257"/>
      <c r="I29" s="257"/>
      <c r="K29" s="257"/>
    </row>
    <row r="30" spans="1:11">
      <c r="A30" s="104">
        <f>1+A28</f>
        <v>9</v>
      </c>
      <c r="B30" s="320" t="str">
        <f>+C.2!C25</f>
        <v>Admin. &amp; General Expense</v>
      </c>
      <c r="D30" s="262">
        <f>+C.2!D25</f>
        <v>15994833.752511442</v>
      </c>
      <c r="E30" s="257"/>
      <c r="F30" s="258" t="s">
        <v>1116</v>
      </c>
      <c r="G30" s="257"/>
      <c r="H30" s="262">
        <f>(D30*0.125)</f>
        <v>1999354.2190639302</v>
      </c>
      <c r="I30" s="257"/>
      <c r="K30" s="257"/>
    </row>
    <row r="31" spans="1:11">
      <c r="A31" s="104"/>
      <c r="D31" s="257"/>
      <c r="E31" s="257"/>
      <c r="F31" s="302"/>
      <c r="G31" s="257"/>
      <c r="H31" s="257"/>
      <c r="I31" s="257"/>
      <c r="K31" s="257"/>
    </row>
    <row r="32" spans="1:11" ht="15.75" thickBot="1">
      <c r="A32" s="104">
        <f>1+A30</f>
        <v>10</v>
      </c>
      <c r="B32" s="245" t="s">
        <v>139</v>
      </c>
      <c r="C32" s="266"/>
      <c r="D32" s="633">
        <f>SUM(D16:D30)</f>
        <v>26647444.677202497</v>
      </c>
      <c r="E32" s="257"/>
      <c r="G32" s="266"/>
      <c r="H32" s="633">
        <f>+D32*0.125</f>
        <v>3330930.5846503121</v>
      </c>
      <c r="I32" s="257"/>
      <c r="J32" s="60">
        <f>SUM(H16:H30)-H32</f>
        <v>0</v>
      </c>
      <c r="K32" s="257"/>
    </row>
    <row r="33" spans="2:11" ht="15.75" thickTop="1">
      <c r="E33" s="257"/>
      <c r="F33" s="302"/>
      <c r="G33" s="257"/>
      <c r="H33" s="257"/>
      <c r="I33" s="257"/>
      <c r="K33" s="257"/>
    </row>
    <row r="34" spans="2:11">
      <c r="E34" s="257"/>
      <c r="G34" s="257"/>
      <c r="H34" s="257"/>
      <c r="I34" s="257"/>
    </row>
    <row r="35" spans="2:11">
      <c r="B35" s="245"/>
      <c r="G35" s="257"/>
      <c r="H35" s="257"/>
      <c r="I35" s="257"/>
    </row>
    <row r="36" spans="2:11">
      <c r="B36" s="245"/>
      <c r="G36" s="257"/>
      <c r="H36" s="257"/>
      <c r="I36" s="257"/>
    </row>
    <row r="37" spans="2:11">
      <c r="B37" s="245"/>
      <c r="G37" s="257"/>
      <c r="H37" s="257"/>
      <c r="I37" s="257"/>
    </row>
    <row r="38" spans="2:11">
      <c r="G38" s="257"/>
      <c r="H38" s="257"/>
      <c r="I38" s="257"/>
    </row>
    <row r="39" spans="2:11">
      <c r="G39" s="257"/>
      <c r="H39" s="257"/>
      <c r="I39" s="257"/>
    </row>
    <row r="40" spans="2:11">
      <c r="G40" s="257"/>
      <c r="H40" s="257"/>
      <c r="I40" s="257"/>
    </row>
    <row r="41" spans="2:11">
      <c r="G41" s="257"/>
      <c r="H41" s="257"/>
      <c r="I41" s="257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80" zoomScaleNormal="90" zoomScaleSheetLayoutView="8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</row>
    <row r="2" spans="1:11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</row>
    <row r="3" spans="1:11">
      <c r="A3" s="1263" t="s">
        <v>1186</v>
      </c>
      <c r="B3" s="1263"/>
      <c r="C3" s="1263"/>
      <c r="D3" s="1263"/>
      <c r="E3" s="1263"/>
      <c r="F3" s="1263"/>
      <c r="G3" s="1263"/>
      <c r="H3" s="1263"/>
    </row>
    <row r="4" spans="1:11">
      <c r="A4" s="1263" t="str">
        <f>'B.1 F '!A4</f>
        <v>as of May 31, 2017</v>
      </c>
      <c r="B4" s="1263"/>
      <c r="C4" s="1263"/>
      <c r="D4" s="1263"/>
      <c r="E4" s="1263"/>
      <c r="F4" s="1263"/>
      <c r="G4" s="1263"/>
      <c r="H4" s="1263"/>
    </row>
    <row r="5" spans="1:11">
      <c r="A5" s="231"/>
      <c r="B5" s="231"/>
      <c r="C5" s="231"/>
      <c r="D5" s="231"/>
      <c r="E5" s="231"/>
      <c r="F5" s="231"/>
      <c r="G5" s="231"/>
      <c r="H5" s="231"/>
    </row>
    <row r="7" spans="1:11">
      <c r="A7" s="4" t="str">
        <f>'B.1 F '!A6</f>
        <v>Data:______Base Period__X___Forecasted Period</v>
      </c>
      <c r="H7" s="488" t="s">
        <v>1517</v>
      </c>
    </row>
    <row r="8" spans="1:11">
      <c r="A8" s="4" t="str">
        <f>'B.1 F '!A7</f>
        <v>Type of Filing:___X____Original________Updated ________Revised</v>
      </c>
      <c r="B8" s="4"/>
      <c r="H8" s="645" t="s">
        <v>723</v>
      </c>
    </row>
    <row r="9" spans="1:11">
      <c r="A9" s="73" t="str">
        <f>'B.1 F '!A8</f>
        <v>Workpaper Reference No(s).</v>
      </c>
      <c r="B9" s="6"/>
      <c r="C9" s="6"/>
      <c r="D9" s="6"/>
      <c r="E9" s="6"/>
      <c r="F9" s="6"/>
      <c r="G9" s="6"/>
      <c r="H9" s="646" t="str">
        <f>'B.1 F '!F8</f>
        <v>Witness:   Waller</v>
      </c>
      <c r="I9" s="47"/>
    </row>
    <row r="10" spans="1:11">
      <c r="A10" s="2" t="s">
        <v>98</v>
      </c>
      <c r="D10" s="2" t="s">
        <v>503</v>
      </c>
      <c r="F10" s="2" t="s">
        <v>32</v>
      </c>
      <c r="H10" s="2" t="s">
        <v>102</v>
      </c>
      <c r="I10" s="47"/>
    </row>
    <row r="11" spans="1:11">
      <c r="A11" s="44" t="s">
        <v>104</v>
      </c>
      <c r="B11" s="44" t="s">
        <v>1004</v>
      </c>
      <c r="C11" s="45"/>
      <c r="D11" s="44" t="s">
        <v>107</v>
      </c>
      <c r="E11" s="45"/>
      <c r="F11" s="44" t="s">
        <v>108</v>
      </c>
      <c r="G11" s="45"/>
      <c r="H11" s="44" t="s">
        <v>109</v>
      </c>
      <c r="I11" s="47"/>
    </row>
    <row r="12" spans="1:11">
      <c r="A12" s="46"/>
      <c r="B12" s="46"/>
      <c r="C12" s="47"/>
      <c r="D12" s="46" t="s">
        <v>1112</v>
      </c>
      <c r="E12" s="47"/>
      <c r="F12" s="46" t="s">
        <v>1113</v>
      </c>
      <c r="G12" s="47"/>
      <c r="H12" s="46" t="s">
        <v>1114</v>
      </c>
      <c r="I12" s="47"/>
    </row>
    <row r="13" spans="1:11">
      <c r="I13" s="47"/>
    </row>
    <row r="14" spans="1:11">
      <c r="A14" s="77">
        <v>1</v>
      </c>
      <c r="B14" s="4" t="s">
        <v>801</v>
      </c>
      <c r="D14" s="10"/>
      <c r="H14" s="10"/>
      <c r="I14" s="47"/>
      <c r="K14" s="10"/>
    </row>
    <row r="15" spans="1:11">
      <c r="A15" s="77"/>
      <c r="E15" s="10"/>
      <c r="F15" s="11"/>
      <c r="G15" s="10"/>
      <c r="H15" s="10"/>
      <c r="I15" s="63"/>
      <c r="K15" s="10"/>
    </row>
    <row r="16" spans="1:11">
      <c r="A16" s="77">
        <f>1+A14</f>
        <v>2</v>
      </c>
      <c r="B16" s="223" t="str">
        <f>+C.2!C18</f>
        <v>Production O&amp;M Expense</v>
      </c>
      <c r="D16" s="625">
        <f>+C.2!O18</f>
        <v>103.72113051435586</v>
      </c>
      <c r="F16" s="2" t="s">
        <v>1116</v>
      </c>
      <c r="H16" s="625">
        <f>(D16*0.125)</f>
        <v>12.965141314294483</v>
      </c>
    </row>
    <row r="17" spans="1:11">
      <c r="A17" s="77"/>
      <c r="B17" s="212"/>
    </row>
    <row r="18" spans="1:11">
      <c r="A18" s="77">
        <f>1+A16</f>
        <v>3</v>
      </c>
      <c r="B18" s="223" t="str">
        <f>+C.2!C19</f>
        <v>Storage O&amp;M Expense</v>
      </c>
      <c r="D18" s="10">
        <f>+C.2!O19</f>
        <v>352206.13597625424</v>
      </c>
      <c r="E18" s="10"/>
      <c r="F18" s="2" t="s">
        <v>1116</v>
      </c>
      <c r="G18" s="10"/>
      <c r="H18" s="10">
        <f>(D18*0.125)</f>
        <v>44025.76699703178</v>
      </c>
      <c r="I18" s="10"/>
      <c r="K18" s="10"/>
    </row>
    <row r="19" spans="1:11">
      <c r="A19" s="77"/>
      <c r="B19" s="212"/>
      <c r="E19" s="10"/>
      <c r="H19" s="10"/>
      <c r="I19" s="10"/>
      <c r="K19" s="10"/>
    </row>
    <row r="20" spans="1:11">
      <c r="A20" s="77">
        <f>1+A18</f>
        <v>4</v>
      </c>
      <c r="B20" s="223" t="str">
        <f>+C.2!C20</f>
        <v>Transmission O&amp;M Expense</v>
      </c>
      <c r="D20" s="10">
        <f>+C.2!O20</f>
        <v>353154.68540511443</v>
      </c>
      <c r="E20" s="10"/>
      <c r="F20" s="2" t="s">
        <v>1116</v>
      </c>
      <c r="G20" s="10"/>
      <c r="H20" s="10">
        <f>(D20*0.125)</f>
        <v>44144.335675639304</v>
      </c>
      <c r="K20" s="10"/>
    </row>
    <row r="21" spans="1:11">
      <c r="A21" s="77"/>
      <c r="B21" s="212"/>
      <c r="E21" s="10"/>
      <c r="F21" s="11"/>
      <c r="G21" s="10"/>
      <c r="H21" s="10"/>
      <c r="I21" s="10"/>
      <c r="K21" s="10"/>
    </row>
    <row r="22" spans="1:11">
      <c r="A22" s="77">
        <f>1+A20</f>
        <v>5</v>
      </c>
      <c r="B22" s="223" t="str">
        <f>+C.2!C21</f>
        <v>Distribution O&amp;M Expense</v>
      </c>
      <c r="D22" s="10">
        <f>+C.2!O21</f>
        <v>7186094.91256891</v>
      </c>
      <c r="E22" s="10"/>
      <c r="F22" s="2" t="s">
        <v>1116</v>
      </c>
      <c r="G22" s="10"/>
      <c r="H22" s="10">
        <f>(D22*0.125)</f>
        <v>898261.86407111376</v>
      </c>
      <c r="I22" s="10"/>
      <c r="K22" s="10"/>
    </row>
    <row r="23" spans="1:11">
      <c r="A23" s="77"/>
      <c r="B23" s="212"/>
      <c r="E23" s="10"/>
      <c r="F23" s="11"/>
      <c r="G23" s="10"/>
      <c r="H23" s="10"/>
      <c r="I23" s="10"/>
      <c r="K23" s="10"/>
    </row>
    <row r="24" spans="1:11">
      <c r="A24" s="77">
        <f>1+A22</f>
        <v>6</v>
      </c>
      <c r="B24" s="212" t="str">
        <f>+C.2!C22</f>
        <v>Customer Accting. &amp; Collection</v>
      </c>
      <c r="D24" s="1">
        <f>+C.2!O22</f>
        <v>1820465.4112733356</v>
      </c>
      <c r="E24" s="10"/>
      <c r="F24" s="2" t="s">
        <v>1116</v>
      </c>
      <c r="G24" s="10"/>
      <c r="H24" s="10">
        <f>(D24*0.125)</f>
        <v>227558.17640916695</v>
      </c>
      <c r="I24" s="10"/>
      <c r="K24" s="10"/>
    </row>
    <row r="25" spans="1:11">
      <c r="A25" s="77"/>
      <c r="B25" s="212"/>
      <c r="E25" s="10"/>
      <c r="F25" s="11"/>
      <c r="G25" s="10"/>
      <c r="H25" s="10"/>
      <c r="I25" s="10"/>
      <c r="K25" s="10"/>
    </row>
    <row r="26" spans="1:11">
      <c r="A26" s="77">
        <f>1+A24</f>
        <v>7</v>
      </c>
      <c r="B26" s="223" t="str">
        <f>+C.2!C23</f>
        <v>Customer Service &amp; Information</v>
      </c>
      <c r="D26" s="10">
        <f>+C.2!O23</f>
        <v>123156.62719669974</v>
      </c>
      <c r="E26" s="10"/>
      <c r="F26" s="2" t="s">
        <v>1116</v>
      </c>
      <c r="G26" s="10"/>
      <c r="H26" s="10">
        <f>(D26*0.125)</f>
        <v>15394.578399587468</v>
      </c>
      <c r="I26" s="10"/>
      <c r="K26" s="10"/>
    </row>
    <row r="27" spans="1:11">
      <c r="A27" s="77"/>
      <c r="B27" s="212"/>
      <c r="D27" s="10"/>
      <c r="E27" s="10"/>
      <c r="F27" s="11"/>
      <c r="G27" s="10"/>
      <c r="H27" s="10"/>
      <c r="I27" s="10"/>
      <c r="K27" s="10"/>
    </row>
    <row r="28" spans="1:11">
      <c r="A28" s="77">
        <f>1+A26</f>
        <v>8</v>
      </c>
      <c r="B28" s="223" t="str">
        <f>+C.2!C24</f>
        <v>Sales Expense</v>
      </c>
      <c r="D28" s="10">
        <f>+C.2!O24</f>
        <v>283556.94409906131</v>
      </c>
      <c r="E28" s="10"/>
      <c r="F28" s="2" t="s">
        <v>1116</v>
      </c>
      <c r="G28" s="10"/>
      <c r="H28" s="10">
        <f>(D28*0.125)</f>
        <v>35444.618012382663</v>
      </c>
      <c r="I28" s="10"/>
      <c r="K28" s="10"/>
    </row>
    <row r="29" spans="1:11">
      <c r="A29" s="77"/>
      <c r="B29" s="212"/>
      <c r="D29" s="10"/>
      <c r="E29" s="10"/>
      <c r="F29" s="11"/>
      <c r="G29" s="10"/>
      <c r="H29" s="10"/>
      <c r="I29" s="10"/>
      <c r="K29" s="10"/>
    </row>
    <row r="30" spans="1:11">
      <c r="A30" s="77">
        <f>1+A28</f>
        <v>9</v>
      </c>
      <c r="B30" s="223" t="str">
        <f>+C.2!C25</f>
        <v>Admin. &amp; General Expense</v>
      </c>
      <c r="D30" s="18">
        <f>+C.2!O25</f>
        <v>15488214.345657276</v>
      </c>
      <c r="E30" s="10"/>
      <c r="F30" s="2" t="s">
        <v>1116</v>
      </c>
      <c r="G30" s="10"/>
      <c r="H30" s="18">
        <f>(D30*0.125)</f>
        <v>1936026.7932071595</v>
      </c>
      <c r="I30" s="10"/>
      <c r="K30" s="10"/>
    </row>
    <row r="31" spans="1:11">
      <c r="A31" s="77"/>
      <c r="D31" s="10"/>
      <c r="E31" s="10"/>
      <c r="F31" s="11"/>
      <c r="G31" s="10"/>
      <c r="H31" s="10"/>
      <c r="I31" s="10"/>
      <c r="K31" s="10"/>
    </row>
    <row r="32" spans="1:11" ht="15.75" thickBot="1">
      <c r="A32" s="77">
        <f>1+A30</f>
        <v>10</v>
      </c>
      <c r="B32" s="4" t="s">
        <v>139</v>
      </c>
      <c r="C32" s="107"/>
      <c r="D32" s="385">
        <f>SUM(D16:D30)</f>
        <v>25606952.783307165</v>
      </c>
      <c r="E32" s="10"/>
      <c r="G32" s="107"/>
      <c r="H32" s="385">
        <f>+D32*0.125</f>
        <v>3200869.0979133956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99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6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80" zoomScaleNormal="70" zoomScaleSheetLayoutView="8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77" bestFit="1" customWidth="1"/>
    <col min="6" max="6" width="11.77734375" style="77" customWidth="1"/>
    <col min="7" max="7" width="12.44140625" style="1" bestFit="1" customWidth="1"/>
    <col min="8" max="8" width="4.33203125" style="100" customWidth="1"/>
    <col min="9" max="9" width="13.109375" style="1" customWidth="1"/>
    <col min="10" max="11" width="11.88671875" style="77" customWidth="1"/>
    <col min="12" max="12" width="14.77734375" style="1" bestFit="1" customWidth="1"/>
    <col min="13" max="16384" width="8.44140625" style="1"/>
  </cols>
  <sheetData>
    <row r="1" spans="1:12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</row>
    <row r="2" spans="1:12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</row>
    <row r="3" spans="1:12">
      <c r="A3" s="1253" t="s">
        <v>525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</row>
    <row r="4" spans="1:12">
      <c r="A4" s="1253" t="str">
        <f>'B.1 B'!A4</f>
        <v>as of February 29, 2016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</row>
    <row r="5" spans="1:12">
      <c r="A5" s="43"/>
      <c r="B5" s="40"/>
      <c r="C5" s="40"/>
      <c r="D5" s="40"/>
      <c r="G5" s="40"/>
      <c r="H5" s="483"/>
      <c r="I5" s="40"/>
    </row>
    <row r="6" spans="1:12" ht="15.75">
      <c r="A6" s="70" t="s">
        <v>805</v>
      </c>
      <c r="B6" s="70"/>
      <c r="C6" s="47"/>
      <c r="D6" s="769"/>
      <c r="L6" s="1" t="s">
        <v>1518</v>
      </c>
    </row>
    <row r="7" spans="1:12">
      <c r="A7" s="70" t="s">
        <v>1142</v>
      </c>
      <c r="B7" s="47"/>
      <c r="C7" s="70"/>
      <c r="L7" s="1" t="s">
        <v>724</v>
      </c>
    </row>
    <row r="8" spans="1:12">
      <c r="A8" s="70" t="s">
        <v>440</v>
      </c>
      <c r="B8" s="47"/>
      <c r="C8" s="47"/>
      <c r="D8" s="47"/>
      <c r="E8" s="296"/>
      <c r="F8" s="296"/>
      <c r="G8" s="47"/>
      <c r="I8" s="47"/>
      <c r="J8" s="296"/>
      <c r="K8" s="296"/>
      <c r="L8" s="47" t="str">
        <f>'B.1 B'!F8</f>
        <v>Witness:   Waller</v>
      </c>
    </row>
    <row r="9" spans="1:12">
      <c r="A9" s="323"/>
      <c r="B9" s="85"/>
      <c r="C9" s="85"/>
      <c r="D9" s="638"/>
      <c r="E9" s="436" t="s">
        <v>13</v>
      </c>
      <c r="F9" s="437" t="s">
        <v>11</v>
      </c>
      <c r="G9" s="639" t="s">
        <v>102</v>
      </c>
      <c r="H9" s="101"/>
      <c r="I9" s="641"/>
      <c r="J9" s="436" t="s">
        <v>13</v>
      </c>
      <c r="K9" s="437" t="s">
        <v>11</v>
      </c>
      <c r="L9" s="504"/>
    </row>
    <row r="10" spans="1:12">
      <c r="A10" s="432" t="s">
        <v>98</v>
      </c>
      <c r="B10" s="46"/>
      <c r="C10" s="47"/>
      <c r="D10" s="433"/>
      <c r="E10" s="46" t="s">
        <v>14</v>
      </c>
      <c r="F10" s="101" t="s">
        <v>610</v>
      </c>
      <c r="G10" s="429" t="s">
        <v>1187</v>
      </c>
      <c r="H10" s="101"/>
      <c r="I10" s="432" t="s">
        <v>97</v>
      </c>
      <c r="J10" s="46" t="s">
        <v>14</v>
      </c>
      <c r="K10" s="101" t="s">
        <v>610</v>
      </c>
      <c r="L10" s="642" t="s">
        <v>12</v>
      </c>
    </row>
    <row r="11" spans="1:12">
      <c r="A11" s="430" t="s">
        <v>104</v>
      </c>
      <c r="B11" s="44"/>
      <c r="C11" s="80" t="s">
        <v>347</v>
      </c>
      <c r="D11" s="640" t="s">
        <v>1076</v>
      </c>
      <c r="E11" s="255" t="s">
        <v>643</v>
      </c>
      <c r="F11" s="255" t="s">
        <v>643</v>
      </c>
      <c r="G11" s="431" t="s">
        <v>110</v>
      </c>
      <c r="H11" s="101"/>
      <c r="I11" s="430" t="s">
        <v>103</v>
      </c>
      <c r="J11" s="255" t="s">
        <v>643</v>
      </c>
      <c r="K11" s="255" t="s">
        <v>643</v>
      </c>
      <c r="L11" s="643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C13" s="17" t="s">
        <v>790</v>
      </c>
      <c r="D13" s="383">
        <f>'WP B.5 B'!P13</f>
        <v>1912246.3199999998</v>
      </c>
      <c r="E13" s="634">
        <v>1</v>
      </c>
      <c r="F13" s="634">
        <v>1</v>
      </c>
      <c r="G13" s="383">
        <f>D13*E13*F13</f>
        <v>1912246.3199999998</v>
      </c>
      <c r="H13" s="103"/>
      <c r="I13" s="383">
        <f>'WP B.5 B'!Q13</f>
        <v>1909178.6353846155</v>
      </c>
      <c r="J13" s="634">
        <v>1</v>
      </c>
      <c r="K13" s="634">
        <v>1</v>
      </c>
      <c r="L13" s="383">
        <f>I13*J13*K13</f>
        <v>1909178.6353846155</v>
      </c>
    </row>
    <row r="14" spans="1:12" ht="14.25" customHeight="1">
      <c r="A14" s="2">
        <v>2</v>
      </c>
      <c r="B14" s="486"/>
      <c r="C14" s="4"/>
      <c r="D14" s="103"/>
      <c r="E14" s="634"/>
      <c r="F14" s="634"/>
      <c r="G14" s="103"/>
      <c r="H14" s="103"/>
      <c r="I14" s="103"/>
      <c r="J14" s="636"/>
      <c r="K14" s="636"/>
      <c r="L14" s="103"/>
    </row>
    <row r="15" spans="1:12">
      <c r="A15" s="2">
        <v>3</v>
      </c>
      <c r="C15" s="17" t="s">
        <v>690</v>
      </c>
      <c r="D15" s="99">
        <f>'WP B.5 B'!P15</f>
        <v>-82754429.15566054</v>
      </c>
      <c r="E15" s="634">
        <f>$E$13</f>
        <v>1</v>
      </c>
      <c r="F15" s="634">
        <f>$E$13</f>
        <v>1</v>
      </c>
      <c r="G15" s="99">
        <f>D15*E15*F15</f>
        <v>-82754429.15566054</v>
      </c>
      <c r="H15" s="103"/>
      <c r="I15" s="99">
        <f>'WP B.5 B'!Q15</f>
        <v>-74923395.22517401</v>
      </c>
      <c r="J15" s="634">
        <f>$E$13</f>
        <v>1</v>
      </c>
      <c r="K15" s="634">
        <f>$E$13</f>
        <v>1</v>
      </c>
      <c r="L15" s="99">
        <f>I15*J15*K15</f>
        <v>-74923395.22517401</v>
      </c>
    </row>
    <row r="16" spans="1:12" ht="14.25" customHeight="1">
      <c r="A16" s="2">
        <v>4</v>
      </c>
      <c r="B16" s="486"/>
      <c r="C16" s="4"/>
      <c r="D16" s="103"/>
      <c r="E16" s="634"/>
      <c r="F16" s="634"/>
      <c r="G16" s="103"/>
      <c r="H16" s="103"/>
      <c r="I16" s="103"/>
      <c r="J16" s="636"/>
      <c r="K16" s="636"/>
      <c r="L16" s="103"/>
    </row>
    <row r="17" spans="1:17">
      <c r="A17" s="2">
        <v>5</v>
      </c>
      <c r="C17" s="17" t="s">
        <v>691</v>
      </c>
      <c r="D17" s="99">
        <f>'WP B.5 B'!P17</f>
        <v>-96035.15</v>
      </c>
      <c r="E17" s="634">
        <f>$E$13</f>
        <v>1</v>
      </c>
      <c r="F17" s="634">
        <f>$E$13</f>
        <v>1</v>
      </c>
      <c r="G17" s="99">
        <f>D17*E17*F17</f>
        <v>-96035.15</v>
      </c>
      <c r="H17" s="103"/>
      <c r="I17" s="99">
        <f>'WP B.5 B'!Q17</f>
        <v>-569317.31153846171</v>
      </c>
      <c r="J17" s="634">
        <f>$E$13</f>
        <v>1</v>
      </c>
      <c r="K17" s="634">
        <f>$E$13</f>
        <v>1</v>
      </c>
      <c r="L17" s="99">
        <f>I17*J17*K17</f>
        <v>-569317.31153846171</v>
      </c>
    </row>
    <row r="18" spans="1:17" ht="14.25" customHeight="1">
      <c r="A18" s="2">
        <v>6</v>
      </c>
      <c r="B18" s="486"/>
      <c r="C18" s="4"/>
      <c r="D18" s="103"/>
      <c r="E18" s="24"/>
      <c r="F18" s="24"/>
      <c r="G18" s="103"/>
      <c r="H18" s="103"/>
      <c r="I18" s="103"/>
      <c r="J18" s="102"/>
      <c r="K18" s="102"/>
      <c r="L18" s="103"/>
    </row>
    <row r="19" spans="1:17">
      <c r="A19" s="2">
        <v>7</v>
      </c>
      <c r="C19" s="26" t="s">
        <v>31</v>
      </c>
      <c r="D19" s="752">
        <f>SUM(D13:D17)</f>
        <v>-80938217.985660553</v>
      </c>
      <c r="E19" s="24"/>
      <c r="F19" s="24"/>
      <c r="G19" s="752">
        <f>SUM(G13:G17)</f>
        <v>-80938217.985660553</v>
      </c>
      <c r="I19" s="752">
        <f>SUM(I13:I17)</f>
        <v>-73583533.901327848</v>
      </c>
      <c r="J19" s="296"/>
      <c r="K19" s="296"/>
      <c r="L19" s="752">
        <f>SUM(L13:L17)</f>
        <v>-73583533.901327848</v>
      </c>
    </row>
    <row r="20" spans="1:17" ht="14.25" customHeight="1">
      <c r="A20" s="2">
        <v>8</v>
      </c>
      <c r="B20" s="486"/>
      <c r="C20" s="4"/>
      <c r="D20" s="103"/>
      <c r="E20" s="24"/>
      <c r="F20" s="24"/>
      <c r="G20" s="103"/>
      <c r="H20" s="103"/>
      <c r="I20" s="103"/>
      <c r="J20" s="102"/>
      <c r="K20" s="102"/>
      <c r="L20" s="103"/>
    </row>
    <row r="21" spans="1:17" ht="15.75">
      <c r="A21" s="2">
        <v>9</v>
      </c>
      <c r="B21" s="12" t="s">
        <v>219</v>
      </c>
    </row>
    <row r="22" spans="1:17">
      <c r="A22" s="2">
        <v>10</v>
      </c>
      <c r="C22" s="17" t="s">
        <v>689</v>
      </c>
      <c r="D22" s="383">
        <f>'WP B.5 B'!P22</f>
        <v>457758120.51499999</v>
      </c>
      <c r="E22" s="523">
        <f>Allocation!G14</f>
        <v>0.1071</v>
      </c>
      <c r="F22" s="523">
        <f>Allocation!H14</f>
        <v>0.49090457251500325</v>
      </c>
      <c r="G22" s="383">
        <f>D22*E22*F22</f>
        <v>24067035.883382224</v>
      </c>
      <c r="H22" s="103"/>
      <c r="I22" s="383">
        <f>'WP B.5 B'!Q22</f>
        <v>466408901.79902309</v>
      </c>
      <c r="J22" s="568">
        <f>E22</f>
        <v>0.1071</v>
      </c>
      <c r="K22" s="568">
        <f>F22</f>
        <v>0.49090457251500325</v>
      </c>
      <c r="L22" s="383">
        <f>I22*J22*K22</f>
        <v>24521858.31962353</v>
      </c>
      <c r="P22" s="1094">
        <f>E22*F22</f>
        <v>5.2575879716356848E-2</v>
      </c>
      <c r="Q22" s="1094">
        <f>J22*K22</f>
        <v>5.2575879716356848E-2</v>
      </c>
    </row>
    <row r="23" spans="1:17" ht="14.25" customHeight="1">
      <c r="A23" s="2">
        <v>11</v>
      </c>
      <c r="B23" s="486"/>
      <c r="C23" s="4"/>
      <c r="D23" s="103"/>
      <c r="E23" s="24"/>
      <c r="F23" s="24"/>
      <c r="G23" s="103"/>
      <c r="H23" s="103"/>
      <c r="I23" s="103"/>
      <c r="J23" s="102"/>
      <c r="K23" s="102"/>
      <c r="L23" s="103"/>
      <c r="P23" s="1094"/>
      <c r="Q23" s="1095"/>
    </row>
    <row r="24" spans="1:17">
      <c r="A24" s="2">
        <v>12</v>
      </c>
      <c r="C24" s="17" t="s">
        <v>690</v>
      </c>
      <c r="D24" s="99">
        <f>'WP B.5 B'!P24</f>
        <v>-26896374.648054112</v>
      </c>
      <c r="E24" s="523">
        <f>$E$22</f>
        <v>0.1071</v>
      </c>
      <c r="F24" s="523">
        <f>$F$22</f>
        <v>0.49090457251500325</v>
      </c>
      <c r="G24" s="99">
        <f>D24*E24*F24</f>
        <v>-1414100.5583021629</v>
      </c>
      <c r="H24" s="103"/>
      <c r="I24" s="99">
        <f>'WP B.5 B'!Q24</f>
        <v>-29402521.110071532</v>
      </c>
      <c r="J24" s="568">
        <f>E24</f>
        <v>0.1071</v>
      </c>
      <c r="K24" s="568">
        <f>F24</f>
        <v>0.49090457251500325</v>
      </c>
      <c r="L24" s="99">
        <f>I24*J24*K24</f>
        <v>-1545863.4132407641</v>
      </c>
      <c r="P24" s="1094">
        <f>E24*F24</f>
        <v>5.2575879716356848E-2</v>
      </c>
      <c r="Q24" s="1094">
        <f>J24*K24</f>
        <v>5.2575879716356848E-2</v>
      </c>
    </row>
    <row r="25" spans="1:17" ht="14.25" customHeight="1">
      <c r="A25" s="2">
        <v>13</v>
      </c>
      <c r="B25" s="486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P25" s="1094"/>
      <c r="Q25" s="1095"/>
    </row>
    <row r="26" spans="1:17">
      <c r="A26" s="2">
        <v>14</v>
      </c>
      <c r="C26" s="17" t="s">
        <v>691</v>
      </c>
      <c r="D26" s="99">
        <f>'WP B.5 B'!P26</f>
        <v>22822184.905000001</v>
      </c>
      <c r="E26" s="523">
        <f>$E$22</f>
        <v>0.1071</v>
      </c>
      <c r="F26" s="523">
        <f>$F$22</f>
        <v>0.49090457251500325</v>
      </c>
      <c r="G26" s="99">
        <f>D26*E26*F26</f>
        <v>1199896.4484297349</v>
      </c>
      <c r="H26" s="103"/>
      <c r="I26" s="99">
        <f>'WP B.5 B'!Q26</f>
        <v>22545786.587692305</v>
      </c>
      <c r="J26" s="568">
        <f>E26</f>
        <v>0.1071</v>
      </c>
      <c r="K26" s="568">
        <f>F26</f>
        <v>0.49090457251500325</v>
      </c>
      <c r="L26" s="99">
        <f>I26*J26*K26</f>
        <v>1185364.5637451622</v>
      </c>
      <c r="P26" s="1094">
        <f>E26*F26</f>
        <v>5.2575879716356848E-2</v>
      </c>
      <c r="Q26" s="1094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37"/>
      <c r="K27" s="637"/>
      <c r="L27" s="99"/>
      <c r="P27" s="1095"/>
      <c r="Q27" s="1095"/>
    </row>
    <row r="28" spans="1:17">
      <c r="A28" s="2">
        <v>16</v>
      </c>
      <c r="C28" s="26" t="s">
        <v>73</v>
      </c>
      <c r="D28" s="752">
        <f>SUM(D22:D26)</f>
        <v>453683930.77194583</v>
      </c>
      <c r="E28" s="24"/>
      <c r="F28" s="24"/>
      <c r="G28" s="752">
        <f>SUM(G22:G26)</f>
        <v>23852831.773509793</v>
      </c>
      <c r="I28" s="752">
        <f>SUM(I22:I26)</f>
        <v>459552167.27664387</v>
      </c>
      <c r="J28" s="102"/>
      <c r="K28" s="102"/>
      <c r="L28" s="752">
        <f>SUM(L22:L26)</f>
        <v>24161359.470127929</v>
      </c>
      <c r="P28" s="1095"/>
      <c r="Q28" s="1095"/>
    </row>
    <row r="29" spans="1:17" ht="15.75">
      <c r="A29" s="2">
        <v>17</v>
      </c>
      <c r="B29" s="12" t="s">
        <v>1137</v>
      </c>
      <c r="P29" s="1095"/>
      <c r="Q29" s="1095"/>
    </row>
    <row r="30" spans="1:17">
      <c r="A30" s="2">
        <v>18</v>
      </c>
      <c r="C30" s="17" t="s">
        <v>689</v>
      </c>
      <c r="D30" s="383">
        <f>'WP B.5 B'!P30</f>
        <v>0</v>
      </c>
      <c r="E30" s="523">
        <f>Allocation!G15</f>
        <v>0.1086</v>
      </c>
      <c r="F30" s="523">
        <f>Allocation!H15</f>
        <v>0.52599015110063552</v>
      </c>
      <c r="G30" s="383">
        <f>D30*E30*F30</f>
        <v>0</v>
      </c>
      <c r="H30" s="103"/>
      <c r="I30" s="383">
        <f>'WP B.5 B'!Q30</f>
        <v>-158056.23076923078</v>
      </c>
      <c r="J30" s="568">
        <f>E30</f>
        <v>0.1086</v>
      </c>
      <c r="K30" s="568">
        <f>F30</f>
        <v>0.52599015110063552</v>
      </c>
      <c r="L30" s="383">
        <f>I30*J30*K30</f>
        <v>-9028.5718485309208</v>
      </c>
      <c r="P30" s="1094">
        <f>E30*F30</f>
        <v>5.712253040952902E-2</v>
      </c>
      <c r="Q30" s="1094">
        <f>J30*K30</f>
        <v>5.712253040952902E-2</v>
      </c>
    </row>
    <row r="31" spans="1:17">
      <c r="A31" s="2">
        <v>19</v>
      </c>
      <c r="D31" s="99"/>
      <c r="E31" s="24"/>
      <c r="F31" s="24"/>
      <c r="G31" s="99"/>
      <c r="H31" s="103"/>
      <c r="I31" s="99"/>
      <c r="J31" s="637"/>
      <c r="K31" s="637"/>
      <c r="L31" s="99"/>
      <c r="P31" s="1094"/>
      <c r="Q31" s="1095"/>
    </row>
    <row r="32" spans="1:17">
      <c r="A32" s="2">
        <v>20</v>
      </c>
      <c r="C32" s="17" t="s">
        <v>690</v>
      </c>
      <c r="D32" s="99">
        <f>'WP B.5 B'!P32</f>
        <v>-29890316.218740851</v>
      </c>
      <c r="E32" s="523">
        <f>$E$30</f>
        <v>0.1086</v>
      </c>
      <c r="F32" s="523">
        <f>$F$30</f>
        <v>0.52599015110063552</v>
      </c>
      <c r="G32" s="99">
        <f>D32*E32*F32</f>
        <v>-1707410.4971554626</v>
      </c>
      <c r="H32" s="103"/>
      <c r="I32" s="99">
        <f>'WP B.5 B'!Q32</f>
        <v>-30330787.272534434</v>
      </c>
      <c r="J32" s="568">
        <f>E32</f>
        <v>0.1086</v>
      </c>
      <c r="K32" s="568">
        <f>F32</f>
        <v>0.52599015110063552</v>
      </c>
      <c r="L32" s="99">
        <f>I32*J32*K32</f>
        <v>-1732571.3183203039</v>
      </c>
      <c r="P32" s="1094">
        <f>E32*F32</f>
        <v>5.712253040952902E-2</v>
      </c>
      <c r="Q32" s="1094">
        <f>J32*K32</f>
        <v>5.712253040952902E-2</v>
      </c>
    </row>
    <row r="33" spans="1:17">
      <c r="A33" s="2">
        <v>21</v>
      </c>
      <c r="B33" s="486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P33" s="1094"/>
      <c r="Q33" s="1095"/>
    </row>
    <row r="34" spans="1:17">
      <c r="A34" s="2">
        <v>22</v>
      </c>
      <c r="C34" s="17" t="s">
        <v>691</v>
      </c>
      <c r="D34" s="99">
        <f>'WP B.5 B'!P34</f>
        <v>0</v>
      </c>
      <c r="E34" s="523">
        <f>$E$30</f>
        <v>0.1086</v>
      </c>
      <c r="F34" s="523">
        <f>$F$30</f>
        <v>0.52599015110063552</v>
      </c>
      <c r="G34" s="99">
        <f>D34*E34*F34</f>
        <v>0</v>
      </c>
      <c r="H34" s="103"/>
      <c r="I34" s="99">
        <f>'WP B.5 B'!Q34</f>
        <v>0</v>
      </c>
      <c r="J34" s="568">
        <f>E34</f>
        <v>0.1086</v>
      </c>
      <c r="K34" s="568">
        <f>F34</f>
        <v>0.52599015110063552</v>
      </c>
      <c r="L34" s="99">
        <f>I34*J34*K34</f>
        <v>0</v>
      </c>
      <c r="P34" s="1094">
        <f>E34*F34</f>
        <v>5.712253040952902E-2</v>
      </c>
      <c r="Q34" s="1094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37"/>
      <c r="K35" s="637"/>
      <c r="L35" s="99"/>
      <c r="P35" s="1095"/>
      <c r="Q35" s="1095"/>
    </row>
    <row r="36" spans="1:17">
      <c r="A36" s="2">
        <v>24</v>
      </c>
      <c r="C36" s="26" t="s">
        <v>735</v>
      </c>
      <c r="D36" s="752">
        <f>SUM(D30:D34)</f>
        <v>-29890316.218740851</v>
      </c>
      <c r="E36" s="24"/>
      <c r="F36" s="24"/>
      <c r="G36" s="752">
        <f>SUM(G30:G34)</f>
        <v>-1707410.4971554626</v>
      </c>
      <c r="I36" s="752">
        <f>SUM(I30:I34)</f>
        <v>-30488843.503303666</v>
      </c>
      <c r="J36" s="102"/>
      <c r="K36" s="102"/>
      <c r="L36" s="752">
        <f>SUM(L30:L34)</f>
        <v>-1741599.8901688349</v>
      </c>
      <c r="P36" s="1095"/>
      <c r="Q36" s="1095"/>
    </row>
    <row r="37" spans="1:17" ht="15.75">
      <c r="A37" s="2">
        <v>25</v>
      </c>
      <c r="B37" s="12" t="s">
        <v>692</v>
      </c>
      <c r="P37" s="1095"/>
      <c r="Q37" s="1095"/>
    </row>
    <row r="38" spans="1:17" ht="15.75">
      <c r="A38" s="2">
        <v>26</v>
      </c>
      <c r="B38" s="12"/>
      <c r="P38" s="1095"/>
      <c r="Q38" s="1095"/>
    </row>
    <row r="39" spans="1:17">
      <c r="A39" s="2">
        <v>27</v>
      </c>
      <c r="C39" s="17" t="s">
        <v>689</v>
      </c>
      <c r="D39" s="383">
        <f>'WP B.5 B'!P39</f>
        <v>5978139.7250000006</v>
      </c>
      <c r="E39" s="635">
        <v>1</v>
      </c>
      <c r="F39" s="523">
        <f>Allocation!H17</f>
        <v>0.49090457251500325</v>
      </c>
      <c r="G39" s="383">
        <f>D39*$E$39*F39</f>
        <v>2934696.1261360846</v>
      </c>
      <c r="H39" s="103"/>
      <c r="I39" s="383">
        <f>'WP B.5 B'!Q39</f>
        <v>6477828.3730769223</v>
      </c>
      <c r="J39" s="635">
        <f>E39</f>
        <v>1</v>
      </c>
      <c r="K39" s="523">
        <f>F39</f>
        <v>0.49090457251500325</v>
      </c>
      <c r="L39" s="383">
        <f>I39*$E$39*K39</f>
        <v>3179995.5683108857</v>
      </c>
      <c r="P39" s="1094">
        <f>E39*F39</f>
        <v>0.49090457251500325</v>
      </c>
      <c r="Q39" s="1094">
        <f>J39*K39</f>
        <v>0.49090457251500325</v>
      </c>
    </row>
    <row r="40" spans="1:17">
      <c r="A40" s="2">
        <v>28</v>
      </c>
      <c r="D40" s="99"/>
      <c r="E40" s="24"/>
      <c r="F40" s="24"/>
      <c r="G40" s="99"/>
      <c r="H40" s="103"/>
      <c r="I40" s="99"/>
      <c r="J40" s="637"/>
      <c r="K40" s="637"/>
      <c r="L40" s="99"/>
      <c r="P40" s="1094"/>
      <c r="Q40" s="1095"/>
    </row>
    <row r="41" spans="1:17">
      <c r="A41" s="2">
        <v>29</v>
      </c>
      <c r="C41" s="17" t="s">
        <v>453</v>
      </c>
      <c r="D41" s="99">
        <f>'WP B.5 B'!P45</f>
        <v>-11421</v>
      </c>
      <c r="E41" s="635">
        <f>$E$39</f>
        <v>1</v>
      </c>
      <c r="F41" s="523">
        <f>$F$39</f>
        <v>0.49090457251500325</v>
      </c>
      <c r="G41" s="99">
        <f>D41*E41*F41</f>
        <v>-5606.6211226938522</v>
      </c>
      <c r="H41" s="103"/>
      <c r="I41" s="99">
        <f>'WP B.5 B'!Q45</f>
        <v>-11421</v>
      </c>
      <c r="J41" s="635">
        <f>E41</f>
        <v>1</v>
      </c>
      <c r="K41" s="523">
        <f>F41</f>
        <v>0.49090457251500325</v>
      </c>
      <c r="L41" s="99">
        <f>I41*J41*K41</f>
        <v>-5606.6211226938522</v>
      </c>
      <c r="P41" s="1094">
        <f>E41*F41</f>
        <v>0.49090457251500325</v>
      </c>
      <c r="Q41" s="1094">
        <f>J41*K41</f>
        <v>0.49090457251500325</v>
      </c>
    </row>
    <row r="42" spans="1:17">
      <c r="A42" s="2">
        <v>30</v>
      </c>
      <c r="D42" s="99"/>
      <c r="E42" s="24"/>
      <c r="F42" s="24"/>
      <c r="G42" s="99"/>
      <c r="H42" s="103"/>
      <c r="I42" s="99"/>
      <c r="J42" s="637"/>
      <c r="K42" s="637"/>
      <c r="L42" s="99"/>
      <c r="P42" s="1094"/>
      <c r="Q42" s="1095"/>
    </row>
    <row r="43" spans="1:17">
      <c r="A43" s="2">
        <v>31</v>
      </c>
      <c r="C43" s="17" t="s">
        <v>690</v>
      </c>
      <c r="D43" s="99">
        <f>'WP B.5 B'!P41</f>
        <v>-5437120.9261673987</v>
      </c>
      <c r="E43" s="635">
        <f>$E$39</f>
        <v>1</v>
      </c>
      <c r="F43" s="523">
        <f>$F$39</f>
        <v>0.49090457251500325</v>
      </c>
      <c r="G43" s="99">
        <f>D43*$E$39*F43</f>
        <v>-2669107.5239725853</v>
      </c>
      <c r="H43" s="103"/>
      <c r="I43" s="99">
        <f>'WP B.5 B'!Q41</f>
        <v>-6345171.0467872582</v>
      </c>
      <c r="J43" s="635">
        <f>E43</f>
        <v>1</v>
      </c>
      <c r="K43" s="523">
        <f>F43</f>
        <v>0.49090457251500325</v>
      </c>
      <c r="L43" s="99">
        <f>I43*$E$39*K43</f>
        <v>-3114873.4802576746</v>
      </c>
      <c r="P43" s="1094">
        <f>E43*F43</f>
        <v>0.49090457251500325</v>
      </c>
      <c r="Q43" s="1094">
        <f>J43*K43</f>
        <v>0.49090457251500325</v>
      </c>
    </row>
    <row r="44" spans="1:17">
      <c r="A44" s="2">
        <v>32</v>
      </c>
      <c r="D44" s="99"/>
      <c r="E44" s="24"/>
      <c r="F44" s="24"/>
      <c r="G44" s="99"/>
      <c r="H44" s="103"/>
      <c r="I44" s="99"/>
      <c r="J44" s="637"/>
      <c r="K44" s="637"/>
      <c r="L44" s="99"/>
      <c r="P44" s="1095"/>
      <c r="Q44" s="1095"/>
    </row>
    <row r="45" spans="1:17">
      <c r="A45" s="2">
        <v>33</v>
      </c>
      <c r="C45" s="17" t="s">
        <v>691</v>
      </c>
      <c r="D45" s="99">
        <f>'WP B.5 B'!P43</f>
        <v>-1472160.1949999998</v>
      </c>
      <c r="E45" s="635">
        <f>$E$39</f>
        <v>1</v>
      </c>
      <c r="F45" s="523">
        <f>$F$39</f>
        <v>0.49090457251500325</v>
      </c>
      <c r="G45" s="99">
        <f>D45*$E$39*F45</f>
        <v>-722690.17120007868</v>
      </c>
      <c r="H45" s="103"/>
      <c r="I45" s="99">
        <f>'WP B.5 B'!Q43</f>
        <v>-1586034.3546153849</v>
      </c>
      <c r="J45" s="635">
        <f>E45</f>
        <v>1</v>
      </c>
      <c r="K45" s="523">
        <f>F45</f>
        <v>0.49090457251500325</v>
      </c>
      <c r="L45" s="99">
        <f>I45*$E$39*K45</f>
        <v>-778591.51684657461</v>
      </c>
      <c r="P45" s="1094">
        <f>E45*F45</f>
        <v>0.49090457251500325</v>
      </c>
      <c r="Q45" s="1094">
        <f>J45*K45</f>
        <v>0.49090457251500325</v>
      </c>
    </row>
    <row r="46" spans="1:17">
      <c r="A46" s="2">
        <v>34</v>
      </c>
      <c r="D46" s="99"/>
      <c r="E46" s="24"/>
      <c r="F46" s="24"/>
      <c r="G46" s="99"/>
      <c r="H46" s="103"/>
      <c r="I46" s="99"/>
      <c r="J46" s="637"/>
      <c r="K46" s="637"/>
      <c r="L46" s="99"/>
    </row>
    <row r="47" spans="1:17">
      <c r="A47" s="2">
        <v>35</v>
      </c>
      <c r="C47" s="26" t="s">
        <v>452</v>
      </c>
      <c r="D47" s="752">
        <f>SUM(D39:D45)</f>
        <v>-942562.39616739796</v>
      </c>
      <c r="E47" s="24"/>
      <c r="F47" s="24"/>
      <c r="G47" s="752">
        <f>SUM(G39:G45)</f>
        <v>-462708.1901592731</v>
      </c>
      <c r="I47" s="752">
        <f>SUM(I39:I45)</f>
        <v>-1464798.0283257209</v>
      </c>
      <c r="J47" s="102"/>
      <c r="K47" s="102"/>
      <c r="L47" s="752">
        <f>SUM(L39:L45)</f>
        <v>-719076.04991605715</v>
      </c>
    </row>
    <row r="48" spans="1:17">
      <c r="A48" s="2">
        <v>36</v>
      </c>
    </row>
    <row r="49" spans="1:12" ht="16.5" thickBot="1">
      <c r="A49" s="2">
        <v>37</v>
      </c>
      <c r="B49" s="47"/>
      <c r="C49" s="685" t="s">
        <v>737</v>
      </c>
      <c r="D49" s="426">
        <f>D47+D36+D28+D19</f>
        <v>341912834.17137706</v>
      </c>
      <c r="G49" s="426">
        <f>G47+G36+G28+G19</f>
        <v>-59255504.899465494</v>
      </c>
      <c r="I49" s="426">
        <f>I47+I36+I28+I19</f>
        <v>354014991.84368664</v>
      </c>
      <c r="L49" s="426">
        <f>L47+L36+L28+L19</f>
        <v>-51882850.371284813</v>
      </c>
    </row>
    <row r="50" spans="1:12" ht="15.75" thickTop="1">
      <c r="A50" s="47"/>
      <c r="B50" s="47"/>
    </row>
    <row r="51" spans="1:12">
      <c r="A51" s="47"/>
      <c r="B51" s="47"/>
    </row>
    <row r="52" spans="1:12">
      <c r="A52" s="47"/>
      <c r="B52" s="47"/>
    </row>
    <row r="53" spans="1:12">
      <c r="A53" s="47"/>
      <c r="B53" s="47"/>
    </row>
    <row r="54" spans="1:12">
      <c r="A54" s="47"/>
      <c r="B54" s="47"/>
      <c r="E54" s="488"/>
    </row>
    <row r="55" spans="1:12">
      <c r="A55" s="47"/>
      <c r="B55" s="47"/>
    </row>
    <row r="56" spans="1:12">
      <c r="A56" s="47"/>
    </row>
    <row r="57" spans="1:12">
      <c r="A57" s="47"/>
      <c r="B57" s="47"/>
    </row>
    <row r="58" spans="1:12">
      <c r="A58" s="47"/>
      <c r="B58" s="47"/>
    </row>
    <row r="59" spans="1:12">
      <c r="A59" s="47"/>
      <c r="B59" s="47"/>
    </row>
    <row r="60" spans="1:12">
      <c r="A60" s="47"/>
      <c r="B60" s="47"/>
    </row>
    <row r="61" spans="1:12">
      <c r="A61" s="47"/>
      <c r="B61" s="47"/>
    </row>
    <row r="62" spans="1:12">
      <c r="A62" s="47"/>
      <c r="B62" s="47"/>
    </row>
    <row r="63" spans="1:12">
      <c r="A63" s="47"/>
      <c r="B63" s="47"/>
    </row>
    <row r="64" spans="1:12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5" top="0.75" bottom="0.3" header="0.5" footer="0.17"/>
  <pageSetup scale="63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J30"/>
  <sheetViews>
    <sheetView view="pageBreakPreview" zoomScale="90" zoomScaleNormal="90" zoomScaleSheetLayoutView="90" workbookViewId="0">
      <selection sqref="A1:I1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248" t="str">
        <f>'Table of Contents'!A1:C1</f>
        <v>Atmos Energy Corporation, Kentucky/Mid-States Division</v>
      </c>
      <c r="B1" s="1248"/>
      <c r="C1" s="1248"/>
      <c r="D1" s="1248"/>
      <c r="E1" s="1248"/>
      <c r="F1" s="1248"/>
      <c r="G1" s="1248"/>
      <c r="H1" s="1248"/>
      <c r="I1" s="1248"/>
    </row>
    <row r="2" spans="1:10">
      <c r="A2" s="1248" t="str">
        <f>'Table of Contents'!A2:C2</f>
        <v>Kentucky Jurisdiction Case No. 2015-00343</v>
      </c>
      <c r="B2" s="1248"/>
      <c r="C2" s="1248"/>
      <c r="D2" s="1248"/>
      <c r="E2" s="1248"/>
      <c r="F2" s="1248"/>
      <c r="G2" s="1248"/>
      <c r="H2" s="1248"/>
      <c r="I2" s="1248"/>
    </row>
    <row r="3" spans="1:10">
      <c r="A3" s="1248" t="str">
        <f>'Table of Contents'!A3:C3</f>
        <v>Base Period: Twelve Months Ended February 29, 2016</v>
      </c>
      <c r="B3" s="1248"/>
      <c r="C3" s="1248"/>
      <c r="D3" s="1248"/>
      <c r="E3" s="1248"/>
      <c r="F3" s="1248"/>
      <c r="G3" s="1248"/>
      <c r="H3" s="1248"/>
      <c r="I3" s="1248"/>
    </row>
    <row r="4" spans="1:10">
      <c r="A4" s="1248" t="str">
        <f>'Table of Contents'!A4:C4</f>
        <v>Forecasted Test Period: Twelve Months Ended May 31, 2017</v>
      </c>
      <c r="B4" s="1248"/>
      <c r="C4" s="1248"/>
      <c r="D4" s="1248"/>
      <c r="E4" s="1248"/>
      <c r="F4" s="1248"/>
      <c r="G4" s="1248"/>
      <c r="H4" s="1248"/>
      <c r="I4" s="1248"/>
    </row>
    <row r="6" spans="1:10" ht="15.75">
      <c r="A6" s="1251" t="s">
        <v>1237</v>
      </c>
      <c r="B6" s="1251"/>
      <c r="C6" s="1251"/>
      <c r="D6" s="1251"/>
      <c r="E6" s="1251"/>
      <c r="F6" s="1251"/>
      <c r="G6" s="1251"/>
      <c r="H6" s="1251"/>
      <c r="I6" s="1251"/>
    </row>
    <row r="7" spans="1:10" ht="15.75">
      <c r="A7" s="785"/>
      <c r="B7" s="785"/>
      <c r="C7" s="785"/>
      <c r="D7" s="785"/>
      <c r="E7" s="785"/>
      <c r="F7" s="785"/>
      <c r="G7" s="785"/>
      <c r="H7" s="785"/>
      <c r="I7" s="785"/>
    </row>
    <row r="8" spans="1:10">
      <c r="C8" s="75"/>
      <c r="D8" s="790" t="s">
        <v>1238</v>
      </c>
      <c r="E8" s="75"/>
      <c r="G8" s="122"/>
      <c r="H8" s="790" t="s">
        <v>333</v>
      </c>
      <c r="I8" s="122"/>
    </row>
    <row r="9" spans="1:10">
      <c r="C9" s="406" t="s">
        <v>1239</v>
      </c>
      <c r="D9" s="406" t="s">
        <v>201</v>
      </c>
      <c r="E9" s="76" t="s">
        <v>11</v>
      </c>
      <c r="F9" s="784"/>
      <c r="G9" s="406" t="s">
        <v>1239</v>
      </c>
      <c r="H9" s="406" t="s">
        <v>201</v>
      </c>
      <c r="I9" s="784" t="s">
        <v>11</v>
      </c>
    </row>
    <row r="10" spans="1:10">
      <c r="A10" s="75" t="s">
        <v>209</v>
      </c>
      <c r="B10" s="84" t="s">
        <v>1004</v>
      </c>
      <c r="C10" s="405" t="s">
        <v>160</v>
      </c>
      <c r="D10" s="84" t="s">
        <v>610</v>
      </c>
      <c r="E10" s="84" t="s">
        <v>1165</v>
      </c>
      <c r="F10" s="91"/>
      <c r="G10" s="405" t="s">
        <v>160</v>
      </c>
      <c r="H10" s="84" t="s">
        <v>610</v>
      </c>
      <c r="I10" s="84" t="s">
        <v>1165</v>
      </c>
    </row>
    <row r="11" spans="1:10">
      <c r="A11" s="81"/>
      <c r="B11" s="81"/>
      <c r="C11" s="406"/>
      <c r="D11" s="406"/>
    </row>
    <row r="12" spans="1:10" ht="15.75">
      <c r="A12" s="81"/>
      <c r="B12" s="498" t="s">
        <v>1163</v>
      </c>
      <c r="C12" s="406"/>
      <c r="D12" s="406"/>
    </row>
    <row r="13" spans="1:10" ht="15.75">
      <c r="A13" s="76">
        <v>1</v>
      </c>
      <c r="B13" s="217" t="s">
        <v>204</v>
      </c>
      <c r="I13" s="419"/>
    </row>
    <row r="14" spans="1:10">
      <c r="A14" s="76">
        <f>A13+1</f>
        <v>2</v>
      </c>
      <c r="B14" s="497" t="s">
        <v>206</v>
      </c>
      <c r="C14" s="622">
        <v>0.1071</v>
      </c>
      <c r="D14" s="622">
        <v>0.49090457251500325</v>
      </c>
      <c r="E14" s="622">
        <f>C14*D14</f>
        <v>5.2575879716356848E-2</v>
      </c>
      <c r="F14" s="622"/>
      <c r="G14" s="622">
        <v>0.1071</v>
      </c>
      <c r="H14" s="622">
        <v>0.49090457251500325</v>
      </c>
      <c r="I14" s="419">
        <f>G14*H14</f>
        <v>5.2575879716356848E-2</v>
      </c>
      <c r="J14" s="768"/>
    </row>
    <row r="15" spans="1:10">
      <c r="A15" s="784">
        <f t="shared" ref="A15:A29" si="0">A14+1</f>
        <v>3</v>
      </c>
      <c r="B15" s="497" t="s">
        <v>207</v>
      </c>
      <c r="C15" s="622">
        <v>0.1086</v>
      </c>
      <c r="D15" s="622">
        <v>0.52599015110063552</v>
      </c>
      <c r="E15" s="622">
        <f>C15*D15</f>
        <v>5.712253040952902E-2</v>
      </c>
      <c r="F15" s="622"/>
      <c r="G15" s="622">
        <v>0.1086</v>
      </c>
      <c r="H15" s="622">
        <v>0.52599015110063552</v>
      </c>
      <c r="I15" s="419">
        <f>G15*H15</f>
        <v>5.712253040952902E-2</v>
      </c>
      <c r="J15" s="768"/>
    </row>
    <row r="16" spans="1:10" ht="15.75">
      <c r="A16" s="784">
        <f t="shared" si="0"/>
        <v>4</v>
      </c>
      <c r="B16" s="217" t="s">
        <v>205</v>
      </c>
      <c r="C16" s="1131"/>
      <c r="D16" s="1131"/>
      <c r="E16" s="622"/>
      <c r="F16" s="622"/>
      <c r="G16" s="1131"/>
      <c r="H16" s="1131"/>
      <c r="I16" s="419"/>
    </row>
    <row r="17" spans="1:10">
      <c r="A17" s="784">
        <f t="shared" si="0"/>
        <v>5</v>
      </c>
      <c r="B17" s="497" t="s">
        <v>208</v>
      </c>
      <c r="C17" s="620">
        <v>1</v>
      </c>
      <c r="D17" s="622">
        <v>0.49090457251500325</v>
      </c>
      <c r="E17" s="622">
        <f>C17*D17</f>
        <v>0.49090457251500325</v>
      </c>
      <c r="F17" s="622"/>
      <c r="G17" s="620">
        <v>1</v>
      </c>
      <c r="H17" s="622">
        <v>0.49090457251500325</v>
      </c>
      <c r="I17" s="419">
        <f>G17*H17</f>
        <v>0.49090457251500325</v>
      </c>
      <c r="J17" s="768"/>
    </row>
    <row r="18" spans="1:10">
      <c r="A18" s="784">
        <f t="shared" si="0"/>
        <v>6</v>
      </c>
      <c r="C18" s="1131"/>
      <c r="D18" s="1131"/>
      <c r="E18" s="1131"/>
      <c r="F18" s="1131"/>
      <c r="G18" s="1131"/>
      <c r="H18" s="1131"/>
      <c r="I18" s="784"/>
    </row>
    <row r="19" spans="1:10">
      <c r="A19" s="947">
        <f t="shared" si="0"/>
        <v>7</v>
      </c>
      <c r="B19" s="497"/>
      <c r="C19" s="1131"/>
      <c r="D19" s="1131"/>
      <c r="E19" s="1131"/>
      <c r="F19" s="1131"/>
      <c r="G19" s="1131"/>
      <c r="H19" s="1131"/>
      <c r="I19" s="784"/>
    </row>
    <row r="20" spans="1:10" ht="15.75">
      <c r="A20" s="784">
        <f t="shared" si="0"/>
        <v>8</v>
      </c>
      <c r="B20" s="791" t="s">
        <v>1241</v>
      </c>
      <c r="C20" s="1131"/>
      <c r="D20" s="1131"/>
      <c r="E20" s="622">
        <v>1.5418259551017742E-2</v>
      </c>
      <c r="F20" s="1131"/>
      <c r="G20" s="1131"/>
      <c r="H20" s="1131"/>
      <c r="I20" s="419">
        <f>E20</f>
        <v>1.5418259551017742E-2</v>
      </c>
    </row>
    <row r="21" spans="1:10" ht="15.75">
      <c r="A21" s="784">
        <f t="shared" si="0"/>
        <v>9</v>
      </c>
      <c r="B21" s="791" t="s">
        <v>1240</v>
      </c>
      <c r="C21" s="1131"/>
      <c r="D21" s="1131"/>
      <c r="E21" s="622">
        <v>1.083947E-2</v>
      </c>
      <c r="F21" s="1131"/>
      <c r="G21" s="1131"/>
      <c r="H21" s="1131"/>
      <c r="I21" s="419">
        <f>E21</f>
        <v>1.083947E-2</v>
      </c>
    </row>
    <row r="22" spans="1:10">
      <c r="A22" s="784">
        <f t="shared" si="0"/>
        <v>10</v>
      </c>
      <c r="B22" s="497"/>
      <c r="C22" s="1131"/>
      <c r="D22" s="1131"/>
      <c r="E22" s="1131"/>
      <c r="F22" s="1131"/>
      <c r="G22" s="1131"/>
      <c r="H22" s="1131"/>
      <c r="I22" s="784"/>
    </row>
    <row r="23" spans="1:10" ht="15.75">
      <c r="A23" s="784">
        <f t="shared" si="0"/>
        <v>11</v>
      </c>
      <c r="B23" s="515" t="s">
        <v>1152</v>
      </c>
      <c r="C23" s="1131"/>
      <c r="D23" s="1131"/>
      <c r="E23" s="622">
        <f>ROUND(0.06+0.35*(1-0.06),5)</f>
        <v>0.38900000000000001</v>
      </c>
      <c r="F23" s="1131"/>
      <c r="G23" s="1131"/>
      <c r="H23" s="1131"/>
      <c r="I23" s="784"/>
      <c r="J23" s="768"/>
    </row>
    <row r="24" spans="1:10">
      <c r="A24" s="784">
        <f t="shared" si="0"/>
        <v>12</v>
      </c>
      <c r="B24" s="293"/>
      <c r="C24" s="1131"/>
      <c r="D24" s="1131"/>
      <c r="E24" s="622"/>
      <c r="F24" s="1131"/>
      <c r="G24" s="1131"/>
      <c r="H24" s="1131"/>
      <c r="I24" s="784"/>
    </row>
    <row r="25" spans="1:10" ht="15.75">
      <c r="A25" s="784">
        <f t="shared" si="0"/>
        <v>13</v>
      </c>
      <c r="B25" s="515" t="s">
        <v>1411</v>
      </c>
      <c r="C25" s="1131"/>
      <c r="D25" s="1131"/>
      <c r="E25" s="1247">
        <v>9.8000000000000004E-2</v>
      </c>
      <c r="F25" s="1131"/>
      <c r="G25" s="1131"/>
      <c r="H25" s="1131"/>
      <c r="I25" s="784"/>
    </row>
    <row r="26" spans="1:10">
      <c r="A26" s="784">
        <f t="shared" si="0"/>
        <v>14</v>
      </c>
      <c r="B26" s="293"/>
      <c r="C26" s="1131"/>
      <c r="D26" s="1131"/>
      <c r="E26" s="1131"/>
      <c r="F26" s="1131"/>
      <c r="G26" s="1131"/>
      <c r="H26" s="1131"/>
      <c r="I26" s="784"/>
    </row>
    <row r="27" spans="1:10" ht="15.75">
      <c r="A27" s="784">
        <f t="shared" si="0"/>
        <v>15</v>
      </c>
      <c r="B27" s="515" t="s">
        <v>344</v>
      </c>
      <c r="C27" s="1131"/>
      <c r="D27" s="1131"/>
      <c r="E27" s="622">
        <f>ROUND(+'J-2 F'!L29,4)</f>
        <v>1.2500000000000001E-2</v>
      </c>
      <c r="F27" s="1131"/>
      <c r="G27" s="1131"/>
      <c r="H27" s="1131"/>
      <c r="I27" s="784"/>
    </row>
    <row r="28" spans="1:10">
      <c r="A28" s="784">
        <f t="shared" si="0"/>
        <v>16</v>
      </c>
      <c r="B28" s="293"/>
      <c r="C28" s="1131"/>
      <c r="D28" s="1131"/>
      <c r="E28" s="1131"/>
      <c r="F28" s="1131"/>
      <c r="G28" s="1131"/>
      <c r="H28" s="1131"/>
      <c r="I28" s="784"/>
    </row>
    <row r="29" spans="1:10" ht="15.75">
      <c r="A29" s="784">
        <f t="shared" si="0"/>
        <v>17</v>
      </c>
      <c r="B29" s="515" t="s">
        <v>345</v>
      </c>
      <c r="C29" s="1131"/>
      <c r="D29" s="1131"/>
      <c r="E29" s="622">
        <f>ROUND('J-3 F'!K33,4)</f>
        <v>5.8999999999999997E-2</v>
      </c>
      <c r="F29" s="622"/>
      <c r="G29" s="622"/>
      <c r="H29" s="622"/>
      <c r="I29" s="419"/>
    </row>
    <row r="30" spans="1:10">
      <c r="C30" s="107"/>
      <c r="D30" s="107"/>
      <c r="E30" s="107"/>
      <c r="F30" s="107"/>
      <c r="G30" s="107"/>
      <c r="H30" s="107"/>
    </row>
  </sheetData>
  <mergeCells count="5">
    <mergeCell ref="A1:I1"/>
    <mergeCell ref="A2:I2"/>
    <mergeCell ref="A3:I3"/>
    <mergeCell ref="A4:I4"/>
    <mergeCell ref="A6:I6"/>
  </mergeCells>
  <phoneticPr fontId="24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FFFF00"/>
  </sheetPr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77734375" style="1" bestFit="1" customWidth="1"/>
    <col min="6" max="6" width="11.77734375" style="1" customWidth="1"/>
    <col min="7" max="7" width="12.44140625" style="1" bestFit="1" customWidth="1"/>
    <col min="8" max="8" width="4.33203125" style="100" customWidth="1"/>
    <col min="9" max="9" width="13.109375" style="1" bestFit="1" customWidth="1"/>
    <col min="10" max="11" width="11.88671875" style="1" customWidth="1"/>
    <col min="12" max="12" width="14.777343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6384" width="8.44140625" style="1"/>
  </cols>
  <sheetData>
    <row r="1" spans="1:13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</row>
    <row r="2" spans="1:13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</row>
    <row r="3" spans="1:13">
      <c r="A3" s="1253" t="s">
        <v>525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</row>
    <row r="4" spans="1:13">
      <c r="A4" s="1253" t="str">
        <f>'B.1 F '!A4</f>
        <v>as of May 31, 2017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</row>
    <row r="5" spans="1:13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3" ht="15.75">
      <c r="A6" s="70" t="s">
        <v>1075</v>
      </c>
      <c r="B6" s="70"/>
      <c r="C6" s="47"/>
      <c r="D6" s="769"/>
      <c r="L6" s="1" t="s">
        <v>1518</v>
      </c>
    </row>
    <row r="7" spans="1:13">
      <c r="A7" s="70" t="s">
        <v>1142</v>
      </c>
      <c r="B7" s="47"/>
      <c r="C7" s="70"/>
      <c r="L7" s="1" t="s">
        <v>725</v>
      </c>
    </row>
    <row r="8" spans="1:13">
      <c r="A8" s="70" t="s">
        <v>440</v>
      </c>
      <c r="B8" s="47"/>
      <c r="C8" s="47"/>
      <c r="D8" s="45"/>
      <c r="E8" s="47"/>
      <c r="F8" s="47"/>
      <c r="G8" s="47"/>
      <c r="I8" s="47"/>
      <c r="J8" s="47"/>
      <c r="L8" s="47" t="str">
        <f>'B.1 F '!F8</f>
        <v>Witness:   Waller</v>
      </c>
    </row>
    <row r="9" spans="1:13">
      <c r="A9" s="323"/>
      <c r="B9" s="85"/>
      <c r="C9" s="85"/>
      <c r="D9" s="638"/>
      <c r="E9" s="436" t="s">
        <v>13</v>
      </c>
      <c r="F9" s="437" t="s">
        <v>11</v>
      </c>
      <c r="G9" s="639" t="s">
        <v>102</v>
      </c>
      <c r="H9" s="101"/>
      <c r="I9" s="641"/>
      <c r="J9" s="436" t="s">
        <v>13</v>
      </c>
      <c r="K9" s="437" t="s">
        <v>11</v>
      </c>
      <c r="L9" s="504"/>
    </row>
    <row r="10" spans="1:13">
      <c r="A10" s="432" t="s">
        <v>98</v>
      </c>
      <c r="B10" s="46"/>
      <c r="C10" s="47"/>
      <c r="D10" s="433"/>
      <c r="E10" s="46" t="s">
        <v>14</v>
      </c>
      <c r="F10" s="101" t="s">
        <v>610</v>
      </c>
      <c r="G10" s="429" t="s">
        <v>1187</v>
      </c>
      <c r="H10" s="101"/>
      <c r="I10" s="432" t="s">
        <v>97</v>
      </c>
      <c r="J10" s="46" t="s">
        <v>14</v>
      </c>
      <c r="K10" s="101" t="s">
        <v>610</v>
      </c>
      <c r="L10" s="642" t="s">
        <v>12</v>
      </c>
    </row>
    <row r="11" spans="1:13">
      <c r="A11" s="430" t="s">
        <v>104</v>
      </c>
      <c r="B11" s="44"/>
      <c r="C11" s="80" t="s">
        <v>347</v>
      </c>
      <c r="D11" s="640" t="s">
        <v>1076</v>
      </c>
      <c r="E11" s="255" t="s">
        <v>643</v>
      </c>
      <c r="F11" s="255" t="s">
        <v>643</v>
      </c>
      <c r="G11" s="431" t="s">
        <v>110</v>
      </c>
      <c r="H11" s="101"/>
      <c r="I11" s="430" t="s">
        <v>103</v>
      </c>
      <c r="J11" s="255" t="s">
        <v>643</v>
      </c>
      <c r="K11" s="255" t="s">
        <v>643</v>
      </c>
      <c r="L11" s="643" t="s">
        <v>109</v>
      </c>
    </row>
    <row r="12" spans="1:13" ht="15.75">
      <c r="B12" s="12" t="s">
        <v>218</v>
      </c>
      <c r="E12" s="77"/>
      <c r="F12" s="77"/>
      <c r="G12" s="107"/>
      <c r="J12" s="77"/>
      <c r="K12" s="77"/>
    </row>
    <row r="13" spans="1:13">
      <c r="A13" s="2">
        <v>1</v>
      </c>
      <c r="C13" s="17" t="s">
        <v>689</v>
      </c>
      <c r="D13" s="383">
        <f>'WP B.5 F'!P13</f>
        <v>1912246.3199999998</v>
      </c>
      <c r="E13" s="634">
        <v>1</v>
      </c>
      <c r="F13" s="634">
        <v>1</v>
      </c>
      <c r="G13" s="383">
        <f>D13*E13*F13</f>
        <v>1912246.3199999998</v>
      </c>
      <c r="H13" s="103"/>
      <c r="I13" s="383">
        <f>'WP B.5 F'!Q13</f>
        <v>1912246.32</v>
      </c>
      <c r="J13" s="553">
        <f>E13</f>
        <v>1</v>
      </c>
      <c r="K13" s="553">
        <f>F13</f>
        <v>1</v>
      </c>
      <c r="L13" s="383">
        <f>I13*J13*K13</f>
        <v>1912246.32</v>
      </c>
      <c r="M13" s="391"/>
    </row>
    <row r="14" spans="1:13" ht="14.25" customHeight="1">
      <c r="A14" s="2">
        <v>2</v>
      </c>
      <c r="B14" s="486"/>
      <c r="C14" s="4"/>
      <c r="D14" s="103"/>
      <c r="E14" s="634"/>
      <c r="F14" s="634"/>
      <c r="G14" s="103"/>
      <c r="H14" s="103"/>
      <c r="I14" s="103"/>
      <c r="J14" s="102"/>
      <c r="K14" s="102"/>
      <c r="L14" s="103"/>
      <c r="M14" s="391"/>
    </row>
    <row r="15" spans="1:13">
      <c r="A15" s="2">
        <v>3</v>
      </c>
      <c r="C15" s="17" t="s">
        <v>690</v>
      </c>
      <c r="D15" s="99">
        <f>'WP B.5 F'!P15</f>
        <v>-99006302.007768542</v>
      </c>
      <c r="E15" s="634">
        <f>$E$13</f>
        <v>1</v>
      </c>
      <c r="F15" s="634">
        <f>$F$13</f>
        <v>1</v>
      </c>
      <c r="G15" s="99">
        <f>D15*E15*F15</f>
        <v>-99006302.007768542</v>
      </c>
      <c r="H15" s="103"/>
      <c r="I15" s="99">
        <f>'WP B.5 F'!Q15</f>
        <v>-95955181.635038689</v>
      </c>
      <c r="J15" s="553">
        <f>E15</f>
        <v>1</v>
      </c>
      <c r="K15" s="553">
        <f>F15</f>
        <v>1</v>
      </c>
      <c r="L15" s="99">
        <f>I15*J15*K15</f>
        <v>-95955181.635038689</v>
      </c>
      <c r="M15" s="391"/>
    </row>
    <row r="16" spans="1:13" ht="14.25" customHeight="1">
      <c r="A16" s="2">
        <v>4</v>
      </c>
      <c r="B16" s="486"/>
      <c r="C16" s="4"/>
      <c r="D16" s="103"/>
      <c r="E16" s="634"/>
      <c r="F16" s="634"/>
      <c r="G16" s="103"/>
      <c r="H16" s="103"/>
      <c r="I16" s="103"/>
      <c r="J16" s="102"/>
      <c r="K16" s="102"/>
      <c r="L16" s="103"/>
      <c r="M16" s="391"/>
    </row>
    <row r="17" spans="1:17">
      <c r="A17" s="2">
        <v>5</v>
      </c>
      <c r="C17" s="17" t="s">
        <v>691</v>
      </c>
      <c r="D17" s="99">
        <f>'WP B.5 F'!P17</f>
        <v>-96035.15</v>
      </c>
      <c r="E17" s="634">
        <f>$E$13</f>
        <v>1</v>
      </c>
      <c r="F17" s="634">
        <f>$F$13</f>
        <v>1</v>
      </c>
      <c r="G17" s="99">
        <f>D17*E17*F17</f>
        <v>-96035.15</v>
      </c>
      <c r="H17" s="103"/>
      <c r="I17" s="99">
        <f>'WP B.5 F'!Q17</f>
        <v>-96035.15</v>
      </c>
      <c r="J17" s="553">
        <f>E17</f>
        <v>1</v>
      </c>
      <c r="K17" s="553">
        <f>F17</f>
        <v>1</v>
      </c>
      <c r="L17" s="99">
        <f>I17*J17*K17</f>
        <v>-96035.15</v>
      </c>
      <c r="M17" s="391"/>
    </row>
    <row r="18" spans="1:17" ht="14.25" customHeight="1">
      <c r="A18" s="2">
        <v>6</v>
      </c>
      <c r="B18" s="486"/>
      <c r="C18" s="4"/>
      <c r="D18" s="103"/>
      <c r="E18" s="24"/>
      <c r="F18" s="24"/>
      <c r="G18" s="103"/>
      <c r="H18" s="103"/>
      <c r="I18" s="103"/>
      <c r="J18" s="102"/>
      <c r="K18" s="102"/>
      <c r="L18" s="103"/>
      <c r="M18" s="391"/>
    </row>
    <row r="19" spans="1:17">
      <c r="A19" s="2">
        <v>7</v>
      </c>
      <c r="C19" s="26" t="s">
        <v>31</v>
      </c>
      <c r="D19" s="752">
        <f>SUM(D13:D17)</f>
        <v>-97190090.837768555</v>
      </c>
      <c r="E19" s="24"/>
      <c r="F19" s="24"/>
      <c r="G19" s="752">
        <f>SUM(G13:G17)</f>
        <v>-97190090.837768555</v>
      </c>
      <c r="I19" s="752">
        <f>SUM(I13:I17)</f>
        <v>-94138970.465038702</v>
      </c>
      <c r="J19" s="296"/>
      <c r="K19" s="296"/>
      <c r="L19" s="752">
        <f>SUM(L13:L17)</f>
        <v>-94138970.465038702</v>
      </c>
      <c r="M19" s="391"/>
    </row>
    <row r="20" spans="1:17" ht="14.25" customHeight="1">
      <c r="A20" s="2">
        <v>8</v>
      </c>
      <c r="B20" s="486"/>
      <c r="C20" s="4"/>
      <c r="D20" s="103"/>
      <c r="E20" s="24"/>
      <c r="F20" s="24"/>
      <c r="G20" s="103"/>
      <c r="H20" s="103"/>
      <c r="I20" s="103"/>
      <c r="J20" s="102"/>
      <c r="K20" s="102"/>
      <c r="L20" s="103"/>
      <c r="M20" s="391"/>
    </row>
    <row r="21" spans="1:17" ht="15.75">
      <c r="A21" s="2">
        <v>9</v>
      </c>
      <c r="B21" s="12" t="s">
        <v>219</v>
      </c>
      <c r="E21" s="77"/>
      <c r="F21" s="77"/>
      <c r="J21" s="77"/>
      <c r="K21" s="77"/>
      <c r="M21" s="391"/>
    </row>
    <row r="22" spans="1:17">
      <c r="A22" s="2">
        <v>10</v>
      </c>
      <c r="C22" s="17" t="s">
        <v>689</v>
      </c>
      <c r="D22" s="383">
        <f>'WP B.5 F'!P22</f>
        <v>457758120.51499999</v>
      </c>
      <c r="E22" s="523">
        <f>Allocation!C14</f>
        <v>0.1071</v>
      </c>
      <c r="F22" s="523">
        <f>Allocation!D14</f>
        <v>0.49090457251500325</v>
      </c>
      <c r="G22" s="383">
        <f>D22*E22*F22</f>
        <v>24067035.883382224</v>
      </c>
      <c r="H22" s="103"/>
      <c r="I22" s="383">
        <f>'WP B.5 F'!Q22</f>
        <v>457758120.51500005</v>
      </c>
      <c r="J22" s="568">
        <f>E22</f>
        <v>0.1071</v>
      </c>
      <c r="K22" s="568">
        <f>F22</f>
        <v>0.49090457251500325</v>
      </c>
      <c r="L22" s="383">
        <f>I22*J22*K22</f>
        <v>24067035.883382224</v>
      </c>
      <c r="M22" s="391"/>
      <c r="P22" s="1091">
        <f>E22*F22</f>
        <v>5.2575879716356848E-2</v>
      </c>
      <c r="Q22" s="1091">
        <f>J22*K22</f>
        <v>5.2575879716356848E-2</v>
      </c>
    </row>
    <row r="23" spans="1:17">
      <c r="A23" s="2">
        <v>11</v>
      </c>
      <c r="D23" s="99"/>
      <c r="E23" s="24"/>
      <c r="F23" s="24"/>
      <c r="G23" s="99"/>
      <c r="H23" s="103"/>
      <c r="I23" s="99"/>
      <c r="J23" s="637"/>
      <c r="K23" s="637"/>
      <c r="L23" s="99"/>
      <c r="M23" s="391"/>
      <c r="P23" s="1091"/>
      <c r="Q23" s="1092"/>
    </row>
    <row r="24" spans="1:17">
      <c r="A24" s="2">
        <v>12</v>
      </c>
      <c r="C24" s="17" t="s">
        <v>690</v>
      </c>
      <c r="D24" s="99">
        <f>'WP B.5 F'!P24</f>
        <v>-26699471.99418591</v>
      </c>
      <c r="E24" s="523">
        <f>$E$22</f>
        <v>0.1071</v>
      </c>
      <c r="F24" s="523">
        <f>$F$22</f>
        <v>0.49090457251500325</v>
      </c>
      <c r="G24" s="99">
        <f>D24*E24*F24</f>
        <v>-1403748.2280565565</v>
      </c>
      <c r="H24" s="103"/>
      <c r="I24" s="99">
        <f>'WP B.5 F'!Q24</f>
        <v>-26536835.161484536</v>
      </c>
      <c r="J24" s="568">
        <f>E24</f>
        <v>0.1071</v>
      </c>
      <c r="K24" s="568">
        <f>F24</f>
        <v>0.49090457251500325</v>
      </c>
      <c r="L24" s="99">
        <f>I24*J24*K24</f>
        <v>-1395197.4535029999</v>
      </c>
      <c r="M24" s="391"/>
      <c r="P24" s="1091">
        <f>E24*F24</f>
        <v>5.2575879716356848E-2</v>
      </c>
      <c r="Q24" s="1091">
        <f>J24*K24</f>
        <v>5.2575879716356848E-2</v>
      </c>
    </row>
    <row r="25" spans="1:17" ht="14.25" customHeight="1">
      <c r="A25" s="2">
        <v>13</v>
      </c>
      <c r="B25" s="486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M25" s="391"/>
      <c r="P25" s="1091"/>
      <c r="Q25" s="1092"/>
    </row>
    <row r="26" spans="1:17">
      <c r="A26" s="2">
        <v>14</v>
      </c>
      <c r="C26" s="17" t="s">
        <v>691</v>
      </c>
      <c r="D26" s="99">
        <f>'WP B.5 F'!P26</f>
        <v>22822184.905000001</v>
      </c>
      <c r="E26" s="523">
        <f>$E$22</f>
        <v>0.1071</v>
      </c>
      <c r="F26" s="523">
        <f>$F$22</f>
        <v>0.49090457251500325</v>
      </c>
      <c r="G26" s="99">
        <f>D26*E26*F26</f>
        <v>1199896.4484297349</v>
      </c>
      <c r="H26" s="103"/>
      <c r="I26" s="99">
        <f>'WP B.5 F'!Q26</f>
        <v>22822184.904999997</v>
      </c>
      <c r="J26" s="568">
        <f>E26</f>
        <v>0.1071</v>
      </c>
      <c r="K26" s="568">
        <f>F26</f>
        <v>0.49090457251500325</v>
      </c>
      <c r="L26" s="99">
        <f>I26*J26*K26</f>
        <v>1199896.4484297347</v>
      </c>
      <c r="M26" s="391"/>
      <c r="P26" s="1091">
        <f>E26*F26</f>
        <v>5.2575879716356848E-2</v>
      </c>
      <c r="Q26" s="1091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37"/>
      <c r="K27" s="637"/>
      <c r="L27" s="99"/>
      <c r="M27" s="391"/>
      <c r="P27" s="1092"/>
      <c r="Q27" s="1092"/>
    </row>
    <row r="28" spans="1:17">
      <c r="A28" s="2">
        <v>16</v>
      </c>
      <c r="C28" s="26" t="s">
        <v>73</v>
      </c>
      <c r="D28" s="752">
        <f>SUM(D22:D26)</f>
        <v>453880833.42581403</v>
      </c>
      <c r="E28" s="24"/>
      <c r="F28" s="24"/>
      <c r="G28" s="752">
        <f>SUM(G22:G26)</f>
        <v>23863184.1037554</v>
      </c>
      <c r="I28" s="752">
        <f>SUM(I22:I26)</f>
        <v>454043470.25851548</v>
      </c>
      <c r="J28" s="102"/>
      <c r="K28" s="102"/>
      <c r="L28" s="752">
        <f>SUM(L22:L26)</f>
        <v>23871734.878308956</v>
      </c>
      <c r="M28" s="391"/>
      <c r="P28" s="1092"/>
      <c r="Q28" s="1092"/>
    </row>
    <row r="29" spans="1:17" ht="15.75">
      <c r="A29" s="2">
        <v>17</v>
      </c>
      <c r="B29" s="12" t="s">
        <v>1137</v>
      </c>
      <c r="E29" s="77"/>
      <c r="F29" s="77"/>
      <c r="J29" s="77"/>
      <c r="K29" s="77"/>
      <c r="M29" s="391"/>
      <c r="P29" s="1092"/>
      <c r="Q29" s="1092"/>
    </row>
    <row r="30" spans="1:17">
      <c r="A30" s="2">
        <v>18</v>
      </c>
      <c r="C30" s="17" t="s">
        <v>689</v>
      </c>
      <c r="D30" s="383">
        <f>'WP B.5 F'!P30</f>
        <v>0</v>
      </c>
      <c r="E30" s="523">
        <f>Allocation!C15</f>
        <v>0.1086</v>
      </c>
      <c r="F30" s="523">
        <f>Allocation!D15</f>
        <v>0.52599015110063552</v>
      </c>
      <c r="G30" s="383">
        <f>D30*E30*F30</f>
        <v>0</v>
      </c>
      <c r="H30" s="103"/>
      <c r="I30" s="383">
        <f>'WP B.5 F'!Q30</f>
        <v>0</v>
      </c>
      <c r="J30" s="568">
        <f>E30</f>
        <v>0.1086</v>
      </c>
      <c r="K30" s="568">
        <f>F30</f>
        <v>0.52599015110063552</v>
      </c>
      <c r="L30" s="383">
        <f>I30*J30*K30</f>
        <v>0</v>
      </c>
      <c r="M30" s="391"/>
      <c r="P30" s="1091">
        <f>E30*F30</f>
        <v>5.712253040952902E-2</v>
      </c>
      <c r="Q30" s="1091">
        <f>J30*K30</f>
        <v>5.712253040952902E-2</v>
      </c>
    </row>
    <row r="31" spans="1:17">
      <c r="A31" s="2">
        <v>19</v>
      </c>
      <c r="B31" s="486"/>
      <c r="C31" s="4"/>
      <c r="D31" s="103"/>
      <c r="E31" s="24"/>
      <c r="F31" s="24"/>
      <c r="G31" s="103"/>
      <c r="H31" s="103"/>
      <c r="I31" s="103"/>
      <c r="J31" s="102"/>
      <c r="K31" s="102"/>
      <c r="L31" s="103"/>
      <c r="M31" s="391"/>
      <c r="P31" s="1091"/>
      <c r="Q31" s="1092"/>
    </row>
    <row r="32" spans="1:17">
      <c r="A32" s="2">
        <v>20</v>
      </c>
      <c r="C32" s="17" t="s">
        <v>690</v>
      </c>
      <c r="D32" s="99">
        <f>'WP B.5 F'!P32</f>
        <v>-30098212.080159146</v>
      </c>
      <c r="E32" s="523">
        <f>$E$30</f>
        <v>0.1086</v>
      </c>
      <c r="F32" s="523">
        <f>$F$30</f>
        <v>0.52599015110063552</v>
      </c>
      <c r="G32" s="99">
        <f>D32*E32*F32</f>
        <v>-1719286.0348213445</v>
      </c>
      <c r="H32" s="103"/>
      <c r="I32" s="99">
        <f>'WP B.5 F'!Q32</f>
        <v>-30344720.568317417</v>
      </c>
      <c r="J32" s="568">
        <f>E32</f>
        <v>0.1086</v>
      </c>
      <c r="K32" s="568">
        <f>F32</f>
        <v>0.52599015110063552</v>
      </c>
      <c r="L32" s="99">
        <f>I32*J32*K32</f>
        <v>-1733367.2234323723</v>
      </c>
      <c r="M32" s="391"/>
      <c r="P32" s="1091">
        <f>E32*F32</f>
        <v>5.712253040952902E-2</v>
      </c>
      <c r="Q32" s="1091">
        <f>J32*K32</f>
        <v>5.712253040952902E-2</v>
      </c>
    </row>
    <row r="33" spans="1:17">
      <c r="A33" s="2">
        <v>21</v>
      </c>
      <c r="B33" s="486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M33" s="391"/>
      <c r="P33" s="1091"/>
      <c r="Q33" s="1092"/>
    </row>
    <row r="34" spans="1:17">
      <c r="A34" s="2">
        <v>22</v>
      </c>
      <c r="C34" s="17" t="s">
        <v>691</v>
      </c>
      <c r="D34" s="99">
        <f>'WP B.5 F'!P34</f>
        <v>0</v>
      </c>
      <c r="E34" s="523">
        <f>$E$30</f>
        <v>0.1086</v>
      </c>
      <c r="F34" s="523">
        <f>$F$30</f>
        <v>0.52599015110063552</v>
      </c>
      <c r="G34" s="99">
        <f>D34*E34*F34</f>
        <v>0</v>
      </c>
      <c r="H34" s="103"/>
      <c r="I34" s="99">
        <f>'WP B.5 F'!Q34</f>
        <v>0</v>
      </c>
      <c r="J34" s="568">
        <f>E34</f>
        <v>0.1086</v>
      </c>
      <c r="K34" s="568">
        <f>F34</f>
        <v>0.52599015110063552</v>
      </c>
      <c r="L34" s="99">
        <f>I34*J34*K34</f>
        <v>0</v>
      </c>
      <c r="M34" s="391"/>
      <c r="P34" s="1091">
        <f>E34*F34</f>
        <v>5.712253040952902E-2</v>
      </c>
      <c r="Q34" s="1091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37"/>
      <c r="K35" s="637"/>
      <c r="L35" s="99"/>
      <c r="M35" s="391"/>
      <c r="P35" s="1092"/>
      <c r="Q35" s="1092"/>
    </row>
    <row r="36" spans="1:17">
      <c r="A36" s="2">
        <v>24</v>
      </c>
      <c r="C36" s="26" t="s">
        <v>735</v>
      </c>
      <c r="D36" s="752">
        <f>SUM(D30:D34)</f>
        <v>-30098212.080159146</v>
      </c>
      <c r="E36" s="24"/>
      <c r="F36" s="24"/>
      <c r="G36" s="752">
        <f>SUM(G30:G34)</f>
        <v>-1719286.0348213445</v>
      </c>
      <c r="I36" s="752">
        <f>SUM(I30:I34)</f>
        <v>-30344720.568317417</v>
      </c>
      <c r="J36" s="102"/>
      <c r="K36" s="102"/>
      <c r="L36" s="752">
        <f>SUM(L30:L34)</f>
        <v>-1733367.2234323723</v>
      </c>
      <c r="M36" s="391"/>
      <c r="P36" s="1092"/>
      <c r="Q36" s="1092"/>
    </row>
    <row r="37" spans="1:17" ht="15.75">
      <c r="A37" s="2">
        <v>25</v>
      </c>
      <c r="B37" s="12" t="s">
        <v>692</v>
      </c>
      <c r="E37" s="77"/>
      <c r="F37" s="77"/>
      <c r="J37" s="77"/>
      <c r="K37" s="77"/>
      <c r="M37" s="391"/>
      <c r="P37" s="1092"/>
      <c r="Q37" s="1092"/>
    </row>
    <row r="38" spans="1:17">
      <c r="A38" s="2">
        <v>26</v>
      </c>
      <c r="C38" s="17" t="s">
        <v>689</v>
      </c>
      <c r="D38" s="383">
        <f>'WP B.5 F'!P39</f>
        <v>5978139.7250000006</v>
      </c>
      <c r="E38" s="635">
        <v>1</v>
      </c>
      <c r="F38" s="523">
        <f>Allocation!D17</f>
        <v>0.49090457251500325</v>
      </c>
      <c r="G38" s="383">
        <f>D38*E38*F38</f>
        <v>2934696.1261360846</v>
      </c>
      <c r="H38" s="103"/>
      <c r="I38" s="383">
        <f>'WP B.5 F'!Q39</f>
        <v>5978139.7249999996</v>
      </c>
      <c r="J38" s="635">
        <f>E38</f>
        <v>1</v>
      </c>
      <c r="K38" s="523">
        <f>F38</f>
        <v>0.49090457251500325</v>
      </c>
      <c r="L38" s="383">
        <f>I38*J38*K38</f>
        <v>2934696.1261360841</v>
      </c>
      <c r="M38" s="391"/>
      <c r="P38" s="1091">
        <f>E38*F38</f>
        <v>0.49090457251500325</v>
      </c>
      <c r="Q38" s="1091">
        <f>J38*K38</f>
        <v>0.49090457251500325</v>
      </c>
    </row>
    <row r="39" spans="1:17">
      <c r="A39" s="2">
        <v>27</v>
      </c>
      <c r="D39" s="99"/>
      <c r="E39" s="24"/>
      <c r="F39" s="24"/>
      <c r="G39" s="99"/>
      <c r="H39" s="103"/>
      <c r="I39" s="99"/>
      <c r="J39" s="637"/>
      <c r="K39" s="637"/>
      <c r="L39" s="99"/>
      <c r="M39" s="391"/>
      <c r="P39" s="1091"/>
      <c r="Q39" s="1092"/>
    </row>
    <row r="40" spans="1:17">
      <c r="A40" s="2">
        <v>28</v>
      </c>
      <c r="C40" s="17" t="s">
        <v>453</v>
      </c>
      <c r="D40" s="99">
        <f>'WP B.5 F'!P45</f>
        <v>-11421</v>
      </c>
      <c r="E40" s="635">
        <f>$E$38</f>
        <v>1</v>
      </c>
      <c r="F40" s="523">
        <f>$F$38</f>
        <v>0.49090457251500325</v>
      </c>
      <c r="G40" s="99">
        <f>D40*E40*F40</f>
        <v>-5606.6211226938522</v>
      </c>
      <c r="H40" s="103"/>
      <c r="I40" s="99">
        <f>'WP B.5 F'!Q45</f>
        <v>-11421</v>
      </c>
      <c r="J40" s="635">
        <f>E40</f>
        <v>1</v>
      </c>
      <c r="K40" s="523">
        <f>F40</f>
        <v>0.49090457251500325</v>
      </c>
      <c r="L40" s="99">
        <f>I40*J40*K40</f>
        <v>-5606.6211226938522</v>
      </c>
      <c r="M40" s="391"/>
      <c r="P40" s="1091">
        <f>E40*F40</f>
        <v>0.49090457251500325</v>
      </c>
      <c r="Q40" s="1091">
        <f>J40*K40</f>
        <v>0.49090457251500325</v>
      </c>
    </row>
    <row r="41" spans="1:17">
      <c r="A41" s="2">
        <v>29</v>
      </c>
      <c r="D41" s="99"/>
      <c r="E41" s="24"/>
      <c r="F41" s="24"/>
      <c r="G41" s="99"/>
      <c r="H41" s="103"/>
      <c r="I41" s="99"/>
      <c r="J41" s="637"/>
      <c r="K41" s="637"/>
      <c r="L41" s="99"/>
      <c r="M41" s="391"/>
      <c r="P41" s="1091"/>
      <c r="Q41" s="1092"/>
    </row>
    <row r="42" spans="1:17">
      <c r="A42" s="2">
        <v>30</v>
      </c>
      <c r="C42" s="17" t="s">
        <v>690</v>
      </c>
      <c r="D42" s="99">
        <f>'WP B.5 F'!P41</f>
        <v>-5460913.5020311493</v>
      </c>
      <c r="E42" s="635">
        <f>$E$38</f>
        <v>1</v>
      </c>
      <c r="F42" s="523">
        <f>$F$38</f>
        <v>0.49090457251500325</v>
      </c>
      <c r="G42" s="99">
        <f>D42*E42*F42</f>
        <v>-2680787.4082560106</v>
      </c>
      <c r="H42" s="103"/>
      <c r="I42" s="99">
        <f>'WP B.5 F'!Q41</f>
        <v>-5450863.7924557738</v>
      </c>
      <c r="J42" s="635">
        <f>E42</f>
        <v>1</v>
      </c>
      <c r="K42" s="523">
        <f>F42</f>
        <v>0.49090457251500325</v>
      </c>
      <c r="L42" s="99">
        <f>I42*J42*K42</f>
        <v>-2675853.9598730109</v>
      </c>
      <c r="M42" s="391"/>
      <c r="P42" s="1091">
        <f>E42*F42</f>
        <v>0.49090457251500325</v>
      </c>
      <c r="Q42" s="1091">
        <f>J42*K42</f>
        <v>0.49090457251500325</v>
      </c>
    </row>
    <row r="43" spans="1:17">
      <c r="A43" s="2">
        <v>31</v>
      </c>
      <c r="D43" s="99"/>
      <c r="E43" s="24"/>
      <c r="F43" s="24"/>
      <c r="G43" s="99"/>
      <c r="H43" s="103"/>
      <c r="I43" s="99"/>
      <c r="J43" s="637"/>
      <c r="K43" s="637"/>
      <c r="L43" s="99"/>
      <c r="M43" s="391"/>
      <c r="P43" s="1092"/>
      <c r="Q43" s="1092"/>
    </row>
    <row r="44" spans="1:17">
      <c r="A44" s="2">
        <v>32</v>
      </c>
      <c r="C44" s="17" t="s">
        <v>691</v>
      </c>
      <c r="D44" s="99">
        <f>'WP B.5 F'!P43</f>
        <v>-1472160.1949999998</v>
      </c>
      <c r="E44" s="635">
        <f>$E$38</f>
        <v>1</v>
      </c>
      <c r="F44" s="523">
        <f>$F$38</f>
        <v>0.49090457251500325</v>
      </c>
      <c r="G44" s="99">
        <f>D44*E44*F44</f>
        <v>-722690.17120007868</v>
      </c>
      <c r="H44" s="103"/>
      <c r="I44" s="99">
        <f>'WP B.5 F'!Q43</f>
        <v>-1472160.1950000001</v>
      </c>
      <c r="J44" s="635">
        <f>E44</f>
        <v>1</v>
      </c>
      <c r="K44" s="523">
        <f>F44</f>
        <v>0.49090457251500325</v>
      </c>
      <c r="L44" s="99">
        <f>I44*J44*K44</f>
        <v>-722690.1712000788</v>
      </c>
      <c r="M44" s="391"/>
      <c r="P44" s="1091">
        <f>E44*F44</f>
        <v>0.49090457251500325</v>
      </c>
      <c r="Q44" s="1091">
        <f>J44*K44</f>
        <v>0.49090457251500325</v>
      </c>
    </row>
    <row r="45" spans="1:17">
      <c r="A45" s="2">
        <v>33</v>
      </c>
      <c r="D45" s="99"/>
      <c r="E45" s="24"/>
      <c r="F45" s="24"/>
      <c r="G45" s="99"/>
      <c r="H45" s="103"/>
      <c r="I45" s="99"/>
      <c r="J45" s="637"/>
      <c r="K45" s="637"/>
      <c r="L45" s="99"/>
      <c r="M45" s="391"/>
      <c r="P45" s="523"/>
      <c r="Q45" s="523"/>
    </row>
    <row r="46" spans="1:17">
      <c r="A46" s="2">
        <v>34</v>
      </c>
      <c r="C46" s="26" t="s">
        <v>452</v>
      </c>
      <c r="D46" s="752">
        <f>SUM(D38:D44)</f>
        <v>-966354.97203114862</v>
      </c>
      <c r="E46" s="24"/>
      <c r="F46" s="24"/>
      <c r="G46" s="752">
        <f>SUM(G38:G44)</f>
        <v>-474388.07444269839</v>
      </c>
      <c r="I46" s="752">
        <f>SUM(I38:I44)</f>
        <v>-956305.26245577424</v>
      </c>
      <c r="J46" s="102"/>
      <c r="K46" s="102"/>
      <c r="L46" s="752">
        <f>SUM(L38:L44)</f>
        <v>-469454.62605969922</v>
      </c>
      <c r="M46" s="391"/>
    </row>
    <row r="47" spans="1:17">
      <c r="A47" s="2">
        <v>35</v>
      </c>
      <c r="E47" s="77"/>
      <c r="F47" s="77"/>
      <c r="J47" s="77"/>
      <c r="K47" s="77"/>
      <c r="M47" s="391"/>
    </row>
    <row r="48" spans="1:17">
      <c r="A48" s="2">
        <v>36</v>
      </c>
      <c r="E48" s="77"/>
      <c r="F48" s="77"/>
      <c r="J48" s="77"/>
      <c r="K48" s="77"/>
      <c r="M48" s="391"/>
    </row>
    <row r="49" spans="1:12" ht="15.75">
      <c r="A49" s="2">
        <v>37</v>
      </c>
      <c r="B49" s="47"/>
      <c r="C49" s="685" t="s">
        <v>737</v>
      </c>
      <c r="D49" s="719">
        <f>D46+D36+D28+D19</f>
        <v>325626175.53585517</v>
      </c>
      <c r="E49" s="77"/>
      <c r="F49" s="77"/>
      <c r="G49" s="719">
        <f>G46+G36+G28+G19</f>
        <v>-75520580.843277201</v>
      </c>
      <c r="I49" s="719">
        <f>I46+I36+I28+I19</f>
        <v>328603473.96270359</v>
      </c>
      <c r="J49" s="77"/>
      <c r="K49" s="77"/>
      <c r="L49" s="719">
        <f>L46+L36+L28+L19</f>
        <v>-72470057.436221823</v>
      </c>
    </row>
    <row r="50" spans="1:12">
      <c r="A50" s="1086">
        <v>38</v>
      </c>
      <c r="B50" s="47"/>
      <c r="C50" s="1101" t="s">
        <v>1584</v>
      </c>
      <c r="E50" s="77"/>
      <c r="F50" s="77"/>
      <c r="J50" s="77"/>
      <c r="K50" s="77"/>
    </row>
    <row r="51" spans="1:12" ht="15.75">
      <c r="A51" s="1086">
        <v>39</v>
      </c>
      <c r="B51" s="47"/>
      <c r="C51" s="129" t="s">
        <v>1578</v>
      </c>
      <c r="E51" s="77"/>
      <c r="F51" s="77"/>
      <c r="J51" s="77"/>
      <c r="K51" s="77"/>
      <c r="L51" s="1">
        <f>I73</f>
        <v>9564894.4109511152</v>
      </c>
    </row>
    <row r="52" spans="1:12">
      <c r="A52" s="1086">
        <v>40</v>
      </c>
      <c r="B52" s="47"/>
      <c r="C52" s="119"/>
      <c r="E52" s="1087"/>
      <c r="F52" s="1087"/>
      <c r="J52" s="1087"/>
      <c r="K52" s="1087"/>
    </row>
    <row r="53" spans="1:12" ht="16.5" thickBot="1">
      <c r="A53" s="1086">
        <v>41</v>
      </c>
      <c r="B53" s="47"/>
      <c r="C53" s="129" t="s">
        <v>1579</v>
      </c>
      <c r="E53" s="1087"/>
      <c r="F53" s="1087"/>
      <c r="J53" s="1087"/>
      <c r="K53" s="1087"/>
      <c r="L53" s="1097">
        <f>L49+L51</f>
        <v>-62905163.025270708</v>
      </c>
    </row>
    <row r="54" spans="1:12" ht="15.75" thickTop="1">
      <c r="A54" s="1086">
        <v>42</v>
      </c>
      <c r="B54" s="47"/>
      <c r="E54" s="1087"/>
      <c r="F54" s="1087"/>
      <c r="J54" s="1087"/>
      <c r="K54" s="1087"/>
    </row>
    <row r="55" spans="1:12" ht="15.75">
      <c r="A55" s="1086">
        <v>43</v>
      </c>
      <c r="B55" s="47"/>
      <c r="C55" s="1103" t="s">
        <v>1561</v>
      </c>
      <c r="D55" s="85"/>
      <c r="E55" s="436"/>
      <c r="F55" s="436"/>
      <c r="G55" s="85"/>
      <c r="H55" s="1104"/>
      <c r="I55" s="85"/>
      <c r="J55" s="77"/>
      <c r="K55" s="77"/>
    </row>
    <row r="56" spans="1:12" ht="15.75">
      <c r="A56" s="1086">
        <v>44</v>
      </c>
      <c r="B56" s="47"/>
      <c r="C56" s="1105" t="s">
        <v>1562</v>
      </c>
      <c r="D56" s="47"/>
      <c r="E56" s="296"/>
      <c r="F56" s="296"/>
      <c r="G56" s="47"/>
      <c r="I56" s="47"/>
      <c r="J56" s="77"/>
      <c r="K56" s="77"/>
    </row>
    <row r="57" spans="1:12">
      <c r="A57" s="1086">
        <v>45</v>
      </c>
      <c r="F57" s="1086" t="s">
        <v>63</v>
      </c>
      <c r="I57" s="1086"/>
      <c r="J57" s="77"/>
      <c r="K57" s="77"/>
    </row>
    <row r="58" spans="1:12">
      <c r="A58" s="1086">
        <v>46</v>
      </c>
      <c r="C58" s="5" t="s">
        <v>1564</v>
      </c>
      <c r="D58" s="1081"/>
      <c r="E58" s="1081"/>
      <c r="F58" s="1089" t="s">
        <v>106</v>
      </c>
      <c r="G58" s="1081"/>
      <c r="H58" s="1090"/>
      <c r="I58" s="1089"/>
      <c r="J58" s="77"/>
      <c r="K58" s="77"/>
    </row>
    <row r="59" spans="1:12">
      <c r="A59" s="1086">
        <v>47</v>
      </c>
      <c r="B59" s="47"/>
      <c r="F59" s="1087"/>
      <c r="J59" s="77"/>
      <c r="K59" s="77"/>
    </row>
    <row r="60" spans="1:12">
      <c r="A60" s="1086">
        <v>48</v>
      </c>
      <c r="B60" s="47"/>
      <c r="C60" s="1" t="s">
        <v>1563</v>
      </c>
      <c r="F60" s="1087" t="s">
        <v>1565</v>
      </c>
      <c r="I60" s="1">
        <f>'B.1 F '!F27</f>
        <v>334221647.62333924</v>
      </c>
      <c r="J60" s="77"/>
      <c r="K60" s="77"/>
    </row>
    <row r="61" spans="1:12">
      <c r="A61" s="1086">
        <v>49</v>
      </c>
      <c r="B61" s="47"/>
      <c r="F61" s="1087"/>
      <c r="J61" s="77"/>
      <c r="K61" s="77"/>
    </row>
    <row r="62" spans="1:12">
      <c r="A62" s="1086">
        <v>50</v>
      </c>
      <c r="B62" s="47"/>
      <c r="C62" s="1" t="s">
        <v>1566</v>
      </c>
      <c r="F62" s="1087" t="s">
        <v>1567</v>
      </c>
      <c r="I62" s="1">
        <f>A.1!G24</f>
        <v>25768489</v>
      </c>
      <c r="J62" s="77"/>
      <c r="K62" s="77"/>
    </row>
    <row r="63" spans="1:12">
      <c r="A63" s="1086">
        <v>51</v>
      </c>
      <c r="B63" s="47"/>
      <c r="F63" s="1087"/>
      <c r="J63" s="77"/>
      <c r="K63" s="77"/>
    </row>
    <row r="64" spans="1:12">
      <c r="A64" s="1086">
        <v>52</v>
      </c>
      <c r="B64" s="47"/>
      <c r="C64" s="1" t="s">
        <v>216</v>
      </c>
      <c r="F64" s="1087" t="s">
        <v>1568</v>
      </c>
      <c r="I64" s="1">
        <f>E!G32</f>
        <v>8455807.6848704834</v>
      </c>
      <c r="J64" s="77"/>
      <c r="K64" s="77"/>
    </row>
    <row r="65" spans="1:11">
      <c r="A65" s="1086">
        <v>53</v>
      </c>
      <c r="B65" s="47"/>
      <c r="F65" s="1087"/>
      <c r="J65" s="77"/>
      <c r="K65" s="77"/>
    </row>
    <row r="66" spans="1:11">
      <c r="A66" s="1086">
        <v>54</v>
      </c>
      <c r="B66" s="47"/>
      <c r="C66" s="1" t="s">
        <v>1569</v>
      </c>
      <c r="F66" s="1087" t="s">
        <v>1588</v>
      </c>
      <c r="I66" s="1">
        <f>I62-I64</f>
        <v>17312681.315129519</v>
      </c>
      <c r="J66" s="77"/>
      <c r="K66" s="77"/>
    </row>
    <row r="67" spans="1:11">
      <c r="A67" s="1086">
        <v>55</v>
      </c>
      <c r="B67" s="47"/>
      <c r="F67" s="1087"/>
      <c r="J67" s="77"/>
      <c r="K67" s="77"/>
    </row>
    <row r="68" spans="1:11">
      <c r="A68" s="1086">
        <v>56</v>
      </c>
      <c r="B68" s="47"/>
      <c r="C68" s="1" t="s">
        <v>1570</v>
      </c>
      <c r="D68" s="555">
        <f>Allocation!E23</f>
        <v>0.38900000000000001</v>
      </c>
      <c r="F68" s="1087" t="s">
        <v>1590</v>
      </c>
      <c r="I68" s="1">
        <f>I66/(1-D68)</f>
        <v>28334993.969115414</v>
      </c>
      <c r="J68" s="77"/>
      <c r="K68" s="77"/>
    </row>
    <row r="69" spans="1:11">
      <c r="A69" s="1086">
        <v>57</v>
      </c>
      <c r="B69" s="47"/>
      <c r="F69" s="1087"/>
      <c r="J69" s="77"/>
      <c r="K69" s="77"/>
    </row>
    <row r="70" spans="1:11">
      <c r="A70" s="1086">
        <v>58</v>
      </c>
      <c r="B70" s="47"/>
      <c r="C70" s="1" t="s">
        <v>1580</v>
      </c>
      <c r="D70" s="555">
        <f>D68</f>
        <v>0.38900000000000001</v>
      </c>
      <c r="F70" s="1087" t="s">
        <v>1589</v>
      </c>
      <c r="I70" s="1093">
        <f>I68*D70</f>
        <v>11022312.653985897</v>
      </c>
      <c r="J70" s="77"/>
      <c r="K70" s="77"/>
    </row>
    <row r="71" spans="1:11">
      <c r="A71" s="1086">
        <v>59</v>
      </c>
      <c r="F71" s="1087"/>
      <c r="J71" s="77"/>
      <c r="K71" s="77"/>
    </row>
    <row r="72" spans="1:11">
      <c r="A72" s="1086">
        <v>60</v>
      </c>
      <c r="C72" s="1" t="s">
        <v>1576</v>
      </c>
      <c r="F72" s="1087" t="s">
        <v>1591</v>
      </c>
      <c r="I72" s="47">
        <f>L49-'B.5 B'!L49</f>
        <v>-20587207.06493701</v>
      </c>
      <c r="J72" s="1087"/>
      <c r="K72" s="1087"/>
    </row>
    <row r="73" spans="1:11">
      <c r="A73" s="1086">
        <v>61</v>
      </c>
      <c r="C73" s="1" t="s">
        <v>1577</v>
      </c>
      <c r="F73" s="1087"/>
      <c r="I73" s="1245">
        <v>9564894.4109511152</v>
      </c>
      <c r="J73" s="1087"/>
      <c r="K73" s="1087"/>
    </row>
    <row r="74" spans="1:11">
      <c r="A74" s="1086">
        <v>62</v>
      </c>
      <c r="F74" s="1087"/>
      <c r="J74" s="1087"/>
      <c r="K74" s="1087"/>
    </row>
    <row r="75" spans="1:11" ht="16.5" thickBot="1">
      <c r="A75" s="1086">
        <v>63</v>
      </c>
      <c r="C75" s="129" t="s">
        <v>1582</v>
      </c>
      <c r="D75" s="129"/>
      <c r="E75" s="129"/>
      <c r="F75" s="1088" t="s">
        <v>1571</v>
      </c>
      <c r="G75" s="129"/>
      <c r="H75" s="1099"/>
      <c r="I75" s="1100">
        <f>'B.1 F '!F25-'B.1 B'!F25</f>
        <v>-11022312.653985895</v>
      </c>
      <c r="J75" s="77"/>
      <c r="K75" s="77"/>
    </row>
    <row r="76" spans="1:11" ht="15.75" thickTop="1">
      <c r="A76" s="1086">
        <v>64</v>
      </c>
      <c r="J76" s="77"/>
      <c r="K76" s="1106">
        <f>I70+I75</f>
        <v>0</v>
      </c>
    </row>
    <row r="77" spans="1:11">
      <c r="A77" s="1086">
        <v>65</v>
      </c>
      <c r="J77" s="77"/>
      <c r="K77" s="77"/>
    </row>
    <row r="78" spans="1:11" ht="15.75">
      <c r="A78" s="1086">
        <v>66</v>
      </c>
      <c r="C78" s="1096" t="s">
        <v>1575</v>
      </c>
      <c r="D78" s="1081"/>
      <c r="E78" s="1081"/>
      <c r="F78" s="1081"/>
      <c r="G78" s="1081"/>
      <c r="H78" s="1090"/>
      <c r="I78" s="1081"/>
      <c r="J78" s="77"/>
      <c r="K78" s="77"/>
    </row>
    <row r="79" spans="1:11" ht="15.75">
      <c r="A79" s="1086">
        <v>67</v>
      </c>
      <c r="C79" s="129" t="s">
        <v>1572</v>
      </c>
      <c r="D79" s="129"/>
      <c r="E79" s="129"/>
      <c r="F79" s="1088" t="s">
        <v>1581</v>
      </c>
      <c r="G79" s="129"/>
      <c r="H79" s="1099"/>
      <c r="I79" s="129">
        <f>'B.5 B'!L49</f>
        <v>-51882850.371284813</v>
      </c>
      <c r="J79" s="77"/>
      <c r="K79" s="77"/>
    </row>
    <row r="80" spans="1:11">
      <c r="A80" s="1086">
        <v>68</v>
      </c>
      <c r="J80" s="1087"/>
      <c r="K80" s="1087"/>
    </row>
    <row r="81" spans="1:12">
      <c r="A81" s="1086">
        <v>69</v>
      </c>
      <c r="C81" s="1" t="s">
        <v>1573</v>
      </c>
      <c r="F81" s="1087" t="s">
        <v>1586</v>
      </c>
      <c r="I81" s="1">
        <f>L49</f>
        <v>-72470057.436221823</v>
      </c>
      <c r="J81" s="77"/>
      <c r="K81" s="77"/>
    </row>
    <row r="82" spans="1:12">
      <c r="A82" s="1086">
        <v>70</v>
      </c>
      <c r="C82" s="119" t="s">
        <v>1537</v>
      </c>
      <c r="F82" s="1087" t="s">
        <v>1587</v>
      </c>
      <c r="I82" s="1081">
        <f>I73</f>
        <v>9564894.4109511152</v>
      </c>
      <c r="J82" s="77"/>
      <c r="K82" s="77"/>
    </row>
    <row r="83" spans="1:12" ht="15.75">
      <c r="A83" s="1086">
        <v>71</v>
      </c>
      <c r="C83" s="129" t="s">
        <v>1579</v>
      </c>
      <c r="D83" s="129"/>
      <c r="E83" s="129"/>
      <c r="F83" s="129"/>
      <c r="G83" s="129"/>
      <c r="H83" s="1099"/>
      <c r="I83" s="1098">
        <f>SUM(I81:I82)</f>
        <v>-62905163.025270708</v>
      </c>
      <c r="J83" s="77"/>
      <c r="K83" s="77"/>
    </row>
    <row r="84" spans="1:12" ht="15.75">
      <c r="A84" s="1086">
        <v>72</v>
      </c>
      <c r="C84" s="129"/>
      <c r="I84" s="515"/>
      <c r="J84" s="1087"/>
      <c r="K84" s="1087"/>
    </row>
    <row r="85" spans="1:12" ht="16.5" thickBot="1">
      <c r="A85" s="1086">
        <v>73</v>
      </c>
      <c r="C85" s="129" t="s">
        <v>1574</v>
      </c>
      <c r="F85" s="1" t="s">
        <v>1585</v>
      </c>
      <c r="I85" s="1100">
        <f>I83-I79</f>
        <v>-11022312.653985895</v>
      </c>
      <c r="J85" s="77"/>
      <c r="K85" s="77"/>
    </row>
    <row r="86" spans="1:12" ht="16.5" thickTop="1">
      <c r="A86" s="1086">
        <v>74</v>
      </c>
      <c r="C86" s="129"/>
      <c r="I86" s="515"/>
      <c r="J86" s="1087"/>
      <c r="K86" s="1087"/>
    </row>
    <row r="87" spans="1:12">
      <c r="A87" s="1086">
        <v>75</v>
      </c>
      <c r="I87" s="47"/>
      <c r="J87" s="77"/>
      <c r="K87" s="77"/>
    </row>
    <row r="88" spans="1:12">
      <c r="A88" s="1086">
        <v>76</v>
      </c>
      <c r="C88" s="1101" t="s">
        <v>1583</v>
      </c>
      <c r="E88" s="1087"/>
      <c r="F88" s="1087"/>
      <c r="J88" s="77"/>
      <c r="K88" s="77"/>
    </row>
    <row r="89" spans="1:12">
      <c r="E89" s="1087"/>
      <c r="F89" s="1087"/>
      <c r="J89" s="77"/>
      <c r="K89" s="77"/>
    </row>
    <row r="90" spans="1:12">
      <c r="E90" s="1087"/>
      <c r="F90" s="1087"/>
      <c r="J90" s="77"/>
      <c r="K90" s="77"/>
      <c r="L90" s="207"/>
    </row>
    <row r="91" spans="1:12">
      <c r="E91" s="1087"/>
      <c r="F91" s="1087"/>
      <c r="J91" s="77"/>
      <c r="K91" s="77"/>
      <c r="L91" s="207"/>
    </row>
    <row r="92" spans="1:12">
      <c r="E92" s="1087"/>
      <c r="F92" s="1087"/>
      <c r="J92" s="77"/>
      <c r="K92" s="77"/>
      <c r="L92" s="1075"/>
    </row>
    <row r="93" spans="1:12">
      <c r="E93" s="1087"/>
      <c r="F93" s="1087"/>
      <c r="J93" s="77"/>
      <c r="K93" s="77"/>
      <c r="L93" s="207"/>
    </row>
    <row r="94" spans="1:12">
      <c r="E94" s="1087"/>
      <c r="F94" s="1087"/>
      <c r="J94" s="77"/>
      <c r="K94" s="77"/>
    </row>
    <row r="95" spans="1:12">
      <c r="E95" s="1087"/>
      <c r="F95" s="1087"/>
      <c r="J95" s="77"/>
      <c r="K95" s="77"/>
    </row>
    <row r="96" spans="1:12">
      <c r="D96" s="1">
        <v>0</v>
      </c>
      <c r="E96" s="1087"/>
      <c r="F96" s="1087"/>
      <c r="J96" s="77"/>
      <c r="K96" s="77"/>
    </row>
    <row r="97" spans="5:11">
      <c r="E97" s="77"/>
      <c r="F97" s="77"/>
      <c r="J97" s="77"/>
      <c r="K97" s="77"/>
    </row>
    <row r="98" spans="5:11">
      <c r="E98" s="77"/>
      <c r="F98" s="77"/>
      <c r="J98" s="77"/>
      <c r="K98" s="77"/>
    </row>
    <row r="99" spans="5:11">
      <c r="E99" s="77"/>
      <c r="F99" s="77"/>
      <c r="J99" s="77"/>
      <c r="K99" s="77"/>
    </row>
    <row r="100" spans="5:11">
      <c r="E100" s="77"/>
      <c r="F100" s="77"/>
      <c r="J100" s="77"/>
      <c r="K100" s="77"/>
    </row>
    <row r="101" spans="5:11">
      <c r="E101" s="77"/>
      <c r="F101" s="77"/>
      <c r="J101" s="77"/>
      <c r="K101" s="77"/>
    </row>
    <row r="102" spans="5:11">
      <c r="E102" s="77"/>
      <c r="F102" s="77"/>
      <c r="J102" s="77"/>
      <c r="K102" s="77"/>
    </row>
    <row r="103" spans="5:11">
      <c r="E103" s="77"/>
      <c r="F103" s="77"/>
      <c r="J103" s="77"/>
      <c r="K103" s="77"/>
    </row>
    <row r="104" spans="5:11">
      <c r="E104" s="77"/>
      <c r="F104" s="77"/>
      <c r="J104" s="77"/>
      <c r="K104" s="77"/>
    </row>
    <row r="105" spans="5:11">
      <c r="E105" s="77"/>
      <c r="F105" s="77"/>
      <c r="J105" s="77"/>
      <c r="K105" s="77"/>
    </row>
    <row r="106" spans="5:11">
      <c r="J106" s="77"/>
      <c r="K106" s="77"/>
    </row>
    <row r="107" spans="5:11">
      <c r="J107" s="77"/>
      <c r="K107" s="77"/>
    </row>
    <row r="108" spans="5:11">
      <c r="J108" s="77"/>
      <c r="K108" s="77"/>
    </row>
    <row r="109" spans="5:11">
      <c r="J109" s="77"/>
      <c r="K109" s="77"/>
    </row>
    <row r="110" spans="5:11">
      <c r="J110" s="77"/>
      <c r="K110" s="77"/>
    </row>
    <row r="111" spans="5:11">
      <c r="J111" s="77"/>
      <c r="K111" s="77"/>
    </row>
    <row r="112" spans="5:11">
      <c r="J112" s="77"/>
      <c r="K112" s="77"/>
    </row>
    <row r="113" spans="10:11">
      <c r="J113" s="77"/>
      <c r="K113" s="77"/>
    </row>
    <row r="114" spans="10:11">
      <c r="J114" s="77"/>
      <c r="K114" s="77"/>
    </row>
    <row r="115" spans="10:11">
      <c r="J115" s="77"/>
      <c r="K115" s="77"/>
    </row>
    <row r="116" spans="10:11">
      <c r="J116" s="77"/>
      <c r="K116" s="77"/>
    </row>
    <row r="117" spans="10:11">
      <c r="J117" s="77"/>
      <c r="K117" s="77"/>
    </row>
    <row r="118" spans="10:11">
      <c r="J118" s="77"/>
      <c r="K118" s="77"/>
    </row>
    <row r="119" spans="10:11">
      <c r="J119" s="77"/>
      <c r="K119" s="77"/>
    </row>
    <row r="120" spans="10:11">
      <c r="J120" s="77"/>
      <c r="K120" s="77"/>
    </row>
    <row r="121" spans="10:11">
      <c r="J121" s="77"/>
      <c r="K121" s="77"/>
    </row>
    <row r="122" spans="10:11">
      <c r="J122" s="77"/>
      <c r="K122" s="77"/>
    </row>
    <row r="123" spans="10:11">
      <c r="J123" s="77"/>
      <c r="K123" s="77"/>
    </row>
    <row r="124" spans="10:11">
      <c r="J124" s="77"/>
      <c r="K124" s="77"/>
    </row>
    <row r="125" spans="10:11">
      <c r="J125" s="77"/>
      <c r="K125" s="77"/>
    </row>
    <row r="126" spans="10:11">
      <c r="J126" s="77"/>
      <c r="K126" s="77"/>
    </row>
    <row r="127" spans="10:11">
      <c r="J127" s="77"/>
      <c r="K127" s="77"/>
    </row>
    <row r="128" spans="10:11">
      <c r="J128" s="77"/>
      <c r="K128" s="77"/>
    </row>
    <row r="129" spans="10:11">
      <c r="J129" s="77"/>
      <c r="K129" s="77"/>
    </row>
    <row r="130" spans="10:11">
      <c r="J130" s="77"/>
      <c r="K130" s="77"/>
    </row>
    <row r="131" spans="10:11">
      <c r="J131" s="77"/>
      <c r="K131" s="77"/>
    </row>
    <row r="132" spans="10:11">
      <c r="J132" s="77"/>
      <c r="K132" s="77"/>
    </row>
    <row r="133" spans="10:11">
      <c r="J133" s="77"/>
      <c r="K133" s="77"/>
    </row>
    <row r="134" spans="10:11">
      <c r="J134" s="77"/>
      <c r="K134" s="77"/>
    </row>
    <row r="135" spans="10:11">
      <c r="J135" s="77"/>
      <c r="K135" s="77"/>
    </row>
    <row r="136" spans="10:11">
      <c r="J136" s="77"/>
      <c r="K136" s="77"/>
    </row>
    <row r="137" spans="10:11">
      <c r="J137" s="77"/>
      <c r="K137" s="77"/>
    </row>
    <row r="138" spans="10:11">
      <c r="J138" s="77"/>
      <c r="K138" s="77"/>
    </row>
    <row r="139" spans="10:11">
      <c r="J139" s="77"/>
      <c r="K139" s="77"/>
    </row>
    <row r="140" spans="10:11">
      <c r="J140" s="77"/>
      <c r="K140" s="7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6" bottom="0.5" header="0.5" footer="0.17"/>
  <pageSetup scale="61" fitToHeight="2" orientation="landscape" verticalDpi="300" r:id="rId1"/>
  <headerFooter alignWithMargins="0">
    <oddFooter>&amp;RSchedule &amp;A
Page &amp;P of &amp;N</oddFooter>
  </headerFooter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77" bestFit="1" customWidth="1"/>
    <col min="6" max="6" width="11.77734375" style="77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77" customWidth="1"/>
    <col min="12" max="12" width="14.77734375" style="1" customWidth="1"/>
    <col min="13" max="16384" width="8.44140625" style="1"/>
  </cols>
  <sheetData>
    <row r="1" spans="1:12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</row>
    <row r="2" spans="1:12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</row>
    <row r="3" spans="1:12">
      <c r="A3" s="1253" t="s">
        <v>649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</row>
    <row r="4" spans="1:12">
      <c r="A4" s="1253" t="str">
        <f>'B.1 B'!A4</f>
        <v>as of February 29, 2016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</row>
    <row r="5" spans="1:12">
      <c r="A5" s="43"/>
      <c r="B5" s="40"/>
      <c r="C5" s="40"/>
      <c r="D5" s="40"/>
      <c r="G5" s="40"/>
      <c r="H5" s="483"/>
      <c r="I5" s="40"/>
    </row>
    <row r="6" spans="1:12">
      <c r="A6" s="70" t="s">
        <v>805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726</v>
      </c>
    </row>
    <row r="8" spans="1:12">
      <c r="A8" s="5" t="s">
        <v>440</v>
      </c>
      <c r="B8" s="6"/>
      <c r="C8" s="6"/>
      <c r="D8" s="6"/>
      <c r="E8" s="482"/>
      <c r="F8" s="482"/>
      <c r="G8" s="45"/>
      <c r="I8" s="6"/>
      <c r="J8" s="482"/>
      <c r="K8" s="80"/>
      <c r="L8" s="45" t="str">
        <f>'B.1 B'!F8</f>
        <v>Witness:   Waller</v>
      </c>
    </row>
    <row r="9" spans="1:12">
      <c r="A9" s="764"/>
      <c r="D9" s="689"/>
      <c r="E9" s="296" t="s">
        <v>13</v>
      </c>
      <c r="F9" s="2" t="s">
        <v>11</v>
      </c>
      <c r="G9" s="639" t="s">
        <v>102</v>
      </c>
      <c r="H9" s="101"/>
      <c r="I9" s="690"/>
      <c r="J9" s="296" t="s">
        <v>13</v>
      </c>
      <c r="K9" s="2" t="s">
        <v>11</v>
      </c>
      <c r="L9" s="504"/>
    </row>
    <row r="10" spans="1:12">
      <c r="A10" s="432" t="s">
        <v>98</v>
      </c>
      <c r="B10" s="2"/>
      <c r="D10" s="433" t="s">
        <v>1076</v>
      </c>
      <c r="E10" s="2" t="s">
        <v>14</v>
      </c>
      <c r="F10" s="101" t="s">
        <v>610</v>
      </c>
      <c r="G10" s="429" t="s">
        <v>1187</v>
      </c>
      <c r="H10" s="101"/>
      <c r="I10" s="432" t="s">
        <v>97</v>
      </c>
      <c r="J10" s="2" t="s">
        <v>14</v>
      </c>
      <c r="K10" s="101" t="s">
        <v>610</v>
      </c>
      <c r="L10" s="642" t="s">
        <v>12</v>
      </c>
    </row>
    <row r="11" spans="1:12">
      <c r="A11" s="765" t="s">
        <v>104</v>
      </c>
      <c r="B11" s="9"/>
      <c r="C11" s="482" t="s">
        <v>347</v>
      </c>
      <c r="D11" s="640"/>
      <c r="E11" s="255" t="s">
        <v>643</v>
      </c>
      <c r="F11" s="255" t="s">
        <v>643</v>
      </c>
      <c r="G11" s="766" t="s">
        <v>110</v>
      </c>
      <c r="H11" s="101"/>
      <c r="I11" s="430" t="s">
        <v>103</v>
      </c>
      <c r="J11" s="255" t="s">
        <v>643</v>
      </c>
      <c r="K11" s="255" t="s">
        <v>643</v>
      </c>
      <c r="L11" s="767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4">
        <v>15560</v>
      </c>
      <c r="C13" s="4" t="s">
        <v>53</v>
      </c>
      <c r="D13" s="657">
        <f>'WP B.6 B'!P13</f>
        <v>-1767642.4683333335</v>
      </c>
      <c r="E13" s="686">
        <v>1</v>
      </c>
      <c r="F13" s="686">
        <f>E13</f>
        <v>1</v>
      </c>
      <c r="G13" s="657">
        <f>D13*E13*F13</f>
        <v>-1767642.4683333335</v>
      </c>
      <c r="H13" s="103"/>
      <c r="I13" s="420">
        <f>'WP B.6 B'!Q13</f>
        <v>-1767922.9961538462</v>
      </c>
      <c r="J13" s="553">
        <f>E13</f>
        <v>1</v>
      </c>
      <c r="K13" s="553">
        <f>F13</f>
        <v>1</v>
      </c>
      <c r="L13" s="657">
        <f>I13*J13*K13</f>
        <v>-1767922.9961538462</v>
      </c>
    </row>
    <row r="14" spans="1:12">
      <c r="A14" s="77">
        <f>A13+1</f>
        <v>2</v>
      </c>
      <c r="B14" s="485"/>
      <c r="D14" s="103"/>
      <c r="E14" s="230"/>
      <c r="F14" s="230"/>
      <c r="G14" s="103"/>
      <c r="H14" s="103"/>
      <c r="I14" s="63"/>
      <c r="J14" s="230"/>
      <c r="K14" s="230"/>
      <c r="L14" s="63"/>
    </row>
    <row r="15" spans="1:12" ht="15.75">
      <c r="A15" s="800">
        <f t="shared" ref="A15:A24" si="0">A14+1</f>
        <v>3</v>
      </c>
      <c r="B15" s="12" t="s">
        <v>219</v>
      </c>
      <c r="D15" s="47"/>
      <c r="E15" s="296"/>
      <c r="F15" s="296"/>
      <c r="G15" s="100"/>
      <c r="I15" s="47"/>
      <c r="J15" s="296"/>
      <c r="K15" s="296"/>
      <c r="L15" s="47"/>
    </row>
    <row r="16" spans="1:12">
      <c r="A16" s="800">
        <f t="shared" si="0"/>
        <v>4</v>
      </c>
      <c r="B16" s="484">
        <v>15560</v>
      </c>
      <c r="C16" s="4" t="s">
        <v>53</v>
      </c>
      <c r="D16" s="489">
        <f>'WP B.6 B'!P16</f>
        <v>0</v>
      </c>
      <c r="E16" s="687">
        <f>Allocation!G14</f>
        <v>0.1071</v>
      </c>
      <c r="F16" s="687">
        <f>Allocation!H14</f>
        <v>0.49090457251500325</v>
      </c>
      <c r="G16" s="489">
        <f>D16*E16*F16</f>
        <v>0</v>
      </c>
      <c r="H16" s="103"/>
      <c r="I16" s="493">
        <f>'WP B.6 B'!Q16</f>
        <v>0</v>
      </c>
      <c r="J16" s="568">
        <f>E16</f>
        <v>0.1071</v>
      </c>
      <c r="K16" s="568">
        <f>F16</f>
        <v>0.49090457251500325</v>
      </c>
      <c r="L16" s="489">
        <f>I16*J16*K16</f>
        <v>0</v>
      </c>
    </row>
    <row r="17" spans="1:12">
      <c r="A17" s="800">
        <f t="shared" si="0"/>
        <v>5</v>
      </c>
      <c r="B17" s="486"/>
      <c r="C17" s="4"/>
      <c r="D17" s="103"/>
      <c r="E17" s="230"/>
      <c r="F17" s="230"/>
      <c r="G17" s="103"/>
      <c r="H17" s="103"/>
      <c r="I17" s="100"/>
      <c r="J17" s="102"/>
      <c r="K17" s="102"/>
      <c r="L17" s="103"/>
    </row>
    <row r="18" spans="1:12" ht="15.75">
      <c r="A18" s="800">
        <f t="shared" si="0"/>
        <v>6</v>
      </c>
      <c r="B18" s="12" t="s">
        <v>1137</v>
      </c>
      <c r="D18" s="47"/>
      <c r="E18" s="296"/>
      <c r="F18" s="296"/>
      <c r="G18" s="100"/>
      <c r="I18" s="47"/>
      <c r="J18" s="296"/>
      <c r="K18" s="296"/>
      <c r="L18" s="47"/>
    </row>
    <row r="19" spans="1:12">
      <c r="A19" s="800">
        <f t="shared" si="0"/>
        <v>7</v>
      </c>
      <c r="B19" s="484">
        <v>15560</v>
      </c>
      <c r="C19" s="4" t="s">
        <v>53</v>
      </c>
      <c r="D19" s="489">
        <f>'WP B.6 B'!P19</f>
        <v>0</v>
      </c>
      <c r="E19" s="687">
        <f>Allocation!G15</f>
        <v>0.1086</v>
      </c>
      <c r="F19" s="687">
        <f>Allocation!H15</f>
        <v>0.52599015110063552</v>
      </c>
      <c r="G19" s="489">
        <f>D19*E19*F19</f>
        <v>0</v>
      </c>
      <c r="H19" s="103"/>
      <c r="I19" s="493">
        <f>'WP B.6 B'!Q19</f>
        <v>0</v>
      </c>
      <c r="J19" s="568">
        <f>E19</f>
        <v>0.1086</v>
      </c>
      <c r="K19" s="568">
        <f>F19</f>
        <v>0.52599015110063552</v>
      </c>
      <c r="L19" s="489">
        <f>I19*J19*K19</f>
        <v>0</v>
      </c>
    </row>
    <row r="20" spans="1:12">
      <c r="A20" s="800">
        <f t="shared" si="0"/>
        <v>8</v>
      </c>
      <c r="B20" s="486"/>
      <c r="C20" s="4"/>
      <c r="D20" s="103"/>
      <c r="E20" s="230"/>
      <c r="F20" s="230"/>
      <c r="G20" s="103"/>
      <c r="H20" s="103"/>
      <c r="I20" s="100"/>
      <c r="J20" s="102"/>
      <c r="K20" s="102"/>
      <c r="L20" s="103"/>
    </row>
    <row r="21" spans="1:12" ht="15.75">
      <c r="A21" s="800">
        <f t="shared" si="0"/>
        <v>9</v>
      </c>
      <c r="B21" s="12" t="s">
        <v>692</v>
      </c>
      <c r="D21" s="47"/>
      <c r="E21" s="296"/>
      <c r="F21" s="296"/>
      <c r="G21" s="100"/>
      <c r="I21" s="47"/>
      <c r="J21" s="296"/>
      <c r="K21" s="296"/>
      <c r="L21" s="47"/>
    </row>
    <row r="22" spans="1:12">
      <c r="A22" s="800">
        <f t="shared" si="0"/>
        <v>10</v>
      </c>
      <c r="B22" s="484">
        <v>15560</v>
      </c>
      <c r="C22" s="4" t="s">
        <v>53</v>
      </c>
      <c r="D22" s="489">
        <f>'WP B.6 B'!P22</f>
        <v>0</v>
      </c>
      <c r="E22" s="686">
        <v>1</v>
      </c>
      <c r="F22" s="687">
        <f>Allocation!H17</f>
        <v>0.49090457251500325</v>
      </c>
      <c r="G22" s="489">
        <f>D22*E22*F22</f>
        <v>0</v>
      </c>
      <c r="H22" s="103"/>
      <c r="I22" s="493">
        <f>'WP B.6 B'!Q22</f>
        <v>0</v>
      </c>
      <c r="J22" s="688">
        <f>$E$22</f>
        <v>1</v>
      </c>
      <c r="K22" s="535">
        <f>$F$22</f>
        <v>0.49090457251500325</v>
      </c>
      <c r="L22" s="489">
        <f>I22*J22*K22</f>
        <v>0</v>
      </c>
    </row>
    <row r="23" spans="1:12">
      <c r="A23" s="800">
        <f t="shared" si="0"/>
        <v>11</v>
      </c>
      <c r="B23" s="485"/>
      <c r="D23" s="103"/>
      <c r="E23" s="230"/>
      <c r="F23" s="230"/>
      <c r="G23" s="103"/>
      <c r="H23" s="103"/>
      <c r="I23" s="103"/>
      <c r="J23" s="487"/>
      <c r="K23" s="487"/>
      <c r="L23" s="103"/>
    </row>
    <row r="24" spans="1:12" ht="15.75" thickBot="1">
      <c r="A24" s="800">
        <f t="shared" si="0"/>
        <v>12</v>
      </c>
      <c r="C24" s="95" t="s">
        <v>736</v>
      </c>
      <c r="D24" s="422">
        <f>D22+D19+D16+D13</f>
        <v>-1767642.4683333335</v>
      </c>
      <c r="E24" s="296"/>
      <c r="F24" s="296"/>
      <c r="G24" s="422">
        <f>G22+G19+G16+G13</f>
        <v>-1767642.4683333335</v>
      </c>
      <c r="I24" s="422">
        <f>I22+I19+I16+I13</f>
        <v>-1767922.9961538462</v>
      </c>
      <c r="J24" s="296"/>
      <c r="K24" s="296"/>
      <c r="L24" s="422">
        <f>L22+L19+L16+L13</f>
        <v>-1767922.9961538462</v>
      </c>
    </row>
    <row r="25" spans="1:12" ht="15.75" thickTop="1">
      <c r="A25" s="2"/>
      <c r="D25" s="47"/>
      <c r="E25" s="296"/>
      <c r="F25" s="296"/>
      <c r="G25" s="47"/>
      <c r="I25" s="47"/>
      <c r="J25" s="296"/>
      <c r="K25" s="296"/>
      <c r="L25" s="47"/>
    </row>
    <row r="26" spans="1:12">
      <c r="A26" s="77"/>
      <c r="B26" s="47"/>
      <c r="C26" s="115"/>
      <c r="D26" s="47"/>
      <c r="E26" s="296"/>
      <c r="F26" s="296"/>
      <c r="G26" s="47"/>
      <c r="I26" s="47"/>
      <c r="J26" s="296"/>
      <c r="K26" s="296"/>
      <c r="L26" s="47"/>
    </row>
    <row r="27" spans="1:12">
      <c r="A27" s="47"/>
      <c r="B27" s="47"/>
      <c r="D27" s="47"/>
      <c r="E27" s="296"/>
      <c r="F27" s="296"/>
      <c r="G27" s="47"/>
      <c r="I27" s="47"/>
      <c r="J27" s="296"/>
      <c r="K27" s="296"/>
      <c r="L27" s="47"/>
    </row>
    <row r="28" spans="1:12">
      <c r="A28" s="47"/>
      <c r="B28" s="47"/>
      <c r="C28" s="488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80" zoomScaleNormal="8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</row>
    <row r="2" spans="1:12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</row>
    <row r="3" spans="1:12">
      <c r="A3" s="1253" t="s">
        <v>649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</row>
    <row r="4" spans="1:12">
      <c r="A4" s="1253" t="str">
        <f>'B.1 F '!A4</f>
        <v>as of May 31, 2017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</row>
    <row r="5" spans="1:12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2">
      <c r="A6" s="70" t="s">
        <v>1075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727</v>
      </c>
    </row>
    <row r="8" spans="1:12">
      <c r="A8" s="5" t="s">
        <v>440</v>
      </c>
      <c r="B8" s="6"/>
      <c r="C8" s="6"/>
      <c r="D8" s="6"/>
      <c r="E8" s="6"/>
      <c r="F8" s="6"/>
      <c r="G8" s="45"/>
      <c r="I8" s="6"/>
      <c r="J8" s="6"/>
      <c r="K8" s="45"/>
      <c r="L8" s="45" t="str">
        <f>'B.1 F '!F8</f>
        <v>Witness:   Waller</v>
      </c>
    </row>
    <row r="9" spans="1:12">
      <c r="A9" s="764"/>
      <c r="D9" s="689"/>
      <c r="E9" s="296" t="s">
        <v>13</v>
      </c>
      <c r="F9" s="2" t="s">
        <v>11</v>
      </c>
      <c r="G9" s="639" t="s">
        <v>102</v>
      </c>
      <c r="H9" s="101"/>
      <c r="I9" s="690"/>
      <c r="J9" s="296" t="s">
        <v>13</v>
      </c>
      <c r="K9" s="2" t="s">
        <v>11</v>
      </c>
      <c r="L9" s="504"/>
    </row>
    <row r="10" spans="1:12">
      <c r="A10" s="432" t="s">
        <v>98</v>
      </c>
      <c r="B10" s="2"/>
      <c r="D10" s="433" t="s">
        <v>1076</v>
      </c>
      <c r="E10" s="2" t="s">
        <v>14</v>
      </c>
      <c r="F10" s="101" t="s">
        <v>610</v>
      </c>
      <c r="G10" s="429" t="s">
        <v>1187</v>
      </c>
      <c r="H10" s="101"/>
      <c r="I10" s="432" t="s">
        <v>97</v>
      </c>
      <c r="J10" s="2" t="s">
        <v>14</v>
      </c>
      <c r="K10" s="101" t="s">
        <v>610</v>
      </c>
      <c r="L10" s="642" t="s">
        <v>12</v>
      </c>
    </row>
    <row r="11" spans="1:12">
      <c r="A11" s="765" t="s">
        <v>104</v>
      </c>
      <c r="B11" s="9"/>
      <c r="C11" s="482" t="s">
        <v>347</v>
      </c>
      <c r="D11" s="640"/>
      <c r="E11" s="255" t="s">
        <v>643</v>
      </c>
      <c r="F11" s="255" t="s">
        <v>643</v>
      </c>
      <c r="G11" s="766" t="s">
        <v>110</v>
      </c>
      <c r="H11" s="101"/>
      <c r="I11" s="430" t="s">
        <v>103</v>
      </c>
      <c r="J11" s="255" t="s">
        <v>643</v>
      </c>
      <c r="K11" s="255" t="s">
        <v>643</v>
      </c>
      <c r="L11" s="767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4">
        <v>15560</v>
      </c>
      <c r="C13" s="4" t="s">
        <v>53</v>
      </c>
      <c r="D13" s="657">
        <f>'WP B.6 F'!P13</f>
        <v>-1767642.4683333335</v>
      </c>
      <c r="E13" s="686">
        <v>1</v>
      </c>
      <c r="F13" s="686">
        <f>E13</f>
        <v>1</v>
      </c>
      <c r="G13" s="657">
        <f>D13*E13*F13</f>
        <v>-1767642.4683333335</v>
      </c>
      <c r="H13" s="103"/>
      <c r="I13" s="420">
        <f>'WP B.6 F'!Q13</f>
        <v>-1767642.4683333335</v>
      </c>
      <c r="J13" s="553">
        <f>E13</f>
        <v>1</v>
      </c>
      <c r="K13" s="553">
        <f>F13</f>
        <v>1</v>
      </c>
      <c r="L13" s="657">
        <f>I13*J13*K13</f>
        <v>-1767642.4683333335</v>
      </c>
    </row>
    <row r="14" spans="1:12">
      <c r="A14" s="77">
        <f>A13+1</f>
        <v>2</v>
      </c>
      <c r="B14" s="485"/>
      <c r="D14" s="103"/>
      <c r="E14" s="230"/>
      <c r="F14" s="230"/>
      <c r="G14" s="103"/>
      <c r="H14" s="103"/>
      <c r="I14" s="63"/>
      <c r="J14" s="230"/>
      <c r="K14" s="230"/>
      <c r="L14" s="63"/>
    </row>
    <row r="15" spans="1:12" ht="15.75">
      <c r="A15" s="800">
        <f t="shared" ref="A15:A24" si="0">A14+1</f>
        <v>3</v>
      </c>
      <c r="B15" s="12" t="s">
        <v>219</v>
      </c>
      <c r="D15" s="47"/>
      <c r="E15" s="296"/>
      <c r="F15" s="296"/>
      <c r="G15" s="100"/>
      <c r="I15" s="492"/>
      <c r="J15" s="296"/>
      <c r="K15" s="296"/>
      <c r="L15" s="47"/>
    </row>
    <row r="16" spans="1:12">
      <c r="A16" s="800">
        <f t="shared" si="0"/>
        <v>4</v>
      </c>
      <c r="B16" s="484">
        <v>15560</v>
      </c>
      <c r="C16" s="4" t="s">
        <v>53</v>
      </c>
      <c r="D16" s="489">
        <f>'WP B.6 F'!P16</f>
        <v>0</v>
      </c>
      <c r="E16" s="687">
        <f>Allocation!C14</f>
        <v>0.1071</v>
      </c>
      <c r="F16" s="687">
        <f>Allocation!D14</f>
        <v>0.49090457251500325</v>
      </c>
      <c r="G16" s="489">
        <f>D16*E16*F16</f>
        <v>0</v>
      </c>
      <c r="H16" s="103"/>
      <c r="I16" s="493">
        <f>'WP B.6 F'!Q16</f>
        <v>0</v>
      </c>
      <c r="J16" s="568">
        <f>E16</f>
        <v>0.1071</v>
      </c>
      <c r="K16" s="568">
        <f>F16</f>
        <v>0.49090457251500325</v>
      </c>
      <c r="L16" s="489">
        <f>I16*J16*K16</f>
        <v>0</v>
      </c>
    </row>
    <row r="17" spans="1:12">
      <c r="A17" s="800">
        <f t="shared" si="0"/>
        <v>5</v>
      </c>
      <c r="B17" s="486"/>
      <c r="C17" s="4"/>
      <c r="D17" s="103"/>
      <c r="E17" s="230"/>
      <c r="F17" s="230"/>
      <c r="G17" s="103"/>
      <c r="H17" s="103"/>
      <c r="I17" s="100"/>
      <c r="J17" s="102"/>
      <c r="K17" s="102"/>
      <c r="L17" s="103"/>
    </row>
    <row r="18" spans="1:12" ht="15.75">
      <c r="A18" s="800">
        <f t="shared" si="0"/>
        <v>6</v>
      </c>
      <c r="B18" s="12" t="s">
        <v>1137</v>
      </c>
      <c r="D18" s="47"/>
      <c r="E18" s="296"/>
      <c r="F18" s="296"/>
      <c r="G18" s="493"/>
      <c r="I18" s="47"/>
      <c r="J18" s="296"/>
      <c r="K18" s="296"/>
      <c r="L18" s="47"/>
    </row>
    <row r="19" spans="1:12">
      <c r="A19" s="800">
        <f t="shared" si="0"/>
        <v>7</v>
      </c>
      <c r="B19" s="484">
        <v>15560</v>
      </c>
      <c r="C19" s="4" t="s">
        <v>53</v>
      </c>
      <c r="D19" s="489">
        <f>'WP B.6 F'!P19</f>
        <v>0</v>
      </c>
      <c r="E19" s="687">
        <f>Allocation!C15</f>
        <v>0.1086</v>
      </c>
      <c r="F19" s="687">
        <f>Allocation!D15</f>
        <v>0.52599015110063552</v>
      </c>
      <c r="G19" s="489">
        <f>D19*E19*F19</f>
        <v>0</v>
      </c>
      <c r="H19" s="103"/>
      <c r="I19" s="493">
        <f>'WP B.6 F'!Q19</f>
        <v>0</v>
      </c>
      <c r="J19" s="568">
        <f>E19</f>
        <v>0.1086</v>
      </c>
      <c r="K19" s="568">
        <f>F19</f>
        <v>0.52599015110063552</v>
      </c>
      <c r="L19" s="489">
        <f>I19*J19*K19</f>
        <v>0</v>
      </c>
    </row>
    <row r="20" spans="1:12">
      <c r="A20" s="800">
        <f t="shared" si="0"/>
        <v>8</v>
      </c>
      <c r="B20" s="486"/>
      <c r="C20" s="4"/>
      <c r="D20" s="103"/>
      <c r="E20" s="230"/>
      <c r="F20" s="230"/>
      <c r="G20" s="103"/>
      <c r="H20" s="103"/>
      <c r="I20" s="100"/>
      <c r="J20" s="102"/>
      <c r="K20" s="102"/>
      <c r="L20" s="103"/>
    </row>
    <row r="21" spans="1:12" ht="15.75">
      <c r="A21" s="800">
        <f t="shared" si="0"/>
        <v>9</v>
      </c>
      <c r="B21" s="12" t="s">
        <v>692</v>
      </c>
      <c r="D21" s="47"/>
      <c r="E21" s="296"/>
      <c r="F21" s="296"/>
      <c r="G21" s="100"/>
      <c r="I21" s="47"/>
      <c r="J21" s="296"/>
      <c r="K21" s="296"/>
      <c r="L21" s="47"/>
    </row>
    <row r="22" spans="1:12">
      <c r="A22" s="800">
        <f t="shared" si="0"/>
        <v>10</v>
      </c>
      <c r="B22" s="484">
        <v>15560</v>
      </c>
      <c r="C22" s="4" t="s">
        <v>53</v>
      </c>
      <c r="D22" s="103">
        <f>'WP B.6 F'!P22</f>
        <v>0</v>
      </c>
      <c r="E22" s="686">
        <v>1</v>
      </c>
      <c r="F22" s="687">
        <f>Allocation!D17</f>
        <v>0.49090457251500325</v>
      </c>
      <c r="G22" s="103">
        <f>D22*$E$22*F22</f>
        <v>0</v>
      </c>
      <c r="H22" s="103"/>
      <c r="I22" s="100">
        <f>'WP B.6 F'!Q22</f>
        <v>0</v>
      </c>
      <c r="J22" s="688">
        <f>$E$22</f>
        <v>1</v>
      </c>
      <c r="K22" s="535">
        <f>$F$22</f>
        <v>0.49090457251500325</v>
      </c>
      <c r="L22" s="103">
        <f>I22*J22*K22</f>
        <v>0</v>
      </c>
    </row>
    <row r="23" spans="1:12">
      <c r="A23" s="800">
        <f t="shared" si="0"/>
        <v>11</v>
      </c>
      <c r="B23" s="485"/>
      <c r="D23" s="103"/>
      <c r="E23" s="63"/>
      <c r="F23" s="63"/>
      <c r="G23" s="103"/>
      <c r="H23" s="103"/>
      <c r="I23" s="103"/>
      <c r="J23" s="103"/>
      <c r="K23" s="103"/>
      <c r="L23" s="103"/>
    </row>
    <row r="24" spans="1:12" ht="15.75" thickBot="1">
      <c r="A24" s="800">
        <f t="shared" si="0"/>
        <v>12</v>
      </c>
      <c r="C24" s="4" t="s">
        <v>736</v>
      </c>
      <c r="D24" s="422">
        <f>D22+D19+D16+D13</f>
        <v>-1767642.4683333335</v>
      </c>
      <c r="E24" s="47"/>
      <c r="F24" s="47"/>
      <c r="G24" s="422">
        <f>G22+G19+G16+G13</f>
        <v>-1767642.4683333335</v>
      </c>
      <c r="I24" s="422">
        <f>I22+I19+I16+I13</f>
        <v>-1767642.4683333335</v>
      </c>
      <c r="J24" s="47"/>
      <c r="K24" s="47"/>
      <c r="L24" s="422">
        <f>L22+L19+L16+L13</f>
        <v>-1767642.4683333335</v>
      </c>
    </row>
    <row r="25" spans="1:12" ht="15.75" thickTop="1"/>
    <row r="26" spans="1:12">
      <c r="A26" s="47"/>
      <c r="B26" s="47"/>
      <c r="C26" s="115"/>
      <c r="D26" s="47"/>
      <c r="E26" s="47"/>
      <c r="F26" s="47"/>
      <c r="G26" s="47"/>
      <c r="I26" s="47"/>
      <c r="J26" s="47"/>
      <c r="K26" s="47"/>
      <c r="L26" s="47"/>
    </row>
    <row r="27" spans="1:12">
      <c r="A27" s="47"/>
      <c r="B27" s="47"/>
      <c r="D27" s="47"/>
      <c r="E27" s="47"/>
      <c r="F27" s="47"/>
      <c r="G27" s="47"/>
      <c r="I27" s="47"/>
      <c r="J27" s="47"/>
      <c r="K27" s="47"/>
      <c r="L27" s="47"/>
    </row>
    <row r="28" spans="1:12">
      <c r="A28" s="47"/>
      <c r="B28" s="47"/>
      <c r="C28" s="488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C9" sqref="C9"/>
    </sheetView>
  </sheetViews>
  <sheetFormatPr defaultRowHeight="15"/>
  <cols>
    <col min="1" max="1" width="4.33203125" bestFit="1" customWidth="1"/>
    <col min="2" max="2" width="44.21875" customWidth="1"/>
    <col min="3" max="3" width="12.5546875" bestFit="1" customWidth="1"/>
    <col min="4" max="4" width="12.6640625" bestFit="1" customWidth="1"/>
    <col min="5" max="7" width="12" bestFit="1" customWidth="1"/>
    <col min="8" max="8" width="12.44140625" customWidth="1"/>
    <col min="9" max="14" width="12" bestFit="1" customWidth="1"/>
    <col min="15" max="15" width="12.5546875" bestFit="1" customWidth="1"/>
    <col min="16" max="16" width="12" bestFit="1" customWidth="1"/>
    <col min="17" max="17" width="10.44140625" bestFit="1" customWidth="1"/>
    <col min="18" max="18" width="12" customWidth="1"/>
  </cols>
  <sheetData>
    <row r="1" spans="1:18">
      <c r="A1" s="1248" t="str">
        <f>'Table of Contents'!A1:C1</f>
        <v>Atmos Energy Corporation, Kentucky/Mid-States Division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</row>
    <row r="2" spans="1:18">
      <c r="A2" s="1248" t="str">
        <f>'Table of Contents'!A2:C2</f>
        <v>Kentucky Jurisdiction Case No. 2015-00343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</row>
    <row r="3" spans="1:18">
      <c r="A3" s="1248" t="str">
        <f>'Table of Contents'!A4:C4</f>
        <v>Forecasted Test Period: Twelve Months Ended May 31, 2017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</row>
    <row r="4" spans="1:18">
      <c r="A4" s="1248" t="s">
        <v>117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</row>
    <row r="5" spans="1:18">
      <c r="P5" s="653" t="s">
        <v>1516</v>
      </c>
    </row>
    <row r="7" spans="1:18">
      <c r="A7" t="s">
        <v>98</v>
      </c>
      <c r="C7" s="76" t="s">
        <v>467</v>
      </c>
      <c r="D7" s="76" t="s">
        <v>467</v>
      </c>
      <c r="E7" s="76" t="s">
        <v>467</v>
      </c>
      <c r="F7" s="76" t="s">
        <v>467</v>
      </c>
      <c r="G7" s="76" t="s">
        <v>467</v>
      </c>
      <c r="H7" s="76" t="s">
        <v>44</v>
      </c>
      <c r="I7" s="1045" t="s">
        <v>44</v>
      </c>
      <c r="J7" s="1045" t="s">
        <v>44</v>
      </c>
      <c r="K7" s="1045" t="s">
        <v>44</v>
      </c>
      <c r="L7" s="1045" t="s">
        <v>44</v>
      </c>
      <c r="M7" s="1045" t="s">
        <v>44</v>
      </c>
      <c r="N7" s="1045" t="s">
        <v>44</v>
      </c>
      <c r="O7" s="1045" t="s">
        <v>44</v>
      </c>
      <c r="P7" s="76" t="s">
        <v>46</v>
      </c>
    </row>
    <row r="8" spans="1:18">
      <c r="A8" s="75" t="s">
        <v>104</v>
      </c>
      <c r="B8" s="75" t="s">
        <v>1004</v>
      </c>
      <c r="C8" s="447">
        <f>O8-366</f>
        <v>42520</v>
      </c>
      <c r="D8" s="447">
        <f>'C.2.2-F 09'!D10</f>
        <v>42551</v>
      </c>
      <c r="E8" s="447">
        <f>'C.2.2-F 09'!E10</f>
        <v>42582</v>
      </c>
      <c r="F8" s="447">
        <f>'C.2.2-F 09'!F10</f>
        <v>42613</v>
      </c>
      <c r="G8" s="447">
        <f>'C.2.2-F 09'!G10</f>
        <v>42643</v>
      </c>
      <c r="H8" s="447">
        <f>'C.2.2-F 09'!H10</f>
        <v>42674</v>
      </c>
      <c r="I8" s="447">
        <f>'C.2.2-F 09'!I10</f>
        <v>42704</v>
      </c>
      <c r="J8" s="447">
        <f>'C.2.2-F 09'!J10</f>
        <v>42735</v>
      </c>
      <c r="K8" s="447">
        <f>'C.2.2-F 09'!K10</f>
        <v>42766</v>
      </c>
      <c r="L8" s="447">
        <f>'C.2.2-F 09'!L10</f>
        <v>42794</v>
      </c>
      <c r="M8" s="447">
        <f>'C.2.2-F 09'!M10</f>
        <v>42825</v>
      </c>
      <c r="N8" s="447">
        <f>'C.2.2-F 09'!N10</f>
        <v>42855</v>
      </c>
      <c r="O8" s="447">
        <f>'C.2.2-F 09'!O10</f>
        <v>42886</v>
      </c>
      <c r="P8" s="84" t="s">
        <v>103</v>
      </c>
      <c r="Q8" s="768"/>
      <c r="R8" s="768"/>
    </row>
    <row r="10" spans="1:18" ht="15.75">
      <c r="A10" s="76">
        <v>1</v>
      </c>
      <c r="B10" s="376" t="s">
        <v>272</v>
      </c>
    </row>
    <row r="11" spans="1:18">
      <c r="A11" s="76">
        <v>2</v>
      </c>
      <c r="B11" s="95"/>
    </row>
    <row r="12" spans="1:18">
      <c r="A12" s="76">
        <v>3</v>
      </c>
      <c r="B12" s="95" t="s">
        <v>1192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8">
      <c r="A13" s="76">
        <v>4</v>
      </c>
      <c r="B13" s="410" t="s">
        <v>528</v>
      </c>
      <c r="C13" s="459">
        <v>0</v>
      </c>
      <c r="D13" s="459">
        <v>0</v>
      </c>
      <c r="E13" s="459">
        <v>0</v>
      </c>
      <c r="F13" s="459">
        <v>0</v>
      </c>
      <c r="G13" s="459">
        <v>0</v>
      </c>
      <c r="H13" s="459">
        <v>0</v>
      </c>
      <c r="I13" s="459">
        <v>0</v>
      </c>
      <c r="J13" s="459">
        <v>0</v>
      </c>
      <c r="K13" s="459">
        <v>0</v>
      </c>
      <c r="L13" s="459">
        <v>0</v>
      </c>
      <c r="M13" s="459">
        <v>0</v>
      </c>
      <c r="N13" s="459">
        <v>0</v>
      </c>
      <c r="O13" s="459">
        <v>0</v>
      </c>
      <c r="P13" s="106"/>
    </row>
    <row r="14" spans="1:18">
      <c r="A14" s="76">
        <v>5</v>
      </c>
      <c r="B14" s="410" t="s">
        <v>529</v>
      </c>
      <c r="C14" s="459">
        <v>-740439.30500000005</v>
      </c>
      <c r="D14" s="459">
        <v>-740439.30500000005</v>
      </c>
      <c r="E14" s="459">
        <v>-740439.30500000005</v>
      </c>
      <c r="F14" s="459">
        <v>-740439.30500000005</v>
      </c>
      <c r="G14" s="459">
        <v>-740439.30500000005</v>
      </c>
      <c r="H14" s="459">
        <v>-740439.30500000005</v>
      </c>
      <c r="I14" s="459">
        <v>-740439.30500000005</v>
      </c>
      <c r="J14" s="459">
        <v>-740439.30500000005</v>
      </c>
      <c r="K14" s="459">
        <v>-740439.30500000005</v>
      </c>
      <c r="L14" s="459">
        <v>-740439.30500000005</v>
      </c>
      <c r="M14" s="459">
        <v>-740439.30500000005</v>
      </c>
      <c r="N14" s="459">
        <v>-740439.30500000005</v>
      </c>
      <c r="O14" s="459">
        <v>-740439.30500000005</v>
      </c>
      <c r="P14" s="106"/>
    </row>
    <row r="15" spans="1:18">
      <c r="A15" s="76">
        <v>6</v>
      </c>
      <c r="B15" s="363" t="s">
        <v>530</v>
      </c>
      <c r="C15" s="961">
        <f t="shared" ref="C15" si="0">SUM(C13:C14)</f>
        <v>-740439.30500000005</v>
      </c>
      <c r="D15" s="962">
        <f t="shared" ref="D15:O15" si="1">SUM(D13:D14)</f>
        <v>-740439.30500000005</v>
      </c>
      <c r="E15" s="962">
        <f t="shared" si="1"/>
        <v>-740439.30500000005</v>
      </c>
      <c r="F15" s="962">
        <f t="shared" si="1"/>
        <v>-740439.30500000005</v>
      </c>
      <c r="G15" s="962">
        <f t="shared" si="1"/>
        <v>-740439.30500000005</v>
      </c>
      <c r="H15" s="962">
        <f t="shared" si="1"/>
        <v>-740439.30500000005</v>
      </c>
      <c r="I15" s="962">
        <f t="shared" si="1"/>
        <v>-740439.30500000005</v>
      </c>
      <c r="J15" s="962">
        <f t="shared" si="1"/>
        <v>-740439.30500000005</v>
      </c>
      <c r="K15" s="962">
        <f t="shared" si="1"/>
        <v>-740439.30500000005</v>
      </c>
      <c r="L15" s="962">
        <f t="shared" si="1"/>
        <v>-740439.30500000005</v>
      </c>
      <c r="M15" s="962">
        <f t="shared" si="1"/>
        <v>-740439.30500000005</v>
      </c>
      <c r="N15" s="962">
        <f t="shared" si="1"/>
        <v>-740439.30500000005</v>
      </c>
      <c r="O15" s="962">
        <f t="shared" si="1"/>
        <v>-740439.30500000005</v>
      </c>
      <c r="P15" s="445">
        <f>(SUM(C15:O15))/13</f>
        <v>-740439.30499999982</v>
      </c>
    </row>
    <row r="16" spans="1:18">
      <c r="A16" s="76">
        <v>7</v>
      </c>
      <c r="B16" s="410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0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0" t="s">
        <v>528</v>
      </c>
      <c r="C18" s="459">
        <v>13098.344999999999</v>
      </c>
      <c r="D18" s="459">
        <v>13098.344999999999</v>
      </c>
      <c r="E18" s="459">
        <v>13098.344999999999</v>
      </c>
      <c r="F18" s="459">
        <v>13098.344999999999</v>
      </c>
      <c r="G18" s="459">
        <v>13098.344999999999</v>
      </c>
      <c r="H18" s="459">
        <v>13098.344999999999</v>
      </c>
      <c r="I18" s="459">
        <v>13098.344999999999</v>
      </c>
      <c r="J18" s="459">
        <v>13098.344999999999</v>
      </c>
      <c r="K18" s="459">
        <v>13098.344999999999</v>
      </c>
      <c r="L18" s="459">
        <v>13098.344999999999</v>
      </c>
      <c r="M18" s="459">
        <v>13098.344999999999</v>
      </c>
      <c r="N18" s="459">
        <v>13098.344999999999</v>
      </c>
      <c r="O18" s="459">
        <v>13098.344999999999</v>
      </c>
      <c r="P18" s="106"/>
    </row>
    <row r="19" spans="1:16">
      <c r="A19" s="76">
        <v>10</v>
      </c>
      <c r="B19" s="410" t="s">
        <v>529</v>
      </c>
      <c r="C19" s="459">
        <v>2488614.9400000004</v>
      </c>
      <c r="D19" s="459">
        <v>2488614.9400000004</v>
      </c>
      <c r="E19" s="459">
        <v>2488614.9400000004</v>
      </c>
      <c r="F19" s="459">
        <v>2488614.9400000004</v>
      </c>
      <c r="G19" s="459">
        <v>2488614.9400000004</v>
      </c>
      <c r="H19" s="459">
        <v>2488614.9400000004</v>
      </c>
      <c r="I19" s="459">
        <v>2488614.9400000004</v>
      </c>
      <c r="J19" s="459">
        <v>2488614.9400000004</v>
      </c>
      <c r="K19" s="459">
        <v>2488614.9400000004</v>
      </c>
      <c r="L19" s="459">
        <v>2488614.9400000004</v>
      </c>
      <c r="M19" s="459">
        <v>2488614.9400000004</v>
      </c>
      <c r="N19" s="459">
        <v>2488614.9400000004</v>
      </c>
      <c r="O19" s="459">
        <v>1928124.151111111</v>
      </c>
      <c r="P19" s="106"/>
    </row>
    <row r="20" spans="1:16">
      <c r="A20" s="76">
        <v>11</v>
      </c>
      <c r="B20" s="363" t="s">
        <v>530</v>
      </c>
      <c r="C20" s="961">
        <f t="shared" ref="C20" si="2">SUM(C18:C19)</f>
        <v>2501713.2850000006</v>
      </c>
      <c r="D20" s="962">
        <f t="shared" ref="D20:O20" si="3">SUM(D18:D19)</f>
        <v>2501713.2850000006</v>
      </c>
      <c r="E20" s="962">
        <f t="shared" si="3"/>
        <v>2501713.2850000006</v>
      </c>
      <c r="F20" s="962">
        <f t="shared" si="3"/>
        <v>2501713.2850000006</v>
      </c>
      <c r="G20" s="962">
        <f t="shared" si="3"/>
        <v>2501713.2850000006</v>
      </c>
      <c r="H20" s="962">
        <f t="shared" si="3"/>
        <v>2501713.2850000006</v>
      </c>
      <c r="I20" s="962">
        <f t="shared" si="3"/>
        <v>2501713.2850000006</v>
      </c>
      <c r="J20" s="962">
        <f t="shared" si="3"/>
        <v>2501713.2850000006</v>
      </c>
      <c r="K20" s="962">
        <f t="shared" si="3"/>
        <v>2501713.2850000006</v>
      </c>
      <c r="L20" s="962">
        <f t="shared" si="3"/>
        <v>2501713.2850000006</v>
      </c>
      <c r="M20" s="962">
        <f t="shared" si="3"/>
        <v>2501713.2850000006</v>
      </c>
      <c r="N20" s="962">
        <f t="shared" si="3"/>
        <v>2501713.2850000006</v>
      </c>
      <c r="O20" s="962">
        <f t="shared" si="3"/>
        <v>1941222.496111111</v>
      </c>
      <c r="P20" s="445">
        <f>(SUM(C20:O20))/13</f>
        <v>2458598.6089316243</v>
      </c>
    </row>
    <row r="21" spans="1:16">
      <c r="A21" s="76">
        <v>12</v>
      </c>
      <c r="B21" s="41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0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0" t="s">
        <v>528</v>
      </c>
      <c r="C23" s="1150" t="s">
        <v>1647</v>
      </c>
      <c r="D23" s="1150" t="s">
        <v>1647</v>
      </c>
      <c r="E23" s="1150" t="s">
        <v>1647</v>
      </c>
      <c r="F23" s="1150" t="s">
        <v>1647</v>
      </c>
      <c r="G23" s="1150" t="s">
        <v>1647</v>
      </c>
      <c r="H23" s="1150" t="s">
        <v>1647</v>
      </c>
      <c r="I23" s="1150" t="s">
        <v>1647</v>
      </c>
      <c r="J23" s="1150" t="s">
        <v>1647</v>
      </c>
      <c r="K23" s="1150" t="s">
        <v>1647</v>
      </c>
      <c r="L23" s="1150" t="s">
        <v>1647</v>
      </c>
      <c r="M23" s="1150" t="s">
        <v>1647</v>
      </c>
      <c r="N23" s="1150" t="s">
        <v>1647</v>
      </c>
      <c r="O23" s="1150" t="s">
        <v>1647</v>
      </c>
      <c r="P23" s="106"/>
    </row>
    <row r="24" spans="1:16">
      <c r="A24" s="76">
        <v>15</v>
      </c>
      <c r="B24" s="410" t="s">
        <v>529</v>
      </c>
      <c r="C24" s="1150" t="s">
        <v>1648</v>
      </c>
      <c r="D24" s="1150" t="s">
        <v>1648</v>
      </c>
      <c r="E24" s="1150" t="s">
        <v>1648</v>
      </c>
      <c r="F24" s="1150" t="s">
        <v>1648</v>
      </c>
      <c r="G24" s="1150" t="s">
        <v>1648</v>
      </c>
      <c r="H24" s="1150" t="s">
        <v>1648</v>
      </c>
      <c r="I24" s="1150" t="s">
        <v>1648</v>
      </c>
      <c r="J24" s="1150" t="s">
        <v>1648</v>
      </c>
      <c r="K24" s="1150" t="s">
        <v>1648</v>
      </c>
      <c r="L24" s="1150" t="s">
        <v>1648</v>
      </c>
      <c r="M24" s="1150" t="s">
        <v>1648</v>
      </c>
      <c r="N24" s="1150" t="s">
        <v>1648</v>
      </c>
      <c r="O24" s="1150" t="s">
        <v>1648</v>
      </c>
      <c r="P24" s="106"/>
    </row>
    <row r="25" spans="1:16">
      <c r="A25" s="76">
        <v>16</v>
      </c>
      <c r="B25" s="363" t="s">
        <v>530</v>
      </c>
      <c r="C25" s="961">
        <f t="shared" ref="C25" si="4">SUM(C23:C24)</f>
        <v>0</v>
      </c>
      <c r="D25" s="962">
        <f t="shared" ref="D25:O25" si="5">SUM(D23:D24)</f>
        <v>0</v>
      </c>
      <c r="E25" s="962">
        <f t="shared" si="5"/>
        <v>0</v>
      </c>
      <c r="F25" s="962">
        <f t="shared" si="5"/>
        <v>0</v>
      </c>
      <c r="G25" s="962">
        <f t="shared" si="5"/>
        <v>0</v>
      </c>
      <c r="H25" s="962">
        <f t="shared" si="5"/>
        <v>0</v>
      </c>
      <c r="I25" s="962">
        <f t="shared" si="5"/>
        <v>0</v>
      </c>
      <c r="J25" s="962">
        <f t="shared" si="5"/>
        <v>0</v>
      </c>
      <c r="K25" s="962">
        <f t="shared" si="5"/>
        <v>0</v>
      </c>
      <c r="L25" s="962">
        <f t="shared" si="5"/>
        <v>0</v>
      </c>
      <c r="M25" s="962">
        <f t="shared" si="5"/>
        <v>0</v>
      </c>
      <c r="N25" s="962">
        <f t="shared" si="5"/>
        <v>0</v>
      </c>
      <c r="O25" s="962">
        <f t="shared" si="5"/>
        <v>0</v>
      </c>
      <c r="P25" s="445">
        <f>(SUM(C25:O25))/13</f>
        <v>0</v>
      </c>
    </row>
    <row r="26" spans="1:16">
      <c r="A26" s="76">
        <v>17</v>
      </c>
      <c r="B26" s="410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0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0" t="s">
        <v>528</v>
      </c>
      <c r="C28" s="1150" t="s">
        <v>1647</v>
      </c>
      <c r="D28" s="1150" t="s">
        <v>1647</v>
      </c>
      <c r="E28" s="1150" t="s">
        <v>1647</v>
      </c>
      <c r="F28" s="1150" t="s">
        <v>1647</v>
      </c>
      <c r="G28" s="1150" t="s">
        <v>1647</v>
      </c>
      <c r="H28" s="1150" t="s">
        <v>1647</v>
      </c>
      <c r="I28" s="1150" t="s">
        <v>1647</v>
      </c>
      <c r="J28" s="1150" t="s">
        <v>1647</v>
      </c>
      <c r="K28" s="1150" t="s">
        <v>1647</v>
      </c>
      <c r="L28" s="1150" t="s">
        <v>1647</v>
      </c>
      <c r="M28" s="1150" t="s">
        <v>1647</v>
      </c>
      <c r="N28" s="1150" t="s">
        <v>1647</v>
      </c>
      <c r="O28" s="1150" t="s">
        <v>1647</v>
      </c>
      <c r="P28" s="106"/>
    </row>
    <row r="29" spans="1:16">
      <c r="A29" s="76">
        <v>20</v>
      </c>
      <c r="B29" s="410" t="s">
        <v>529</v>
      </c>
      <c r="C29" s="1150" t="s">
        <v>1648</v>
      </c>
      <c r="D29" s="1150" t="s">
        <v>1648</v>
      </c>
      <c r="E29" s="1150" t="s">
        <v>1648</v>
      </c>
      <c r="F29" s="1150" t="s">
        <v>1648</v>
      </c>
      <c r="G29" s="1150" t="s">
        <v>1648</v>
      </c>
      <c r="H29" s="1150" t="s">
        <v>1648</v>
      </c>
      <c r="I29" s="1150" t="s">
        <v>1648</v>
      </c>
      <c r="J29" s="1150" t="s">
        <v>1648</v>
      </c>
      <c r="K29" s="1150" t="s">
        <v>1648</v>
      </c>
      <c r="L29" s="1150" t="s">
        <v>1648</v>
      </c>
      <c r="M29" s="1150" t="s">
        <v>1648</v>
      </c>
      <c r="N29" s="1150" t="s">
        <v>1648</v>
      </c>
      <c r="O29" s="1150" t="s">
        <v>1648</v>
      </c>
      <c r="P29" s="106"/>
    </row>
    <row r="30" spans="1:16">
      <c r="A30" s="76">
        <v>21</v>
      </c>
      <c r="B30" s="363" t="s">
        <v>530</v>
      </c>
      <c r="C30" s="962">
        <f t="shared" ref="C30:O30" si="6">SUM(C28:C29)</f>
        <v>0</v>
      </c>
      <c r="D30" s="962">
        <f t="shared" si="6"/>
        <v>0</v>
      </c>
      <c r="E30" s="962">
        <f t="shared" si="6"/>
        <v>0</v>
      </c>
      <c r="F30" s="962">
        <f t="shared" si="6"/>
        <v>0</v>
      </c>
      <c r="G30" s="962">
        <f t="shared" si="6"/>
        <v>0</v>
      </c>
      <c r="H30" s="962">
        <f t="shared" si="6"/>
        <v>0</v>
      </c>
      <c r="I30" s="962">
        <f t="shared" si="6"/>
        <v>0</v>
      </c>
      <c r="J30" s="962">
        <f t="shared" si="6"/>
        <v>0</v>
      </c>
      <c r="K30" s="962">
        <f t="shared" si="6"/>
        <v>0</v>
      </c>
      <c r="L30" s="962">
        <f t="shared" si="6"/>
        <v>0</v>
      </c>
      <c r="M30" s="962">
        <f t="shared" si="6"/>
        <v>0</v>
      </c>
      <c r="N30" s="962">
        <f t="shared" si="6"/>
        <v>0</v>
      </c>
      <c r="O30" s="962">
        <f t="shared" si="6"/>
        <v>0</v>
      </c>
      <c r="P30" s="445">
        <f>(SUM(C30:O30))/13</f>
        <v>0</v>
      </c>
    </row>
    <row r="31" spans="1:16">
      <c r="A31" s="76">
        <v>22</v>
      </c>
      <c r="B31" s="410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6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768"/>
    </row>
    <row r="34" spans="1:18">
      <c r="A34" s="76">
        <v>25</v>
      </c>
      <c r="B34" s="1084" t="s">
        <v>1192</v>
      </c>
      <c r="C34" s="445">
        <v>1169008.1587094581</v>
      </c>
      <c r="D34" s="445">
        <v>4645004.3815427171</v>
      </c>
      <c r="E34" s="445">
        <v>8190532.056521466</v>
      </c>
      <c r="F34" s="445">
        <v>11757873.520408602</v>
      </c>
      <c r="G34" s="445">
        <v>15327941.707909286</v>
      </c>
      <c r="H34" s="445">
        <v>18933457.302386105</v>
      </c>
      <c r="I34" s="445">
        <v>16512572.782011667</v>
      </c>
      <c r="J34" s="445">
        <v>11008223.967648663</v>
      </c>
      <c r="K34" s="445">
        <v>4260470.2198755667</v>
      </c>
      <c r="L34" s="445">
        <v>-1939025.2301004119</v>
      </c>
      <c r="M34" s="445">
        <v>-6716020.3248425219</v>
      </c>
      <c r="N34" s="445">
        <v>-2960534.9316205308</v>
      </c>
      <c r="O34" s="445">
        <v>794950.46160146035</v>
      </c>
      <c r="P34" s="445">
        <f>(SUM(C34:O34))/13</f>
        <v>6229573.3901578095</v>
      </c>
      <c r="Q34" s="1055"/>
      <c r="R34" s="768"/>
    </row>
    <row r="35" spans="1:18">
      <c r="A35" s="76">
        <v>26</v>
      </c>
      <c r="B35" s="410"/>
      <c r="C35" s="106"/>
      <c r="D35" s="106"/>
      <c r="E35" s="106"/>
      <c r="F35" s="106"/>
      <c r="G35" s="106"/>
      <c r="H35" s="106"/>
      <c r="I35" s="106"/>
      <c r="J35" s="106"/>
      <c r="K35" s="445"/>
      <c r="L35" s="445"/>
      <c r="M35" s="445"/>
      <c r="N35" s="445"/>
      <c r="O35" s="445"/>
      <c r="P35" s="106"/>
    </row>
    <row r="36" spans="1:18">
      <c r="A36" s="76">
        <v>27</v>
      </c>
      <c r="B36" s="410" t="s">
        <v>1193</v>
      </c>
      <c r="C36" s="445">
        <v>0</v>
      </c>
      <c r="D36" s="445">
        <v>0</v>
      </c>
      <c r="E36" s="445">
        <v>0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f>(SUM(C36:O36))/13</f>
        <v>0</v>
      </c>
    </row>
    <row r="37" spans="1:18">
      <c r="A37" s="76">
        <v>28</v>
      </c>
      <c r="B37" s="41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0" t="s">
        <v>1194</v>
      </c>
      <c r="C38" s="445">
        <v>0</v>
      </c>
      <c r="D38" s="445">
        <v>0</v>
      </c>
      <c r="E38" s="445">
        <v>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f>(SUM(C38:O38))/13</f>
        <v>0</v>
      </c>
    </row>
    <row r="39" spans="1:18">
      <c r="A39" s="76">
        <v>30</v>
      </c>
      <c r="B39" s="41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0" t="s">
        <v>1195</v>
      </c>
      <c r="C40" s="445">
        <v>0</v>
      </c>
      <c r="D40" s="445">
        <v>0</v>
      </c>
      <c r="E40" s="445">
        <v>0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f>(SUM(C40:O40))/13</f>
        <v>0</v>
      </c>
    </row>
    <row r="41" spans="1:18">
      <c r="A41" s="76">
        <v>32</v>
      </c>
      <c r="B41" s="363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6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0" t="s">
        <v>1192</v>
      </c>
      <c r="C44" s="459">
        <v>198050.98500000002</v>
      </c>
      <c r="D44" s="459">
        <v>198050.98500000002</v>
      </c>
      <c r="E44" s="459">
        <v>198050.98500000002</v>
      </c>
      <c r="F44" s="459">
        <v>198050.98500000002</v>
      </c>
      <c r="G44" s="459">
        <v>198050.98500000002</v>
      </c>
      <c r="H44" s="459">
        <v>198050.98500000002</v>
      </c>
      <c r="I44" s="459">
        <v>198050.98500000002</v>
      </c>
      <c r="J44" s="459">
        <v>198050.98500000002</v>
      </c>
      <c r="K44" s="459">
        <v>198050.98500000002</v>
      </c>
      <c r="L44" s="459">
        <v>198050.98500000002</v>
      </c>
      <c r="M44" s="459">
        <v>198050.98500000002</v>
      </c>
      <c r="N44" s="459">
        <v>198050.98500000002</v>
      </c>
      <c r="O44" s="459">
        <v>198050.98500000002</v>
      </c>
      <c r="P44" s="445">
        <f>(SUM(C44:O44))/13</f>
        <v>198050.98500000002</v>
      </c>
    </row>
    <row r="45" spans="1:18">
      <c r="A45" s="76">
        <v>36</v>
      </c>
      <c r="B45" s="410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0" t="s">
        <v>1193</v>
      </c>
      <c r="C46" s="459">
        <v>2075.2800000000002</v>
      </c>
      <c r="D46" s="459">
        <v>2075.2800000000002</v>
      </c>
      <c r="E46" s="459">
        <v>2075.2800000000002</v>
      </c>
      <c r="F46" s="459">
        <v>2075.2800000000002</v>
      </c>
      <c r="G46" s="459">
        <v>2075.2800000000002</v>
      </c>
      <c r="H46" s="459">
        <v>2075.2800000000002</v>
      </c>
      <c r="I46" s="459">
        <v>2075.2800000000002</v>
      </c>
      <c r="J46" s="459">
        <v>2075.2800000000002</v>
      </c>
      <c r="K46" s="459">
        <v>2075.2800000000002</v>
      </c>
      <c r="L46" s="459">
        <v>2075.2800000000002</v>
      </c>
      <c r="M46" s="459">
        <v>2075.2800000000002</v>
      </c>
      <c r="N46" s="459">
        <v>2075.2800000000002</v>
      </c>
      <c r="O46" s="459">
        <v>16870.152857142857</v>
      </c>
      <c r="P46" s="445">
        <f>(SUM(C46:O46))/13</f>
        <v>3213.3471428571424</v>
      </c>
    </row>
    <row r="47" spans="1:18">
      <c r="A47" s="76">
        <v>38</v>
      </c>
      <c r="B47" s="410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0" t="s">
        <v>1194</v>
      </c>
      <c r="C48" s="459">
        <v>25758680.050000001</v>
      </c>
      <c r="D48" s="459">
        <v>25758680.050000001</v>
      </c>
      <c r="E48" s="459">
        <v>25758680.050000001</v>
      </c>
      <c r="F48" s="459">
        <v>25758680.050000001</v>
      </c>
      <c r="G48" s="459">
        <v>25758680.050000001</v>
      </c>
      <c r="H48" s="459">
        <v>25758680.050000001</v>
      </c>
      <c r="I48" s="459">
        <v>25758680.050000001</v>
      </c>
      <c r="J48" s="459">
        <v>25758680.050000001</v>
      </c>
      <c r="K48" s="459">
        <v>25758680.050000001</v>
      </c>
      <c r="L48" s="459">
        <v>25758680.050000001</v>
      </c>
      <c r="M48" s="459">
        <v>25758680.050000001</v>
      </c>
      <c r="N48" s="459">
        <v>25758680.050000001</v>
      </c>
      <c r="O48" s="459">
        <v>25758680.050000001</v>
      </c>
      <c r="P48" s="445">
        <f>(SUM(C48:O48))/13</f>
        <v>25758680.050000008</v>
      </c>
    </row>
    <row r="49" spans="1:16">
      <c r="A49" s="76">
        <v>40</v>
      </c>
      <c r="B49" s="410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0" t="s">
        <v>1195</v>
      </c>
      <c r="C50" s="1150" t="s">
        <v>1647</v>
      </c>
      <c r="D50" s="1150" t="s">
        <v>1647</v>
      </c>
      <c r="E50" s="1150" t="s">
        <v>1647</v>
      </c>
      <c r="F50" s="1150" t="s">
        <v>1647</v>
      </c>
      <c r="G50" s="1150" t="s">
        <v>1647</v>
      </c>
      <c r="H50" s="1150" t="s">
        <v>1647</v>
      </c>
      <c r="I50" s="1150" t="s">
        <v>1647</v>
      </c>
      <c r="J50" s="1150" t="s">
        <v>1647</v>
      </c>
      <c r="K50" s="1150" t="s">
        <v>1647</v>
      </c>
      <c r="L50" s="1150" t="s">
        <v>1647</v>
      </c>
      <c r="M50" s="1150" t="s">
        <v>1647</v>
      </c>
      <c r="N50" s="1150" t="s">
        <v>1647</v>
      </c>
      <c r="O50" s="1150" t="s">
        <v>1647</v>
      </c>
      <c r="P50" s="445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5" spans="1:16">
      <c r="B55" t="s">
        <v>533</v>
      </c>
      <c r="C55" s="768"/>
    </row>
    <row r="56" spans="1:16">
      <c r="B56" t="s">
        <v>1559</v>
      </c>
      <c r="C56" s="768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C9" sqref="C9"/>
    </sheetView>
  </sheetViews>
  <sheetFormatPr defaultRowHeight="15"/>
  <cols>
    <col min="1" max="1" width="4.33203125" bestFit="1" customWidth="1"/>
    <col min="2" max="2" width="44.21875" customWidth="1"/>
    <col min="3" max="11" width="12" bestFit="1" customWidth="1"/>
    <col min="12" max="12" width="12.6640625" customWidth="1"/>
    <col min="13" max="13" width="12.5546875" bestFit="1" customWidth="1"/>
    <col min="14" max="14" width="12" bestFit="1" customWidth="1"/>
    <col min="15" max="15" width="11.88671875" customWidth="1"/>
    <col min="16" max="16" width="12" bestFit="1" customWidth="1"/>
    <col min="17" max="17" width="10.44140625" bestFit="1" customWidth="1"/>
    <col min="18" max="18" width="7.109375" customWidth="1"/>
  </cols>
  <sheetData>
    <row r="1" spans="1:18">
      <c r="A1" s="1248" t="str">
        <f>'Table of Contents'!A1:C1</f>
        <v>Atmos Energy Corporation, Kentucky/Mid-States Division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</row>
    <row r="2" spans="1:18">
      <c r="A2" s="1248" t="str">
        <f>'Table of Contents'!A2:C2</f>
        <v>Kentucky Jurisdiction Case No. 2015-00343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</row>
    <row r="3" spans="1:18">
      <c r="A3" s="1248" t="str">
        <f>'Table of Contents'!A3:C3</f>
        <v>Base Period: Twelve Months Ended February 29, 2016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</row>
    <row r="4" spans="1:18">
      <c r="A4" s="1248" t="s">
        <v>117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</row>
    <row r="5" spans="1:18">
      <c r="P5" s="653" t="s">
        <v>1516</v>
      </c>
    </row>
    <row r="6" spans="1:18">
      <c r="K6" s="106"/>
      <c r="L6" s="106"/>
      <c r="M6" s="106"/>
      <c r="N6" s="106"/>
      <c r="O6" s="106"/>
    </row>
    <row r="7" spans="1:18">
      <c r="A7" t="s">
        <v>98</v>
      </c>
      <c r="C7" s="76" t="s">
        <v>112</v>
      </c>
      <c r="D7" s="76" t="s">
        <v>112</v>
      </c>
      <c r="E7" s="76" t="s">
        <v>112</v>
      </c>
      <c r="F7" s="76" t="s">
        <v>112</v>
      </c>
      <c r="G7" s="76" t="s">
        <v>112</v>
      </c>
      <c r="H7" s="76" t="s">
        <v>112</v>
      </c>
      <c r="I7" s="76" t="s">
        <v>112</v>
      </c>
      <c r="J7" s="892" t="s">
        <v>1453</v>
      </c>
      <c r="K7" s="76" t="s">
        <v>467</v>
      </c>
      <c r="L7" s="76" t="s">
        <v>467</v>
      </c>
      <c r="M7" s="76" t="s">
        <v>467</v>
      </c>
      <c r="N7" s="76" t="s">
        <v>467</v>
      </c>
      <c r="O7" s="76" t="s">
        <v>467</v>
      </c>
      <c r="P7" s="76" t="s">
        <v>46</v>
      </c>
    </row>
    <row r="8" spans="1:18">
      <c r="A8" s="75" t="s">
        <v>104</v>
      </c>
      <c r="B8" s="75" t="s">
        <v>1004</v>
      </c>
      <c r="C8" s="447">
        <f>O8-366</f>
        <v>42063</v>
      </c>
      <c r="D8" s="447">
        <f>'C.2.2 B 09'!D10</f>
        <v>42094</v>
      </c>
      <c r="E8" s="447">
        <f>'C.2.2 B 09'!E10</f>
        <v>42095</v>
      </c>
      <c r="F8" s="447">
        <f>'C.2.2 B 09'!F10</f>
        <v>42155</v>
      </c>
      <c r="G8" s="447">
        <f>'C.2.2 B 09'!G10</f>
        <v>42185</v>
      </c>
      <c r="H8" s="447">
        <f>'C.2.2 B 09'!H10</f>
        <v>42216</v>
      </c>
      <c r="I8" s="447">
        <f>'C.2.2 B 09'!I10</f>
        <v>42247</v>
      </c>
      <c r="J8" s="447">
        <f>'C.2.2 B 09'!J10</f>
        <v>42277</v>
      </c>
      <c r="K8" s="447">
        <f>'C.2.2 B 09'!K10</f>
        <v>42308</v>
      </c>
      <c r="L8" s="447">
        <f>'C.2.2 B 09'!L10</f>
        <v>42338</v>
      </c>
      <c r="M8" s="447">
        <f>'C.2.2 B 09'!M10</f>
        <v>42369</v>
      </c>
      <c r="N8" s="447">
        <f>'C.2.2 B 09'!N10</f>
        <v>42400</v>
      </c>
      <c r="O8" s="447">
        <f>'C.2.2 B 09'!O10</f>
        <v>42429</v>
      </c>
      <c r="P8" s="84" t="s">
        <v>103</v>
      </c>
      <c r="Q8" s="768"/>
      <c r="R8" s="768"/>
    </row>
    <row r="10" spans="1:18" ht="15.75">
      <c r="A10" s="76">
        <v>1</v>
      </c>
      <c r="B10" s="376" t="s">
        <v>272</v>
      </c>
    </row>
    <row r="11" spans="1:18">
      <c r="A11" s="76">
        <v>2</v>
      </c>
      <c r="B11" s="95"/>
      <c r="R11" s="1057"/>
    </row>
    <row r="12" spans="1:18">
      <c r="A12" s="76">
        <v>3</v>
      </c>
      <c r="B12" s="95" t="s">
        <v>1192</v>
      </c>
    </row>
    <row r="13" spans="1:18">
      <c r="A13" s="76">
        <v>4</v>
      </c>
      <c r="B13" s="410" t="s">
        <v>528</v>
      </c>
      <c r="C13" s="459">
        <v>5563.52</v>
      </c>
      <c r="D13" s="459">
        <v>5563.52</v>
      </c>
      <c r="E13" s="459">
        <v>5563.52</v>
      </c>
      <c r="F13" s="459">
        <v>5563.52</v>
      </c>
      <c r="G13" s="459">
        <v>5563.52</v>
      </c>
      <c r="H13" s="459">
        <v>5563.52</v>
      </c>
      <c r="I13" s="459">
        <v>0</v>
      </c>
      <c r="J13" s="459">
        <v>0</v>
      </c>
      <c r="K13" s="459">
        <v>0</v>
      </c>
      <c r="L13" s="459">
        <v>0</v>
      </c>
      <c r="M13" s="459">
        <v>0</v>
      </c>
      <c r="N13" s="459">
        <v>0</v>
      </c>
      <c r="O13" s="459">
        <v>0</v>
      </c>
      <c r="P13" s="106"/>
      <c r="R13" s="1057"/>
    </row>
    <row r="14" spans="1:18">
      <c r="A14" s="76">
        <v>5</v>
      </c>
      <c r="B14" s="410" t="s">
        <v>529</v>
      </c>
      <c r="C14" s="459">
        <v>-500810.19</v>
      </c>
      <c r="D14" s="459">
        <v>-575556.61</v>
      </c>
      <c r="E14" s="459">
        <v>-611030.01</v>
      </c>
      <c r="F14" s="459">
        <v>-644324.44999999995</v>
      </c>
      <c r="G14" s="459">
        <v>-717349.28</v>
      </c>
      <c r="H14" s="459">
        <v>-852522.74</v>
      </c>
      <c r="I14" s="459">
        <v>-1041852.7400000001</v>
      </c>
      <c r="J14" s="459">
        <v>-740439.30500000005</v>
      </c>
      <c r="K14" s="459">
        <v>-740439.30500000005</v>
      </c>
      <c r="L14" s="459">
        <v>-740439.30500000005</v>
      </c>
      <c r="M14" s="459">
        <v>-740439.30500000005</v>
      </c>
      <c r="N14" s="459">
        <v>-740439.30500000005</v>
      </c>
      <c r="O14" s="459">
        <v>-740439.30500000005</v>
      </c>
      <c r="P14" s="106"/>
    </row>
    <row r="15" spans="1:18">
      <c r="A15" s="76">
        <v>6</v>
      </c>
      <c r="B15" s="363" t="s">
        <v>530</v>
      </c>
      <c r="C15" s="961">
        <f>SUM(C13:C14)</f>
        <v>-495246.67</v>
      </c>
      <c r="D15" s="961">
        <f t="shared" ref="D15:O15" si="0">SUM(D13:D14)</f>
        <v>-569993.09</v>
      </c>
      <c r="E15" s="961">
        <f t="shared" si="0"/>
        <v>-605466.49</v>
      </c>
      <c r="F15" s="961">
        <f t="shared" si="0"/>
        <v>-638760.92999999993</v>
      </c>
      <c r="G15" s="961">
        <f t="shared" si="0"/>
        <v>-711785.76</v>
      </c>
      <c r="H15" s="961">
        <f t="shared" si="0"/>
        <v>-846959.22</v>
      </c>
      <c r="I15" s="961">
        <f t="shared" si="0"/>
        <v>-1041852.7400000001</v>
      </c>
      <c r="J15" s="961">
        <f t="shared" si="0"/>
        <v>-740439.30500000005</v>
      </c>
      <c r="K15" s="961">
        <f t="shared" si="0"/>
        <v>-740439.30500000005</v>
      </c>
      <c r="L15" s="961">
        <f t="shared" si="0"/>
        <v>-740439.30500000005</v>
      </c>
      <c r="M15" s="961">
        <f t="shared" si="0"/>
        <v>-740439.30500000005</v>
      </c>
      <c r="N15" s="961">
        <f t="shared" si="0"/>
        <v>-740439.30500000005</v>
      </c>
      <c r="O15" s="961">
        <f t="shared" si="0"/>
        <v>-740439.30500000005</v>
      </c>
      <c r="P15" s="459">
        <f>(SUM(C15:O15))/13</f>
        <v>-719438.51769230759</v>
      </c>
    </row>
    <row r="16" spans="1:18">
      <c r="A16" s="76">
        <v>7</v>
      </c>
      <c r="B16" s="410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0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0" t="s">
        <v>528</v>
      </c>
      <c r="C18" s="459">
        <v>13310.38</v>
      </c>
      <c r="D18" s="459">
        <v>13310.38</v>
      </c>
      <c r="E18" s="459">
        <v>13310.38</v>
      </c>
      <c r="F18" s="459">
        <v>13310.38</v>
      </c>
      <c r="G18" s="459">
        <v>13310.38</v>
      </c>
      <c r="H18" s="459">
        <v>13310.38</v>
      </c>
      <c r="I18" s="459">
        <v>12038.17</v>
      </c>
      <c r="J18" s="459">
        <v>13098.344999999999</v>
      </c>
      <c r="K18" s="459">
        <v>13098.344999999999</v>
      </c>
      <c r="L18" s="459">
        <v>13098.344999999999</v>
      </c>
      <c r="M18" s="459">
        <v>13098.344999999999</v>
      </c>
      <c r="N18" s="459">
        <v>13098.344999999999</v>
      </c>
      <c r="O18" s="459">
        <v>13098.344999999999</v>
      </c>
      <c r="P18" s="106"/>
    </row>
    <row r="19" spans="1:16">
      <c r="A19" s="76">
        <v>10</v>
      </c>
      <c r="B19" s="410" t="s">
        <v>529</v>
      </c>
      <c r="C19" s="459">
        <v>2243598.2300000004</v>
      </c>
      <c r="D19" s="459">
        <v>2305206.9200000004</v>
      </c>
      <c r="E19" s="459">
        <v>2380226.9500000016</v>
      </c>
      <c r="F19" s="459">
        <v>2437363.2200000002</v>
      </c>
      <c r="G19" s="459">
        <v>2518066.62</v>
      </c>
      <c r="H19" s="459">
        <v>2603641.7300000004</v>
      </c>
      <c r="I19" s="459">
        <v>2687184.2000000011</v>
      </c>
      <c r="J19" s="459">
        <v>2488614.9400000004</v>
      </c>
      <c r="K19" s="459">
        <v>2488614.9400000004</v>
      </c>
      <c r="L19" s="459">
        <v>2488614.9400000004</v>
      </c>
      <c r="M19" s="459">
        <v>2488614.9400000004</v>
      </c>
      <c r="N19" s="459">
        <v>2488614.9400000004</v>
      </c>
      <c r="O19" s="459">
        <v>2488614.9400000004</v>
      </c>
      <c r="P19" s="106"/>
    </row>
    <row r="20" spans="1:16">
      <c r="A20" s="76">
        <v>11</v>
      </c>
      <c r="B20" s="363" t="s">
        <v>530</v>
      </c>
      <c r="C20" s="961">
        <f>SUM(C18:C19)</f>
        <v>2256908.6100000003</v>
      </c>
      <c r="D20" s="961">
        <f t="shared" ref="D20:O20" si="1">SUM(D18:D19)</f>
        <v>2318517.3000000003</v>
      </c>
      <c r="E20" s="961">
        <f t="shared" si="1"/>
        <v>2393537.3300000015</v>
      </c>
      <c r="F20" s="961">
        <f t="shared" si="1"/>
        <v>2450673.6</v>
      </c>
      <c r="G20" s="961">
        <f t="shared" si="1"/>
        <v>2531377</v>
      </c>
      <c r="H20" s="961">
        <f t="shared" si="1"/>
        <v>2616952.1100000003</v>
      </c>
      <c r="I20" s="961">
        <f t="shared" si="1"/>
        <v>2699222.370000001</v>
      </c>
      <c r="J20" s="961">
        <f t="shared" si="1"/>
        <v>2501713.2850000006</v>
      </c>
      <c r="K20" s="961">
        <f t="shared" si="1"/>
        <v>2501713.2850000006</v>
      </c>
      <c r="L20" s="961">
        <f t="shared" si="1"/>
        <v>2501713.2850000006</v>
      </c>
      <c r="M20" s="961">
        <f t="shared" si="1"/>
        <v>2501713.2850000006</v>
      </c>
      <c r="N20" s="961">
        <f t="shared" si="1"/>
        <v>2501713.2850000006</v>
      </c>
      <c r="O20" s="961">
        <f t="shared" si="1"/>
        <v>2501713.2850000006</v>
      </c>
      <c r="P20" s="459">
        <f>(SUM(C20:O20))/13</f>
        <v>2482882.1561538465</v>
      </c>
    </row>
    <row r="21" spans="1:16">
      <c r="A21" s="76">
        <v>12</v>
      </c>
      <c r="B21" s="41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0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0" t="s">
        <v>528</v>
      </c>
      <c r="C23" s="1150" t="s">
        <v>1648</v>
      </c>
      <c r="D23" s="1150" t="s">
        <v>1648</v>
      </c>
      <c r="E23" s="1150" t="s">
        <v>1648</v>
      </c>
      <c r="F23" s="1150" t="s">
        <v>1648</v>
      </c>
      <c r="G23" s="1150" t="s">
        <v>1648</v>
      </c>
      <c r="H23" s="1150">
        <v>0</v>
      </c>
      <c r="I23" s="1150" t="s">
        <v>1647</v>
      </c>
      <c r="J23" s="1150" t="s">
        <v>1647</v>
      </c>
      <c r="K23" s="1150" t="s">
        <v>1647</v>
      </c>
      <c r="L23" s="1150" t="s">
        <v>1647</v>
      </c>
      <c r="M23" s="1150" t="s">
        <v>1647</v>
      </c>
      <c r="N23" s="1150" t="s">
        <v>1647</v>
      </c>
      <c r="O23" s="1150" t="s">
        <v>1647</v>
      </c>
      <c r="P23" s="106"/>
    </row>
    <row r="24" spans="1:16">
      <c r="A24" s="76">
        <v>15</v>
      </c>
      <c r="B24" s="410" t="s">
        <v>529</v>
      </c>
      <c r="C24" s="1150">
        <v>-1.0000000004652065E-2</v>
      </c>
      <c r="D24" s="1150">
        <v>1.0000000006016307E-2</v>
      </c>
      <c r="E24" s="1150">
        <v>-9.9999999738429324E-3</v>
      </c>
      <c r="F24" s="1150">
        <v>0</v>
      </c>
      <c r="G24" s="1150">
        <v>2.9558577807620168E-12</v>
      </c>
      <c r="H24" s="1150">
        <v>1.0000000010450094E-2</v>
      </c>
      <c r="I24" s="1150" t="s">
        <v>1648</v>
      </c>
      <c r="J24" s="1150" t="s">
        <v>1648</v>
      </c>
      <c r="K24" s="1150" t="s">
        <v>1648</v>
      </c>
      <c r="L24" s="1150" t="s">
        <v>1648</v>
      </c>
      <c r="M24" s="1150" t="s">
        <v>1648</v>
      </c>
      <c r="N24" s="1150" t="s">
        <v>1648</v>
      </c>
      <c r="O24" s="1150" t="s">
        <v>1648</v>
      </c>
      <c r="P24" s="106"/>
    </row>
    <row r="25" spans="1:16">
      <c r="A25" s="76">
        <v>16</v>
      </c>
      <c r="B25" s="363" t="s">
        <v>530</v>
      </c>
      <c r="C25" s="961">
        <f>SUM(C23:C24)</f>
        <v>-1.0000000004652065E-2</v>
      </c>
      <c r="D25" s="961">
        <f t="shared" ref="D25:O25" si="2">SUM(D23:D24)</f>
        <v>1.0000000006016307E-2</v>
      </c>
      <c r="E25" s="961">
        <f t="shared" si="2"/>
        <v>-9.9999999738429324E-3</v>
      </c>
      <c r="F25" s="961">
        <f t="shared" si="2"/>
        <v>0</v>
      </c>
      <c r="G25" s="961">
        <f t="shared" si="2"/>
        <v>2.9558577807620168E-12</v>
      </c>
      <c r="H25" s="961">
        <f t="shared" si="2"/>
        <v>1.0000000010450094E-2</v>
      </c>
      <c r="I25" s="961">
        <f t="shared" si="2"/>
        <v>0</v>
      </c>
      <c r="J25" s="961">
        <f t="shared" si="2"/>
        <v>0</v>
      </c>
      <c r="K25" s="961">
        <f t="shared" si="2"/>
        <v>0</v>
      </c>
      <c r="L25" s="961">
        <f t="shared" si="2"/>
        <v>0</v>
      </c>
      <c r="M25" s="961">
        <f t="shared" si="2"/>
        <v>0</v>
      </c>
      <c r="N25" s="961">
        <f t="shared" si="2"/>
        <v>0</v>
      </c>
      <c r="O25" s="961">
        <f t="shared" si="2"/>
        <v>0</v>
      </c>
      <c r="P25" s="459">
        <f>(SUM(C25:O25))/13</f>
        <v>3.148250890752444E-12</v>
      </c>
    </row>
    <row r="26" spans="1:16">
      <c r="A26" s="76">
        <v>17</v>
      </c>
      <c r="B26" s="410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0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0" t="s">
        <v>528</v>
      </c>
      <c r="C28" s="1150" t="s">
        <v>1648</v>
      </c>
      <c r="D28" s="1150" t="s">
        <v>1648</v>
      </c>
      <c r="E28" s="1150" t="s">
        <v>1648</v>
      </c>
      <c r="F28" s="1150" t="s">
        <v>1648</v>
      </c>
      <c r="G28" s="1150" t="s">
        <v>1648</v>
      </c>
      <c r="H28" s="1150" t="s">
        <v>1648</v>
      </c>
      <c r="I28" s="1150" t="s">
        <v>1647</v>
      </c>
      <c r="J28" s="1150" t="s">
        <v>1647</v>
      </c>
      <c r="K28" s="1150" t="s">
        <v>1647</v>
      </c>
      <c r="L28" s="1150" t="s">
        <v>1647</v>
      </c>
      <c r="M28" s="1150" t="s">
        <v>1647</v>
      </c>
      <c r="N28" s="1150" t="s">
        <v>1647</v>
      </c>
      <c r="O28" s="1150" t="s">
        <v>1647</v>
      </c>
      <c r="P28" s="106"/>
    </row>
    <row r="29" spans="1:16">
      <c r="A29" s="76">
        <v>20</v>
      </c>
      <c r="B29" s="410" t="s">
        <v>529</v>
      </c>
      <c r="C29" s="1150" t="s">
        <v>1648</v>
      </c>
      <c r="D29" s="1150" t="s">
        <v>1648</v>
      </c>
      <c r="E29" s="1150" t="s">
        <v>1648</v>
      </c>
      <c r="F29" s="1150" t="s">
        <v>1648</v>
      </c>
      <c r="G29" s="1150" t="s">
        <v>1648</v>
      </c>
      <c r="H29" s="1150" t="s">
        <v>1648</v>
      </c>
      <c r="I29" s="1150" t="s">
        <v>1648</v>
      </c>
      <c r="J29" s="1150" t="s">
        <v>1648</v>
      </c>
      <c r="K29" s="1150" t="s">
        <v>1648</v>
      </c>
      <c r="L29" s="1150" t="s">
        <v>1648</v>
      </c>
      <c r="M29" s="1150" t="s">
        <v>1648</v>
      </c>
      <c r="N29" s="1150" t="s">
        <v>1648</v>
      </c>
      <c r="O29" s="1150" t="s">
        <v>1648</v>
      </c>
      <c r="P29" s="106"/>
    </row>
    <row r="30" spans="1:16">
      <c r="A30" s="76">
        <v>21</v>
      </c>
      <c r="B30" s="363" t="s">
        <v>530</v>
      </c>
      <c r="C30" s="961">
        <f>SUM(C28:C29)</f>
        <v>0</v>
      </c>
      <c r="D30" s="961">
        <f t="shared" ref="D30:J30" si="3">SUM(D28:D29)</f>
        <v>0</v>
      </c>
      <c r="E30" s="961">
        <f t="shared" si="3"/>
        <v>0</v>
      </c>
      <c r="F30" s="961">
        <f t="shared" si="3"/>
        <v>0</v>
      </c>
      <c r="G30" s="961">
        <f t="shared" si="3"/>
        <v>0</v>
      </c>
      <c r="H30" s="961">
        <f t="shared" si="3"/>
        <v>0</v>
      </c>
      <c r="I30" s="961">
        <f t="shared" si="3"/>
        <v>0</v>
      </c>
      <c r="J30" s="961">
        <f t="shared" si="3"/>
        <v>0</v>
      </c>
      <c r="K30" s="961">
        <f>SUM(K28:K29)</f>
        <v>0</v>
      </c>
      <c r="L30" s="961">
        <f>SUM(L28:L29)</f>
        <v>0</v>
      </c>
      <c r="M30" s="961">
        <f>SUM(M28:M29)</f>
        <v>0</v>
      </c>
      <c r="N30" s="961">
        <f>SUM(N28:N29)</f>
        <v>0</v>
      </c>
      <c r="O30" s="961">
        <f>SUM(O28:O29)</f>
        <v>0</v>
      </c>
      <c r="P30" s="459">
        <f>(SUM(C30:O30))/13</f>
        <v>0</v>
      </c>
    </row>
    <row r="31" spans="1:16">
      <c r="A31" s="76">
        <v>22</v>
      </c>
      <c r="B31" s="410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6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8">
      <c r="A34" s="76">
        <v>25</v>
      </c>
      <c r="B34" s="1084" t="s">
        <v>1192</v>
      </c>
      <c r="C34" s="459">
        <v>1321776.6200000001</v>
      </c>
      <c r="D34" s="459">
        <v>-3754264.8499999992</v>
      </c>
      <c r="E34" s="459">
        <v>1712587.7499999995</v>
      </c>
      <c r="F34" s="459">
        <v>1156435.0399999993</v>
      </c>
      <c r="G34" s="459">
        <v>6341727.5800000001</v>
      </c>
      <c r="H34" s="459">
        <v>9174321.3399999999</v>
      </c>
      <c r="I34" s="459">
        <v>12883047.880000001</v>
      </c>
      <c r="J34" s="459">
        <v>16574116.969999999</v>
      </c>
      <c r="K34" s="459">
        <v>20151685.449179217</v>
      </c>
      <c r="L34" s="459">
        <v>17745957.124034587</v>
      </c>
      <c r="M34" s="459">
        <v>12230225.891968817</v>
      </c>
      <c r="N34" s="459">
        <v>5459843.7922860514</v>
      </c>
      <c r="O34" s="459">
        <v>-778028.49315554556</v>
      </c>
      <c r="P34" s="459">
        <f>(SUM(C34:O34))/13</f>
        <v>7709187.0841779327</v>
      </c>
      <c r="Q34" s="768"/>
      <c r="R34" s="768"/>
    </row>
    <row r="35" spans="1:18">
      <c r="A35" s="76">
        <v>26</v>
      </c>
      <c r="B35" s="410"/>
      <c r="C35" s="106"/>
      <c r="D35" s="106"/>
      <c r="E35" s="106"/>
      <c r="F35" s="106"/>
      <c r="G35" s="106"/>
      <c r="H35" s="106"/>
      <c r="I35" s="106"/>
      <c r="J35" s="106"/>
      <c r="K35" s="459"/>
      <c r="L35" s="459"/>
      <c r="M35" s="459"/>
      <c r="N35" s="459"/>
      <c r="O35" s="459"/>
      <c r="P35" s="106"/>
    </row>
    <row r="36" spans="1:18">
      <c r="A36" s="76">
        <v>27</v>
      </c>
      <c r="B36" s="410" t="s">
        <v>1193</v>
      </c>
      <c r="C36" s="612">
        <v>0</v>
      </c>
      <c r="D36" s="612">
        <v>0</v>
      </c>
      <c r="E36" s="612">
        <v>0</v>
      </c>
      <c r="F36" s="612">
        <v>0</v>
      </c>
      <c r="G36" s="612">
        <v>0</v>
      </c>
      <c r="H36" s="612">
        <v>0</v>
      </c>
      <c r="I36" s="612">
        <v>0</v>
      </c>
      <c r="J36" s="612">
        <v>0</v>
      </c>
      <c r="K36" s="612">
        <v>0</v>
      </c>
      <c r="L36" s="612">
        <v>0</v>
      </c>
      <c r="M36" s="612">
        <v>0</v>
      </c>
      <c r="N36" s="612">
        <v>0</v>
      </c>
      <c r="O36" s="612">
        <v>0</v>
      </c>
      <c r="P36" s="459">
        <f>(SUM(C36:O36))/13</f>
        <v>0</v>
      </c>
    </row>
    <row r="37" spans="1:18">
      <c r="A37" s="76">
        <v>28</v>
      </c>
      <c r="B37" s="41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0" t="s">
        <v>1194</v>
      </c>
      <c r="C38" s="612">
        <v>0</v>
      </c>
      <c r="D38" s="612">
        <v>0</v>
      </c>
      <c r="E38" s="612">
        <v>0</v>
      </c>
      <c r="F38" s="612">
        <v>0</v>
      </c>
      <c r="G38" s="612">
        <v>0</v>
      </c>
      <c r="H38" s="612">
        <v>0</v>
      </c>
      <c r="I38" s="612">
        <v>0</v>
      </c>
      <c r="J38" s="612">
        <v>0</v>
      </c>
      <c r="K38" s="612">
        <v>0</v>
      </c>
      <c r="L38" s="612">
        <v>0</v>
      </c>
      <c r="M38" s="612">
        <v>0</v>
      </c>
      <c r="N38" s="612">
        <v>0</v>
      </c>
      <c r="O38" s="612">
        <v>0</v>
      </c>
      <c r="P38" s="459">
        <f>(SUM(C38:O38))/13</f>
        <v>0</v>
      </c>
    </row>
    <row r="39" spans="1:18">
      <c r="A39" s="76">
        <v>30</v>
      </c>
      <c r="B39" s="41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0" t="s">
        <v>1195</v>
      </c>
      <c r="C40" s="612">
        <v>0</v>
      </c>
      <c r="D40" s="612">
        <v>0</v>
      </c>
      <c r="E40" s="612">
        <v>0</v>
      </c>
      <c r="F40" s="612">
        <v>0</v>
      </c>
      <c r="G40" s="612">
        <v>0</v>
      </c>
      <c r="H40" s="612">
        <v>0</v>
      </c>
      <c r="I40" s="612">
        <v>0</v>
      </c>
      <c r="J40" s="612">
        <v>0</v>
      </c>
      <c r="K40" s="612">
        <v>0</v>
      </c>
      <c r="L40" s="612">
        <v>0</v>
      </c>
      <c r="M40" s="612">
        <v>0</v>
      </c>
      <c r="N40" s="612">
        <v>0</v>
      </c>
      <c r="O40" s="612">
        <v>0</v>
      </c>
      <c r="P40" s="459">
        <f>(SUM(C40:O40))/13</f>
        <v>0</v>
      </c>
    </row>
    <row r="41" spans="1:18">
      <c r="A41" s="76">
        <v>32</v>
      </c>
      <c r="B41" s="363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6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0" t="s">
        <v>1192</v>
      </c>
      <c r="C44" s="459">
        <v>106038.11</v>
      </c>
      <c r="D44" s="459">
        <v>79528.570000000007</v>
      </c>
      <c r="E44" s="459">
        <v>53019.03</v>
      </c>
      <c r="F44" s="459">
        <v>26509.49</v>
      </c>
      <c r="G44" s="459">
        <v>374272.25</v>
      </c>
      <c r="H44" s="459">
        <v>343082.94</v>
      </c>
      <c r="I44" s="459">
        <v>311893.63</v>
      </c>
      <c r="J44" s="459">
        <v>198050.98500000002</v>
      </c>
      <c r="K44" s="459">
        <v>198050.98500000002</v>
      </c>
      <c r="L44" s="459">
        <v>198050.98500000002</v>
      </c>
      <c r="M44" s="459">
        <v>198050.98500000002</v>
      </c>
      <c r="N44" s="459">
        <v>198050.98500000002</v>
      </c>
      <c r="O44" s="459">
        <v>198050.98500000002</v>
      </c>
      <c r="P44" s="459">
        <f>(SUM(C44:O44))/13</f>
        <v>190973.07153846155</v>
      </c>
    </row>
    <row r="45" spans="1:18">
      <c r="A45" s="76">
        <v>36</v>
      </c>
      <c r="B45" s="410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0" t="s">
        <v>1193</v>
      </c>
      <c r="C46" s="459">
        <v>17751.97</v>
      </c>
      <c r="D46" s="459">
        <v>1704.19</v>
      </c>
      <c r="E46" s="459">
        <v>391.6</v>
      </c>
      <c r="F46" s="459">
        <v>5084.2300000000005</v>
      </c>
      <c r="G46" s="459">
        <v>-2074.5</v>
      </c>
      <c r="H46" s="459">
        <v>-3546.17</v>
      </c>
      <c r="I46" s="459">
        <v>10892.33</v>
      </c>
      <c r="J46" s="459">
        <v>2075.2800000000002</v>
      </c>
      <c r="K46" s="459">
        <v>2075.2800000000002</v>
      </c>
      <c r="L46" s="459">
        <v>2075.2800000000002</v>
      </c>
      <c r="M46" s="459">
        <v>2075.2800000000002</v>
      </c>
      <c r="N46" s="459">
        <v>2075.2800000000002</v>
      </c>
      <c r="O46" s="459">
        <v>2075.2800000000002</v>
      </c>
      <c r="P46" s="459">
        <f>(SUM(C46:O46))/13</f>
        <v>3281.1792307692303</v>
      </c>
    </row>
    <row r="47" spans="1:18">
      <c r="A47" s="76">
        <v>38</v>
      </c>
      <c r="B47" s="410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0" t="s">
        <v>1194</v>
      </c>
      <c r="C48" s="459">
        <v>24880762.84</v>
      </c>
      <c r="D48" s="459">
        <v>29603126.800000004</v>
      </c>
      <c r="E48" s="459">
        <v>26491689.34</v>
      </c>
      <c r="F48" s="459">
        <v>27939057.789999999</v>
      </c>
      <c r="G48" s="459">
        <v>25589870.34</v>
      </c>
      <c r="H48" s="459">
        <v>23862310.220000006</v>
      </c>
      <c r="I48" s="459">
        <v>21066025.809999999</v>
      </c>
      <c r="J48" s="459">
        <v>25758680.050000001</v>
      </c>
      <c r="K48" s="459">
        <v>25758680.050000001</v>
      </c>
      <c r="L48" s="459">
        <v>25758680.050000001</v>
      </c>
      <c r="M48" s="459">
        <v>25758680.050000001</v>
      </c>
      <c r="N48" s="459">
        <v>25758680.050000001</v>
      </c>
      <c r="O48" s="459">
        <v>25758680.050000001</v>
      </c>
      <c r="P48" s="459">
        <f>(SUM(C48:O48))/13</f>
        <v>25691147.956923082</v>
      </c>
    </row>
    <row r="49" spans="1:16">
      <c r="A49" s="76">
        <v>40</v>
      </c>
      <c r="B49" s="410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0" t="s">
        <v>1195</v>
      </c>
      <c r="C50" s="459" t="s">
        <v>1648</v>
      </c>
      <c r="D50" s="459" t="s">
        <v>1648</v>
      </c>
      <c r="E50" s="459" t="s">
        <v>1648</v>
      </c>
      <c r="F50" s="459" t="s">
        <v>1648</v>
      </c>
      <c r="G50" s="459" t="s">
        <v>1648</v>
      </c>
      <c r="H50" s="459" t="s">
        <v>1648</v>
      </c>
      <c r="I50" s="459" t="s">
        <v>1647</v>
      </c>
      <c r="J50" s="459" t="s">
        <v>1647</v>
      </c>
      <c r="K50" s="459" t="s">
        <v>1647</v>
      </c>
      <c r="L50" s="459" t="s">
        <v>1647</v>
      </c>
      <c r="M50" s="459" t="s">
        <v>1647</v>
      </c>
      <c r="N50" s="459" t="s">
        <v>1647</v>
      </c>
      <c r="O50" s="459" t="s">
        <v>1647</v>
      </c>
      <c r="P50" s="459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6">
      <c r="C52" s="106"/>
      <c r="D52" s="106"/>
      <c r="E52" s="106"/>
      <c r="F52" s="106"/>
      <c r="G52" s="106"/>
      <c r="H52" s="106"/>
      <c r="I52" s="106"/>
      <c r="J52" s="106"/>
    </row>
    <row r="55" spans="1:16">
      <c r="B55" t="s">
        <v>533</v>
      </c>
    </row>
    <row r="56" spans="1:16">
      <c r="B56" t="s">
        <v>1623</v>
      </c>
    </row>
    <row r="59" spans="1:16">
      <c r="C59" s="768"/>
    </row>
    <row r="60" spans="1:16">
      <c r="C60" s="768"/>
    </row>
  </sheetData>
  <mergeCells count="4">
    <mergeCell ref="A1:P1"/>
    <mergeCell ref="A2:P2"/>
    <mergeCell ref="A3:P3"/>
    <mergeCell ref="A4:P4"/>
  </mergeCells>
  <phoneticPr fontId="24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D12" sqref="D12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8.33203125" style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0" width="13.109375" style="1" bestFit="1" customWidth="1"/>
    <col min="11" max="11" width="13" style="1" customWidth="1"/>
    <col min="12" max="12" width="13.109375" style="1" bestFit="1" customWidth="1"/>
    <col min="13" max="14" width="13" style="1" customWidth="1"/>
    <col min="15" max="15" width="13.5546875" style="1" customWidth="1"/>
    <col min="16" max="16" width="13.21875" style="1" customWidth="1"/>
    <col min="17" max="17" width="13.77734375" style="1" customWidth="1"/>
    <col min="18" max="16384" width="8.44140625" style="1"/>
  </cols>
  <sheetData>
    <row r="1" spans="1:18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</row>
    <row r="2" spans="1:18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</row>
    <row r="3" spans="1:18">
      <c r="A3" s="1253" t="s">
        <v>525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057"/>
    </row>
    <row r="4" spans="1:18">
      <c r="A4" s="929" t="str">
        <f>Allocation!A3</f>
        <v>Base Period: Twelve Months Ended February 29, 2016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</row>
    <row r="5" spans="1:18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8">
      <c r="A6" s="70" t="str">
        <f>'B.1 B'!A6</f>
        <v>Data:__X___Base Period______Forecasted Period</v>
      </c>
      <c r="B6" s="70"/>
      <c r="C6" s="47"/>
      <c r="P6" s="1" t="s">
        <v>1518</v>
      </c>
    </row>
    <row r="7" spans="1:18">
      <c r="A7" s="70" t="str">
        <f>'B.1 B'!A7</f>
        <v>Type of Filing:___X____Original________Updated ________Revised</v>
      </c>
      <c r="B7" s="47"/>
      <c r="C7" s="70"/>
      <c r="P7" s="1" t="s">
        <v>734</v>
      </c>
    </row>
    <row r="8" spans="1:18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8">
      <c r="D9" s="77"/>
      <c r="E9" s="296"/>
      <c r="F9" s="2"/>
      <c r="G9" s="2"/>
      <c r="H9" s="101"/>
      <c r="I9" s="2"/>
      <c r="J9" s="296"/>
      <c r="K9" s="2"/>
    </row>
    <row r="10" spans="1:18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67" t="s">
        <v>1262</v>
      </c>
      <c r="L10" s="76" t="s">
        <v>1262</v>
      </c>
      <c r="M10" s="867" t="s">
        <v>1262</v>
      </c>
      <c r="N10" s="867" t="s">
        <v>1262</v>
      </c>
      <c r="O10" s="867" t="s">
        <v>1262</v>
      </c>
      <c r="P10" s="867" t="s">
        <v>1262</v>
      </c>
      <c r="Q10" s="126" t="s">
        <v>324</v>
      </c>
    </row>
    <row r="11" spans="1:18">
      <c r="A11" s="9" t="s">
        <v>104</v>
      </c>
      <c r="B11" s="9" t="s">
        <v>105</v>
      </c>
      <c r="C11" s="6"/>
      <c r="D11" s="447">
        <f>'WP B.4.1B'!C8</f>
        <v>42063</v>
      </c>
      <c r="E11" s="447">
        <f>'WP B.4.1B'!D8</f>
        <v>42094</v>
      </c>
      <c r="F11" s="447">
        <f>'WP B.4.1B'!E8</f>
        <v>42095</v>
      </c>
      <c r="G11" s="447">
        <f>'WP B.4.1B'!F8</f>
        <v>42155</v>
      </c>
      <c r="H11" s="447">
        <f>'WP B.4.1B'!G8</f>
        <v>42185</v>
      </c>
      <c r="I11" s="447">
        <f>'WP B.4.1B'!H8</f>
        <v>42216</v>
      </c>
      <c r="J11" s="801">
        <f>'WP B.4.1B'!I8</f>
        <v>42247</v>
      </c>
      <c r="K11" s="801">
        <f>'WP B.4.1B'!J8</f>
        <v>42277</v>
      </c>
      <c r="L11" s="447">
        <f>'WP B.4.1B'!K8</f>
        <v>42308</v>
      </c>
      <c r="M11" s="447">
        <f>'WP B.4.1B'!L8</f>
        <v>42338</v>
      </c>
      <c r="N11" s="447">
        <f>'WP B.4.1B'!M8</f>
        <v>42369</v>
      </c>
      <c r="O11" s="447">
        <f>'WP B.4.1B'!N8</f>
        <v>42400</v>
      </c>
      <c r="P11" s="447">
        <f>'WP B.4.1B'!O8</f>
        <v>42429</v>
      </c>
      <c r="Q11" s="80" t="s">
        <v>103</v>
      </c>
    </row>
    <row r="12" spans="1:18" ht="15.75">
      <c r="B12" s="12" t="s">
        <v>218</v>
      </c>
      <c r="G12" s="107"/>
      <c r="J12" s="107"/>
      <c r="K12" s="107"/>
    </row>
    <row r="13" spans="1:18">
      <c r="A13" s="2">
        <v>1</v>
      </c>
      <c r="C13" s="17" t="s">
        <v>689</v>
      </c>
      <c r="D13" s="1151">
        <v>1904270.34</v>
      </c>
      <c r="E13" s="1151">
        <v>1904270.34</v>
      </c>
      <c r="F13" s="1151">
        <v>1904270.34</v>
      </c>
      <c r="G13" s="1151">
        <v>1904270.34</v>
      </c>
      <c r="H13" s="1151">
        <v>1904270.34</v>
      </c>
      <c r="I13" s="1151">
        <v>1912246.3199999998</v>
      </c>
      <c r="J13" s="1151">
        <v>1912246.3199999998</v>
      </c>
      <c r="K13" s="1151">
        <v>1912246.3199999998</v>
      </c>
      <c r="L13" s="1151">
        <v>1912246.3199999998</v>
      </c>
      <c r="M13" s="1151">
        <v>1912246.3199999998</v>
      </c>
      <c r="N13" s="1151">
        <v>1912246.3199999998</v>
      </c>
      <c r="O13" s="1151">
        <v>1912246.3199999998</v>
      </c>
      <c r="P13" s="1151">
        <v>1912246.3199999998</v>
      </c>
      <c r="Q13" s="727">
        <f>(SUM(D13:P13))/13</f>
        <v>1909178.6353846155</v>
      </c>
    </row>
    <row r="14" spans="1:18" ht="14.25" customHeight="1">
      <c r="A14" s="2">
        <f>A13+1</f>
        <v>2</v>
      </c>
      <c r="B14" s="486"/>
      <c r="C14" s="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488"/>
    </row>
    <row r="15" spans="1:18">
      <c r="A15" s="802">
        <f t="shared" ref="A15:A49" si="0">A14+1</f>
        <v>3</v>
      </c>
      <c r="C15" s="17" t="s">
        <v>690</v>
      </c>
      <c r="D15" s="795">
        <v>-69483428.670000002</v>
      </c>
      <c r="E15" s="795">
        <v>-69483428.670000002</v>
      </c>
      <c r="F15" s="795">
        <v>-69483428.670000002</v>
      </c>
      <c r="G15" s="795">
        <v>-69483428.670000002</v>
      </c>
      <c r="H15" s="795">
        <v>-69483428.670000002</v>
      </c>
      <c r="I15" s="795">
        <v>-72723561.01253204</v>
      </c>
      <c r="J15" s="795">
        <v>-73774986.304776028</v>
      </c>
      <c r="K15" s="795">
        <v>-77299516.29034844</v>
      </c>
      <c r="L15" s="795">
        <v>-78255510.703413785</v>
      </c>
      <c r="M15" s="795">
        <v>-79345539.722192496</v>
      </c>
      <c r="N15" s="795">
        <v>-80736672.436113358</v>
      </c>
      <c r="O15" s="795">
        <v>-81696778.952225372</v>
      </c>
      <c r="P15" s="795">
        <v>-82754429.15566054</v>
      </c>
      <c r="Q15" s="798">
        <f>(SUM(D15:P15))/13</f>
        <v>-74923395.22517401</v>
      </c>
    </row>
    <row r="16" spans="1:18">
      <c r="A16" s="802">
        <f t="shared" si="0"/>
        <v>4</v>
      </c>
      <c r="B16" s="486"/>
      <c r="C16" s="4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8"/>
    </row>
    <row r="17" spans="1:18">
      <c r="A17" s="802">
        <f t="shared" si="0"/>
        <v>5</v>
      </c>
      <c r="C17" s="17" t="s">
        <v>691</v>
      </c>
      <c r="D17" s="795">
        <v>-1326568.77</v>
      </c>
      <c r="E17" s="795">
        <v>-1326568.77</v>
      </c>
      <c r="F17" s="795">
        <v>-1326568.77</v>
      </c>
      <c r="G17" s="795">
        <v>-1326568.77</v>
      </c>
      <c r="H17" s="795">
        <v>-1326568.77</v>
      </c>
      <c r="I17" s="795">
        <v>-96035.15</v>
      </c>
      <c r="J17" s="795">
        <v>-96035.15</v>
      </c>
      <c r="K17" s="795">
        <v>-96035.15</v>
      </c>
      <c r="L17" s="795">
        <v>-96035.15</v>
      </c>
      <c r="M17" s="795">
        <v>-96035.15</v>
      </c>
      <c r="N17" s="795">
        <v>-96035.15</v>
      </c>
      <c r="O17" s="795">
        <v>-96035.15</v>
      </c>
      <c r="P17" s="795">
        <v>-96035.15</v>
      </c>
      <c r="Q17" s="798">
        <f>(SUM(D17:P17))/13</f>
        <v>-569317.31153846171</v>
      </c>
    </row>
    <row r="18" spans="1:18" ht="14.25" customHeight="1">
      <c r="A18" s="802">
        <f t="shared" si="0"/>
        <v>6</v>
      </c>
      <c r="B18" s="486"/>
      <c r="C18" s="4"/>
      <c r="D18" s="103"/>
      <c r="E18" s="103"/>
      <c r="F18" s="103"/>
      <c r="G18" s="103"/>
      <c r="H18" s="103"/>
      <c r="I18" s="100"/>
      <c r="J18" s="100"/>
      <c r="K18" s="100"/>
      <c r="L18" s="578"/>
      <c r="M18" s="578"/>
      <c r="N18" s="578"/>
      <c r="O18" s="578"/>
      <c r="P18" s="107"/>
    </row>
    <row r="19" spans="1:18">
      <c r="A19" s="802">
        <f t="shared" si="0"/>
        <v>7</v>
      </c>
      <c r="C19" s="26" t="s">
        <v>31</v>
      </c>
      <c r="D19" s="752">
        <f t="shared" ref="D19:P19" si="1">SUM(D13:D17)</f>
        <v>-68905727.099999994</v>
      </c>
      <c r="E19" s="752">
        <f t="shared" si="1"/>
        <v>-68905727.099999994</v>
      </c>
      <c r="F19" s="752">
        <f t="shared" si="1"/>
        <v>-68905727.099999994</v>
      </c>
      <c r="G19" s="752">
        <f t="shared" si="1"/>
        <v>-68905727.099999994</v>
      </c>
      <c r="H19" s="752">
        <f t="shared" si="1"/>
        <v>-68905727.099999994</v>
      </c>
      <c r="I19" s="752">
        <f t="shared" si="1"/>
        <v>-70907349.842532054</v>
      </c>
      <c r="J19" s="752">
        <f t="shared" si="1"/>
        <v>-71958775.134776041</v>
      </c>
      <c r="K19" s="752">
        <f t="shared" si="1"/>
        <v>-75483305.120348454</v>
      </c>
      <c r="L19" s="752">
        <f t="shared" si="1"/>
        <v>-76439299.533413798</v>
      </c>
      <c r="M19" s="752">
        <f t="shared" si="1"/>
        <v>-77529328.552192509</v>
      </c>
      <c r="N19" s="752">
        <f t="shared" si="1"/>
        <v>-78920461.266113371</v>
      </c>
      <c r="O19" s="752">
        <f t="shared" si="1"/>
        <v>-79880567.782225385</v>
      </c>
      <c r="P19" s="718">
        <f t="shared" si="1"/>
        <v>-80938217.985660553</v>
      </c>
      <c r="Q19" s="719">
        <f>(SUM(D19:P19))/13</f>
        <v>-73583533.901327863</v>
      </c>
      <c r="R19" s="798"/>
    </row>
    <row r="20" spans="1:18" ht="14.25" customHeight="1">
      <c r="A20" s="802">
        <f t="shared" si="0"/>
        <v>8</v>
      </c>
      <c r="B20" s="486"/>
      <c r="C20" s="4"/>
      <c r="D20" s="103"/>
      <c r="E20" s="103"/>
      <c r="F20" s="103"/>
      <c r="G20" s="103"/>
      <c r="H20" s="103"/>
      <c r="I20" s="100"/>
      <c r="J20" s="100"/>
      <c r="K20" s="100"/>
      <c r="L20" s="578"/>
      <c r="M20" s="578"/>
      <c r="N20" s="578"/>
      <c r="O20" s="578"/>
      <c r="P20" s="107"/>
    </row>
    <row r="21" spans="1:18" ht="15.75">
      <c r="A21" s="802">
        <f t="shared" si="0"/>
        <v>9</v>
      </c>
      <c r="B21" s="12" t="s">
        <v>219</v>
      </c>
      <c r="D21" s="100"/>
      <c r="E21" s="100"/>
      <c r="F21" s="100"/>
      <c r="G21" s="100"/>
      <c r="I21" s="100"/>
      <c r="J21" s="100"/>
      <c r="K21" s="100"/>
      <c r="L21" s="578"/>
      <c r="M21" s="578"/>
      <c r="N21" s="578"/>
      <c r="O21" s="578"/>
      <c r="P21" s="107"/>
    </row>
    <row r="22" spans="1:18">
      <c r="A22" s="802">
        <f t="shared" si="0"/>
        <v>10</v>
      </c>
      <c r="C22" s="17" t="s">
        <v>689</v>
      </c>
      <c r="D22" s="1151">
        <v>518568254.1573</v>
      </c>
      <c r="E22" s="1151">
        <v>474974794.86500001</v>
      </c>
      <c r="F22" s="1151">
        <v>474974794.86500001</v>
      </c>
      <c r="G22" s="1151">
        <v>474974794.86500001</v>
      </c>
      <c r="H22" s="1151">
        <v>457758120.51499999</v>
      </c>
      <c r="I22" s="1151">
        <v>457758120.51499999</v>
      </c>
      <c r="J22" s="1151">
        <v>457758120.51499999</v>
      </c>
      <c r="K22" s="1151">
        <v>457758120.51499999</v>
      </c>
      <c r="L22" s="1151">
        <v>457758120.51499999</v>
      </c>
      <c r="M22" s="1151">
        <v>457758120.51499999</v>
      </c>
      <c r="N22" s="1151">
        <v>457758120.51499999</v>
      </c>
      <c r="O22" s="1151">
        <v>457758120.51499999</v>
      </c>
      <c r="P22" s="1151">
        <v>457758120.51499999</v>
      </c>
      <c r="Q22" s="727">
        <f>(SUM(D22:P22))/13</f>
        <v>466408901.79902309</v>
      </c>
      <c r="R22" s="768"/>
    </row>
    <row r="23" spans="1:18">
      <c r="A23" s="802">
        <f t="shared" si="0"/>
        <v>11</v>
      </c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488"/>
    </row>
    <row r="24" spans="1:18">
      <c r="A24" s="802">
        <f t="shared" si="0"/>
        <v>12</v>
      </c>
      <c r="C24" s="17" t="s">
        <v>690</v>
      </c>
      <c r="D24" s="795">
        <v>6336601.5699999994</v>
      </c>
      <c r="E24" s="795">
        <v>-43054301.840000004</v>
      </c>
      <c r="F24" s="795">
        <v>-43054301.840000004</v>
      </c>
      <c r="G24" s="795">
        <v>-43054301.840000004</v>
      </c>
      <c r="H24" s="795">
        <v>-49388136.310000002</v>
      </c>
      <c r="I24" s="795">
        <v>-25640007.445015159</v>
      </c>
      <c r="J24" s="795">
        <v>-25496903.564482722</v>
      </c>
      <c r="K24" s="795">
        <v>-26044091.677395936</v>
      </c>
      <c r="L24" s="795">
        <v>-26034738.09545039</v>
      </c>
      <c r="M24" s="795">
        <v>-26242417.628822673</v>
      </c>
      <c r="N24" s="795">
        <v>-26788271.84999885</v>
      </c>
      <c r="O24" s="795">
        <v>-26875529.26171007</v>
      </c>
      <c r="P24" s="795">
        <v>-26896374.648054112</v>
      </c>
      <c r="Q24" s="798">
        <f>(SUM(D24:P24))/13</f>
        <v>-29402521.110071532</v>
      </c>
    </row>
    <row r="25" spans="1:18" ht="14.25" customHeight="1">
      <c r="A25" s="802">
        <f t="shared" si="0"/>
        <v>13</v>
      </c>
      <c r="B25" s="486"/>
      <c r="C25" s="4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8"/>
    </row>
    <row r="26" spans="1:18">
      <c r="A26" s="802">
        <f t="shared" si="0"/>
        <v>14</v>
      </c>
      <c r="C26" s="17" t="s">
        <v>691</v>
      </c>
      <c r="D26" s="795">
        <v>28275309.789999999</v>
      </c>
      <c r="E26" s="795">
        <v>34047649.920000002</v>
      </c>
      <c r="F26" s="795">
        <v>25360195.5</v>
      </c>
      <c r="G26" s="795">
        <v>20043935.539999999</v>
      </c>
      <c r="H26" s="795">
        <v>2790655.65</v>
      </c>
      <c r="I26" s="795">
        <v>22822184.905000001</v>
      </c>
      <c r="J26" s="795">
        <v>22822184.905000001</v>
      </c>
      <c r="K26" s="795">
        <v>22822184.905000001</v>
      </c>
      <c r="L26" s="795">
        <v>22822184.905000001</v>
      </c>
      <c r="M26" s="795">
        <v>22822184.905000001</v>
      </c>
      <c r="N26" s="795">
        <v>22822184.905000001</v>
      </c>
      <c r="O26" s="795">
        <v>22822184.905000001</v>
      </c>
      <c r="P26" s="795">
        <v>22822184.905000001</v>
      </c>
      <c r="Q26" s="798">
        <f>(SUM(D26:P26))/13</f>
        <v>22545786.587692305</v>
      </c>
    </row>
    <row r="27" spans="1:18" ht="14.25" customHeight="1">
      <c r="A27" s="802">
        <f t="shared" si="0"/>
        <v>15</v>
      </c>
      <c r="B27" s="486"/>
      <c r="C27" s="4"/>
      <c r="D27" s="103"/>
      <c r="E27" s="103"/>
      <c r="F27" s="103"/>
      <c r="G27" s="103"/>
      <c r="H27" s="103"/>
      <c r="I27" s="100"/>
      <c r="J27" s="100"/>
      <c r="K27" s="100"/>
      <c r="L27" s="578"/>
      <c r="M27" s="578"/>
      <c r="N27" s="578"/>
      <c r="O27" s="578"/>
      <c r="P27" s="107"/>
    </row>
    <row r="28" spans="1:18">
      <c r="A28" s="802">
        <f t="shared" si="0"/>
        <v>16</v>
      </c>
      <c r="C28" s="26" t="s">
        <v>73</v>
      </c>
      <c r="D28" s="752">
        <f t="shared" ref="D28:P28" si="2">SUM(D22:D26)</f>
        <v>553180165.51730001</v>
      </c>
      <c r="E28" s="752">
        <f t="shared" si="2"/>
        <v>465968142.94499999</v>
      </c>
      <c r="F28" s="752">
        <f t="shared" si="2"/>
        <v>457280688.52499998</v>
      </c>
      <c r="G28" s="752">
        <f t="shared" si="2"/>
        <v>451964428.565</v>
      </c>
      <c r="H28" s="752">
        <f t="shared" si="2"/>
        <v>411160639.85499996</v>
      </c>
      <c r="I28" s="752">
        <f t="shared" si="2"/>
        <v>454940297.97498488</v>
      </c>
      <c r="J28" s="752">
        <f t="shared" si="2"/>
        <v>455083401.85551727</v>
      </c>
      <c r="K28" s="752">
        <f t="shared" si="2"/>
        <v>454536213.74260402</v>
      </c>
      <c r="L28" s="752">
        <f t="shared" si="2"/>
        <v>454545567.32454956</v>
      </c>
      <c r="M28" s="752">
        <f t="shared" si="2"/>
        <v>454337887.79117727</v>
      </c>
      <c r="N28" s="752">
        <f t="shared" si="2"/>
        <v>453792033.57000113</v>
      </c>
      <c r="O28" s="752">
        <f t="shared" si="2"/>
        <v>453704776.15828991</v>
      </c>
      <c r="P28" s="718">
        <f t="shared" si="2"/>
        <v>453683930.77194583</v>
      </c>
      <c r="Q28" s="719">
        <f>(SUM(D28:P28))/13</f>
        <v>459552167.27664399</v>
      </c>
      <c r="R28" s="798"/>
    </row>
    <row r="29" spans="1:18" ht="15.75">
      <c r="A29" s="802">
        <f t="shared" si="0"/>
        <v>17</v>
      </c>
      <c r="B29" s="12" t="s">
        <v>1137</v>
      </c>
      <c r="C29" s="26"/>
      <c r="D29" s="487"/>
      <c r="E29" s="487"/>
      <c r="F29" s="487"/>
      <c r="G29" s="102"/>
      <c r="H29" s="102"/>
      <c r="I29" s="102"/>
      <c r="J29" s="102"/>
      <c r="K29" s="102"/>
      <c r="L29" s="578"/>
      <c r="M29" s="578"/>
      <c r="N29" s="578"/>
      <c r="O29" s="578"/>
      <c r="P29" s="107"/>
    </row>
    <row r="30" spans="1:18">
      <c r="A30" s="802">
        <f t="shared" si="0"/>
        <v>18</v>
      </c>
      <c r="C30" s="17" t="s">
        <v>689</v>
      </c>
      <c r="D30" s="1151">
        <v>-410946.2</v>
      </c>
      <c r="E30" s="1151">
        <v>-410946.2</v>
      </c>
      <c r="F30" s="1151">
        <v>-410946.2</v>
      </c>
      <c r="G30" s="1151">
        <v>-410946.2</v>
      </c>
      <c r="H30" s="1151">
        <v>-410946.2</v>
      </c>
      <c r="I30" s="1151">
        <v>0</v>
      </c>
      <c r="J30" s="1151">
        <v>0</v>
      </c>
      <c r="K30" s="1151">
        <v>0</v>
      </c>
      <c r="L30" s="1151">
        <v>0</v>
      </c>
      <c r="M30" s="1151">
        <v>0</v>
      </c>
      <c r="N30" s="1151">
        <v>0</v>
      </c>
      <c r="O30" s="1151">
        <v>0</v>
      </c>
      <c r="P30" s="1151">
        <v>0</v>
      </c>
      <c r="Q30" s="727">
        <f>(SUM(D30:P30))/13</f>
        <v>-158056.23076923078</v>
      </c>
    </row>
    <row r="31" spans="1:18">
      <c r="A31" s="802">
        <f t="shared" si="0"/>
        <v>19</v>
      </c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488"/>
    </row>
    <row r="32" spans="1:18">
      <c r="A32" s="802">
        <f t="shared" si="0"/>
        <v>20</v>
      </c>
      <c r="C32" s="17" t="s">
        <v>690</v>
      </c>
      <c r="D32" s="795">
        <v>-30484020.719999999</v>
      </c>
      <c r="E32" s="795">
        <v>-30484020.719999999</v>
      </c>
      <c r="F32" s="795">
        <v>-30484020.719999999</v>
      </c>
      <c r="G32" s="795">
        <v>-30484020.719999999</v>
      </c>
      <c r="H32" s="795">
        <v>-30484020.719999999</v>
      </c>
      <c r="I32" s="795">
        <v>-30405842.113077439</v>
      </c>
      <c r="J32" s="795">
        <v>-30446132.828228064</v>
      </c>
      <c r="K32" s="795">
        <v>-30442639.107992616</v>
      </c>
      <c r="L32" s="795">
        <v>-30334938.3994147</v>
      </c>
      <c r="M32" s="795">
        <v>-30227262.420225274</v>
      </c>
      <c r="N32" s="795">
        <v>-30119703.409056645</v>
      </c>
      <c r="O32" s="795">
        <v>-30013296.446212091</v>
      </c>
      <c r="P32" s="795">
        <v>-29890316.218740851</v>
      </c>
      <c r="Q32" s="798">
        <f>(SUM(D32:P32))/13</f>
        <v>-30330787.272534434</v>
      </c>
    </row>
    <row r="33" spans="1:18">
      <c r="A33" s="802">
        <f t="shared" si="0"/>
        <v>21</v>
      </c>
      <c r="B33" s="486"/>
      <c r="C33" s="4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488"/>
    </row>
    <row r="34" spans="1:18">
      <c r="A34" s="802">
        <f t="shared" si="0"/>
        <v>22</v>
      </c>
      <c r="C34" s="17" t="s">
        <v>691</v>
      </c>
      <c r="D34" s="795">
        <v>0</v>
      </c>
      <c r="E34" s="795">
        <v>0</v>
      </c>
      <c r="F34" s="795">
        <v>0</v>
      </c>
      <c r="G34" s="795">
        <v>0</v>
      </c>
      <c r="H34" s="795">
        <v>0</v>
      </c>
      <c r="I34" s="795">
        <v>0</v>
      </c>
      <c r="J34" s="795">
        <v>0</v>
      </c>
      <c r="K34" s="795">
        <v>0</v>
      </c>
      <c r="L34" s="795">
        <v>0</v>
      </c>
      <c r="M34" s="795">
        <v>0</v>
      </c>
      <c r="N34" s="795">
        <v>0</v>
      </c>
      <c r="O34" s="795">
        <v>0</v>
      </c>
      <c r="P34" s="795">
        <v>0</v>
      </c>
      <c r="Q34" s="798">
        <f>(SUM(D34:P34))/13</f>
        <v>0</v>
      </c>
    </row>
    <row r="35" spans="1:18">
      <c r="A35" s="802">
        <f t="shared" si="0"/>
        <v>23</v>
      </c>
      <c r="B35" s="486"/>
      <c r="C35" s="4"/>
      <c r="D35" s="103"/>
      <c r="E35" s="103"/>
      <c r="F35" s="103"/>
      <c r="G35" s="103"/>
      <c r="H35" s="103"/>
      <c r="I35" s="100"/>
      <c r="J35" s="100"/>
      <c r="K35" s="100"/>
      <c r="L35" s="578"/>
      <c r="M35" s="578"/>
      <c r="N35" s="578"/>
      <c r="O35" s="578"/>
      <c r="P35" s="107"/>
    </row>
    <row r="36" spans="1:18">
      <c r="A36" s="802">
        <f t="shared" si="0"/>
        <v>24</v>
      </c>
      <c r="C36" s="26" t="s">
        <v>735</v>
      </c>
      <c r="D36" s="752">
        <f t="shared" ref="D36:P36" si="3">SUM(D30:D34)</f>
        <v>-30894966.919999998</v>
      </c>
      <c r="E36" s="752">
        <f t="shared" si="3"/>
        <v>-30894966.919999998</v>
      </c>
      <c r="F36" s="752">
        <f t="shared" si="3"/>
        <v>-30894966.919999998</v>
      </c>
      <c r="G36" s="752">
        <f t="shared" si="3"/>
        <v>-30894966.919999998</v>
      </c>
      <c r="H36" s="752">
        <f t="shared" si="3"/>
        <v>-30894966.919999998</v>
      </c>
      <c r="I36" s="752">
        <f t="shared" si="3"/>
        <v>-30405842.113077439</v>
      </c>
      <c r="J36" s="752">
        <f t="shared" si="3"/>
        <v>-30446132.828228064</v>
      </c>
      <c r="K36" s="752">
        <f>SUM(K30:K34)</f>
        <v>-30442639.107992616</v>
      </c>
      <c r="L36" s="752">
        <f t="shared" si="3"/>
        <v>-30334938.3994147</v>
      </c>
      <c r="M36" s="752">
        <f t="shared" si="3"/>
        <v>-30227262.420225274</v>
      </c>
      <c r="N36" s="752">
        <f t="shared" si="3"/>
        <v>-30119703.409056645</v>
      </c>
      <c r="O36" s="752">
        <f t="shared" si="3"/>
        <v>-30013296.446212091</v>
      </c>
      <c r="P36" s="718">
        <f t="shared" si="3"/>
        <v>-29890316.218740851</v>
      </c>
      <c r="Q36" s="719">
        <f>(SUM(D36:P36))/13</f>
        <v>-30488843.503303666</v>
      </c>
      <c r="R36" s="798"/>
    </row>
    <row r="37" spans="1:18">
      <c r="A37" s="802">
        <f t="shared" si="0"/>
        <v>25</v>
      </c>
      <c r="C37" s="26"/>
      <c r="D37" s="103"/>
      <c r="E37" s="103"/>
      <c r="F37" s="103"/>
      <c r="G37" s="100"/>
      <c r="I37" s="100"/>
      <c r="J37" s="100"/>
      <c r="K37" s="100"/>
      <c r="L37" s="578"/>
      <c r="M37" s="578"/>
      <c r="N37" s="578"/>
      <c r="O37" s="578"/>
      <c r="P37" s="107"/>
    </row>
    <row r="38" spans="1:18" ht="15.75">
      <c r="A38" s="802">
        <f t="shared" si="0"/>
        <v>26</v>
      </c>
      <c r="B38" s="12" t="s">
        <v>692</v>
      </c>
      <c r="D38" s="100"/>
      <c r="E38" s="100"/>
      <c r="F38" s="100"/>
      <c r="G38" s="100"/>
      <c r="I38" s="100"/>
      <c r="J38" s="100"/>
      <c r="K38" s="100"/>
      <c r="L38" s="578"/>
      <c r="M38" s="578"/>
      <c r="N38" s="578"/>
      <c r="O38" s="578"/>
      <c r="P38" s="107"/>
    </row>
    <row r="39" spans="1:18">
      <c r="A39" s="802">
        <f t="shared" si="0"/>
        <v>27</v>
      </c>
      <c r="C39" s="17" t="s">
        <v>689</v>
      </c>
      <c r="D39" s="1151">
        <v>7277330.21</v>
      </c>
      <c r="E39" s="1151">
        <v>7277330.21</v>
      </c>
      <c r="F39" s="1151">
        <v>7277330.21</v>
      </c>
      <c r="G39" s="1151">
        <v>7277330.21</v>
      </c>
      <c r="H39" s="1151">
        <v>7277330.21</v>
      </c>
      <c r="I39" s="1151">
        <v>5978139.7250000006</v>
      </c>
      <c r="J39" s="1151">
        <v>5978139.7250000006</v>
      </c>
      <c r="K39" s="1151">
        <v>5978139.7250000006</v>
      </c>
      <c r="L39" s="1151">
        <v>5978139.7250000006</v>
      </c>
      <c r="M39" s="1151">
        <v>5978139.7250000006</v>
      </c>
      <c r="N39" s="1151">
        <v>5978139.7250000006</v>
      </c>
      <c r="O39" s="1151">
        <v>5978139.7250000006</v>
      </c>
      <c r="P39" s="1151">
        <v>5978139.7250000006</v>
      </c>
      <c r="Q39" s="727">
        <f>(SUM(D39:P39))/13</f>
        <v>6477828.3730769223</v>
      </c>
    </row>
    <row r="40" spans="1:18">
      <c r="A40" s="802">
        <f t="shared" si="0"/>
        <v>28</v>
      </c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488"/>
    </row>
    <row r="41" spans="1:18">
      <c r="A41" s="802">
        <f t="shared" si="0"/>
        <v>29</v>
      </c>
      <c r="C41" s="17" t="s">
        <v>690</v>
      </c>
      <c r="D41" s="795">
        <v>-3887598.51</v>
      </c>
      <c r="E41" s="795">
        <v>-10301750.109999999</v>
      </c>
      <c r="F41" s="795">
        <v>-10301750.109999999</v>
      </c>
      <c r="G41" s="795">
        <v>-10301750.109999999</v>
      </c>
      <c r="H41" s="795">
        <v>-4144277.2600000007</v>
      </c>
      <c r="I41" s="795">
        <v>-5471535.5206801444</v>
      </c>
      <c r="J41" s="795">
        <v>-5425163.31744189</v>
      </c>
      <c r="K41" s="795">
        <v>-5447345.2972033788</v>
      </c>
      <c r="L41" s="795">
        <v>-5445300.4229961839</v>
      </c>
      <c r="M41" s="795">
        <v>-5443255.5487889871</v>
      </c>
      <c r="N41" s="795">
        <v>-5441210.6745817903</v>
      </c>
      <c r="O41" s="795">
        <v>-5439165.8003745954</v>
      </c>
      <c r="P41" s="795">
        <v>-5437120.9261673987</v>
      </c>
      <c r="Q41" s="798">
        <f>(SUM(D41:P41))/13</f>
        <v>-6345171.0467872582</v>
      </c>
    </row>
    <row r="42" spans="1:18">
      <c r="A42" s="802">
        <f t="shared" si="0"/>
        <v>30</v>
      </c>
      <c r="B42" s="2"/>
      <c r="C42" s="4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488"/>
    </row>
    <row r="43" spans="1:18">
      <c r="A43" s="802">
        <f t="shared" si="0"/>
        <v>31</v>
      </c>
      <c r="C43" s="17" t="s">
        <v>691</v>
      </c>
      <c r="D43" s="795">
        <v>-1768233.01</v>
      </c>
      <c r="E43" s="795">
        <v>-1768233.01</v>
      </c>
      <c r="F43" s="795">
        <v>-1768233.01</v>
      </c>
      <c r="G43" s="795">
        <v>-1768233.01</v>
      </c>
      <c r="H43" s="795">
        <v>-1768233.01</v>
      </c>
      <c r="I43" s="795">
        <v>-1472160.1949999998</v>
      </c>
      <c r="J43" s="795">
        <v>-1472160.1949999998</v>
      </c>
      <c r="K43" s="795">
        <v>-1472160.1949999998</v>
      </c>
      <c r="L43" s="795">
        <v>-1472160.1949999998</v>
      </c>
      <c r="M43" s="795">
        <v>-1472160.1949999998</v>
      </c>
      <c r="N43" s="795">
        <v>-1472160.1949999998</v>
      </c>
      <c r="O43" s="795">
        <v>-1472160.1949999998</v>
      </c>
      <c r="P43" s="795">
        <v>-1472160.1949999998</v>
      </c>
      <c r="Q43" s="798">
        <f>(SUM(D43:P43))/13</f>
        <v>-1586034.3546153849</v>
      </c>
    </row>
    <row r="44" spans="1:18">
      <c r="A44" s="802">
        <f t="shared" si="0"/>
        <v>32</v>
      </c>
      <c r="C44" s="4"/>
      <c r="D44" s="795"/>
      <c r="E44" s="795"/>
      <c r="F44" s="795"/>
      <c r="G44" s="795"/>
      <c r="H44" s="795"/>
      <c r="I44" s="795"/>
      <c r="J44" s="795"/>
      <c r="K44" s="795"/>
      <c r="L44" s="797"/>
      <c r="M44" s="797"/>
      <c r="N44" s="797"/>
      <c r="O44" s="797"/>
      <c r="P44" s="797"/>
      <c r="Q44" s="488"/>
    </row>
    <row r="45" spans="1:18">
      <c r="A45" s="802">
        <f t="shared" si="0"/>
        <v>33</v>
      </c>
      <c r="C45" s="810" t="s">
        <v>453</v>
      </c>
      <c r="D45" s="795">
        <v>-11421</v>
      </c>
      <c r="E45" s="795">
        <v>-11421</v>
      </c>
      <c r="F45" s="795">
        <v>-11421</v>
      </c>
      <c r="G45" s="795">
        <v>-11421</v>
      </c>
      <c r="H45" s="795">
        <v>-11421</v>
      </c>
      <c r="I45" s="795">
        <v>-11421</v>
      </c>
      <c r="J45" s="795">
        <v>-11421</v>
      </c>
      <c r="K45" s="795">
        <f>J45</f>
        <v>-11421</v>
      </c>
      <c r="L45" s="795">
        <f t="shared" ref="L45:P45" si="4">K45</f>
        <v>-11421</v>
      </c>
      <c r="M45" s="795">
        <f t="shared" si="4"/>
        <v>-11421</v>
      </c>
      <c r="N45" s="795">
        <f t="shared" si="4"/>
        <v>-11421</v>
      </c>
      <c r="O45" s="795">
        <f t="shared" si="4"/>
        <v>-11421</v>
      </c>
      <c r="P45" s="795">
        <f t="shared" si="4"/>
        <v>-11421</v>
      </c>
      <c r="Q45" s="798">
        <f>(SUM(D45:P45))/13</f>
        <v>-11421</v>
      </c>
    </row>
    <row r="46" spans="1:18">
      <c r="A46" s="802">
        <f t="shared" si="0"/>
        <v>34</v>
      </c>
      <c r="B46" s="486"/>
      <c r="C46" s="4"/>
      <c r="D46" s="103"/>
      <c r="E46" s="63"/>
      <c r="F46" s="63"/>
      <c r="G46" s="103"/>
      <c r="H46" s="103"/>
      <c r="I46" s="100"/>
      <c r="J46" s="100"/>
      <c r="K46" s="100"/>
      <c r="L46" s="489"/>
      <c r="M46" s="578"/>
      <c r="N46" s="578"/>
      <c r="O46" s="578"/>
      <c r="P46" s="578"/>
    </row>
    <row r="47" spans="1:18">
      <c r="A47" s="802">
        <f t="shared" si="0"/>
        <v>35</v>
      </c>
      <c r="C47" s="26" t="s">
        <v>452</v>
      </c>
      <c r="D47" s="752">
        <f>SUM(D39:D46)</f>
        <v>1610077.6900000002</v>
      </c>
      <c r="E47" s="752">
        <f t="shared" ref="E47:P47" si="5">SUM(E39:E46)</f>
        <v>-4804073.9099999992</v>
      </c>
      <c r="F47" s="752">
        <f t="shared" si="5"/>
        <v>-4804073.9099999992</v>
      </c>
      <c r="G47" s="752">
        <f t="shared" si="5"/>
        <v>-4804073.9099999992</v>
      </c>
      <c r="H47" s="752">
        <f t="shared" si="5"/>
        <v>1353398.9399999992</v>
      </c>
      <c r="I47" s="752">
        <f t="shared" si="5"/>
        <v>-976976.9906801437</v>
      </c>
      <c r="J47" s="752">
        <f t="shared" si="5"/>
        <v>-930604.78744188929</v>
      </c>
      <c r="K47" s="752">
        <f t="shared" si="5"/>
        <v>-952786.76720337803</v>
      </c>
      <c r="L47" s="752">
        <f t="shared" si="5"/>
        <v>-950741.89299618313</v>
      </c>
      <c r="M47" s="752">
        <f t="shared" si="5"/>
        <v>-948697.01878898637</v>
      </c>
      <c r="N47" s="752">
        <f t="shared" si="5"/>
        <v>-946652.14458178962</v>
      </c>
      <c r="O47" s="752">
        <f t="shared" si="5"/>
        <v>-944607.27037459472</v>
      </c>
      <c r="P47" s="752">
        <f t="shared" si="5"/>
        <v>-942562.39616739796</v>
      </c>
      <c r="Q47" s="719">
        <f>(SUM(D47:P47))/13</f>
        <v>-1464798.02832572</v>
      </c>
      <c r="R47" s="798"/>
    </row>
    <row r="48" spans="1:18">
      <c r="A48" s="802">
        <f t="shared" si="0"/>
        <v>36</v>
      </c>
      <c r="D48" s="47"/>
      <c r="E48" s="47"/>
      <c r="F48" s="47"/>
      <c r="G48" s="47"/>
      <c r="I48" s="47"/>
      <c r="J48" s="47"/>
      <c r="K48" s="47"/>
      <c r="L48" s="100"/>
      <c r="M48" s="107"/>
      <c r="N48" s="107"/>
      <c r="O48" s="107"/>
      <c r="P48" s="578"/>
    </row>
    <row r="49" spans="1:17" ht="15.75" thickBot="1">
      <c r="A49" s="802">
        <f t="shared" si="0"/>
        <v>37</v>
      </c>
      <c r="B49" s="47"/>
      <c r="C49" s="1" t="s">
        <v>101</v>
      </c>
      <c r="D49" s="422">
        <f>D47+D36+D28+D19</f>
        <v>454989549.18729997</v>
      </c>
      <c r="E49" s="422">
        <f t="shared" ref="E49:P49" si="6">E47+E36+E28+E19</f>
        <v>361363375.01499999</v>
      </c>
      <c r="F49" s="422">
        <f t="shared" si="6"/>
        <v>352675920.59500003</v>
      </c>
      <c r="G49" s="422">
        <f t="shared" si="6"/>
        <v>347359660.63499999</v>
      </c>
      <c r="H49" s="422">
        <f t="shared" si="6"/>
        <v>312713344.77499998</v>
      </c>
      <c r="I49" s="422">
        <f t="shared" si="6"/>
        <v>352650129.02869529</v>
      </c>
      <c r="J49" s="422">
        <f t="shared" si="6"/>
        <v>351747889.10507125</v>
      </c>
      <c r="K49" s="422">
        <f t="shared" si="6"/>
        <v>347657482.74705958</v>
      </c>
      <c r="L49" s="425">
        <f t="shared" si="6"/>
        <v>346820587.49872482</v>
      </c>
      <c r="M49" s="425">
        <f t="shared" si="6"/>
        <v>345632599.79997051</v>
      </c>
      <c r="N49" s="425">
        <f t="shared" si="6"/>
        <v>343805216.75024927</v>
      </c>
      <c r="O49" s="425">
        <f t="shared" si="6"/>
        <v>342866304.65947783</v>
      </c>
      <c r="P49" s="425">
        <f t="shared" si="6"/>
        <v>341912834.17137706</v>
      </c>
      <c r="Q49" s="422">
        <f>(SUM(D49:P49))/13</f>
        <v>354014991.84368652</v>
      </c>
    </row>
    <row r="50" spans="1:17" ht="15.75" thickTop="1">
      <c r="A50" s="47"/>
      <c r="B50" s="47"/>
      <c r="L50" s="107"/>
      <c r="M50" s="107"/>
      <c r="N50" s="107"/>
      <c r="O50" s="107"/>
      <c r="P50" s="10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1536</v>
      </c>
    </row>
    <row r="53" spans="1:17">
      <c r="A53" s="47"/>
      <c r="B53" s="47"/>
    </row>
    <row r="54" spans="1:17">
      <c r="A54" s="47"/>
      <c r="B54" s="47"/>
    </row>
    <row r="55" spans="1:17">
      <c r="A55" s="47"/>
      <c r="B55" s="47"/>
    </row>
    <row r="56" spans="1:17">
      <c r="A56" s="47"/>
      <c r="B56" s="47"/>
    </row>
    <row r="57" spans="1:17">
      <c r="D57" s="768"/>
    </row>
    <row r="58" spans="1:17">
      <c r="D58" s="768"/>
    </row>
    <row r="59" spans="1:17">
      <c r="D59" s="768"/>
    </row>
    <row r="61" spans="1:17">
      <c r="H61" s="1"/>
    </row>
    <row r="62" spans="1:17">
      <c r="H62" s="1"/>
    </row>
    <row r="63" spans="1:17">
      <c r="H63" s="1"/>
    </row>
    <row r="64" spans="1:17">
      <c r="C64" s="119"/>
      <c r="H64" s="1"/>
    </row>
    <row r="65" spans="3:16">
      <c r="C65" s="488"/>
      <c r="H65" s="1"/>
    </row>
    <row r="66" spans="3:16">
      <c r="H66" s="1"/>
    </row>
    <row r="69" spans="3:16">
      <c r="H69" s="1"/>
      <c r="K69" s="107"/>
    </row>
    <row r="70" spans="3:16">
      <c r="H70" s="1"/>
      <c r="K70" s="107"/>
    </row>
    <row r="71" spans="3:16">
      <c r="H71" s="1"/>
      <c r="K71" s="107"/>
    </row>
    <row r="72" spans="3:16">
      <c r="C72" s="119"/>
      <c r="H72" s="1"/>
      <c r="K72" s="107"/>
    </row>
    <row r="74" spans="3:16">
      <c r="H74" s="1"/>
      <c r="K74" s="119"/>
      <c r="L74" s="119"/>
      <c r="M74" s="119"/>
      <c r="N74" s="119"/>
      <c r="O74" s="119"/>
      <c r="P74" s="119"/>
    </row>
    <row r="78" spans="3:16">
      <c r="K78" s="768"/>
    </row>
  </sheetData>
  <mergeCells count="3">
    <mergeCell ref="A1:Q1"/>
    <mergeCell ref="A2:Q2"/>
    <mergeCell ref="A3:Q3"/>
  </mergeCells>
  <phoneticPr fontId="24" type="noConversion"/>
  <printOptions horizontalCentered="1"/>
  <pageMargins left="0.33" right="0.33" top="0.93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8.44140625" defaultRowHeight="15"/>
  <cols>
    <col min="1" max="1" width="5" style="1" customWidth="1"/>
    <col min="2" max="2" width="5.6640625" style="1" customWidth="1"/>
    <col min="3" max="3" width="49.33203125" style="1" bestFit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7" width="13.109375" style="1" bestFit="1" customWidth="1"/>
    <col min="18" max="18" width="9.33203125" style="1" bestFit="1" customWidth="1"/>
    <col min="19" max="16384" width="8.44140625" style="1"/>
  </cols>
  <sheetData>
    <row r="1" spans="1:17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</row>
    <row r="2" spans="1:17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</row>
    <row r="3" spans="1:17">
      <c r="A3" s="1253" t="s">
        <v>525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</row>
    <row r="4" spans="1:17">
      <c r="A4" s="1253" t="str">
        <f>Allocation!A3</f>
        <v>Base Period: Twelve Months Ended February 29, 2016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</row>
    <row r="5" spans="1:17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6"/>
      <c r="F9" s="2"/>
      <c r="G9" s="2"/>
      <c r="H9" s="101"/>
      <c r="I9" s="2"/>
      <c r="J9" s="296"/>
      <c r="K9" s="2"/>
    </row>
    <row r="10" spans="1:17">
      <c r="A10" s="2" t="s">
        <v>98</v>
      </c>
      <c r="B10" s="2" t="s">
        <v>99</v>
      </c>
      <c r="D10" s="76" t="s">
        <v>467</v>
      </c>
      <c r="E10" s="1045" t="s">
        <v>467</v>
      </c>
      <c r="F10" s="1045" t="s">
        <v>467</v>
      </c>
      <c r="G10" s="1045" t="s">
        <v>467</v>
      </c>
      <c r="H10" s="1045" t="s">
        <v>467</v>
      </c>
      <c r="I10" s="76" t="s">
        <v>1242</v>
      </c>
      <c r="J10" s="76" t="s">
        <v>1242</v>
      </c>
      <c r="K10" s="76" t="s">
        <v>1242</v>
      </c>
      <c r="L10" s="76" t="s">
        <v>1242</v>
      </c>
      <c r="M10" s="76" t="s">
        <v>1242</v>
      </c>
      <c r="N10" s="76" t="s">
        <v>1242</v>
      </c>
      <c r="O10" s="76" t="s">
        <v>1242</v>
      </c>
      <c r="P10" s="76" t="s">
        <v>1242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47">
        <f>'WP B.4.1F'!C8</f>
        <v>42520</v>
      </c>
      <c r="E11" s="447">
        <f>'WP B.4.1F'!D8</f>
        <v>42551</v>
      </c>
      <c r="F11" s="447">
        <f>'WP B.4.1F'!E8</f>
        <v>42582</v>
      </c>
      <c r="G11" s="447">
        <f>'WP B.4.1F'!F8</f>
        <v>42613</v>
      </c>
      <c r="H11" s="447">
        <f>'WP B.4.1F'!G8</f>
        <v>42643</v>
      </c>
      <c r="I11" s="447">
        <f>'WP B.4.1F'!H8</f>
        <v>42674</v>
      </c>
      <c r="J11" s="447">
        <f>'WP B.4.1F'!I8</f>
        <v>42704</v>
      </c>
      <c r="K11" s="447">
        <f>'WP B.4.1F'!J8</f>
        <v>42735</v>
      </c>
      <c r="L11" s="447">
        <f>'WP B.4.1F'!K8</f>
        <v>42766</v>
      </c>
      <c r="M11" s="447">
        <f>'WP B.4.1F'!L8</f>
        <v>42794</v>
      </c>
      <c r="N11" s="447">
        <f>'WP B.4.1F'!M8</f>
        <v>42825</v>
      </c>
      <c r="O11" s="447">
        <f>'WP B.4.1F'!N8</f>
        <v>42855</v>
      </c>
      <c r="P11" s="447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C13" s="17" t="s">
        <v>689</v>
      </c>
      <c r="D13" s="424">
        <v>1912246.3199999998</v>
      </c>
      <c r="E13" s="424">
        <v>1912246.3199999998</v>
      </c>
      <c r="F13" s="424">
        <v>1912246.3199999998</v>
      </c>
      <c r="G13" s="424">
        <v>1912246.3199999998</v>
      </c>
      <c r="H13" s="424">
        <v>1912246.3199999998</v>
      </c>
      <c r="I13" s="424">
        <v>1912246.3199999998</v>
      </c>
      <c r="J13" s="424">
        <v>1912246.3199999998</v>
      </c>
      <c r="K13" s="424">
        <v>1912246.3199999998</v>
      </c>
      <c r="L13" s="424">
        <v>1912246.3199999998</v>
      </c>
      <c r="M13" s="424">
        <v>1912246.3199999998</v>
      </c>
      <c r="N13" s="424">
        <v>1912246.3199999998</v>
      </c>
      <c r="O13" s="424">
        <v>1912246.3199999998</v>
      </c>
      <c r="P13" s="424">
        <v>1912246.3199999998</v>
      </c>
      <c r="Q13" s="382">
        <f>(SUM(D13:P13))/13</f>
        <v>1912246.32</v>
      </c>
    </row>
    <row r="14" spans="1:17" ht="14.25" customHeight="1">
      <c r="A14" s="2">
        <f>A13+1</f>
        <v>2</v>
      </c>
      <c r="B14" s="486"/>
      <c r="C14" s="4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391"/>
    </row>
    <row r="15" spans="1:17">
      <c r="A15" s="802">
        <f t="shared" ref="A15:A49" si="0">A14+1</f>
        <v>3</v>
      </c>
      <c r="C15" s="17" t="s">
        <v>690</v>
      </c>
      <c r="D15" s="489">
        <v>-86576320.299222499</v>
      </c>
      <c r="E15" s="489">
        <v>-92508735.930531621</v>
      </c>
      <c r="F15" s="489">
        <v>-93755783.454922184</v>
      </c>
      <c r="G15" s="489">
        <v>-94657456.219651341</v>
      </c>
      <c r="H15" s="489">
        <v>-95718043.595163092</v>
      </c>
      <c r="I15" s="489">
        <v>-96327522.297763616</v>
      </c>
      <c r="J15" s="489">
        <v>-96965706.890161738</v>
      </c>
      <c r="K15" s="489">
        <v>-97612342.280179217</v>
      </c>
      <c r="L15" s="489">
        <v>-98091259.943018571</v>
      </c>
      <c r="M15" s="489">
        <v>-98479190.618180528</v>
      </c>
      <c r="N15" s="489">
        <v>-98777047.536207855</v>
      </c>
      <c r="O15" s="489">
        <v>-98941650.182732195</v>
      </c>
      <c r="P15" s="489">
        <v>-99006302.007768542</v>
      </c>
      <c r="Q15" s="391">
        <f t="shared" ref="Q15:Q41" si="1">(SUM(D15:P15))/13</f>
        <v>-95955181.635038689</v>
      </c>
    </row>
    <row r="16" spans="1:17" ht="14.25" customHeight="1">
      <c r="A16" s="802">
        <f t="shared" si="0"/>
        <v>4</v>
      </c>
      <c r="B16" s="486"/>
      <c r="C16" s="4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391"/>
    </row>
    <row r="17" spans="1:18">
      <c r="A17" s="802">
        <f t="shared" si="0"/>
        <v>5</v>
      </c>
      <c r="C17" s="17" t="s">
        <v>691</v>
      </c>
      <c r="D17" s="489">
        <v>-96035.15</v>
      </c>
      <c r="E17" s="489">
        <v>-96035.15</v>
      </c>
      <c r="F17" s="489">
        <v>-96035.15</v>
      </c>
      <c r="G17" s="489">
        <v>-96035.15</v>
      </c>
      <c r="H17" s="489">
        <v>-96035.15</v>
      </c>
      <c r="I17" s="489">
        <v>-96035.15</v>
      </c>
      <c r="J17" s="489">
        <v>-96035.15</v>
      </c>
      <c r="K17" s="489">
        <v>-96035.15</v>
      </c>
      <c r="L17" s="489">
        <v>-96035.15</v>
      </c>
      <c r="M17" s="489">
        <v>-96035.15</v>
      </c>
      <c r="N17" s="489">
        <v>-96035.15</v>
      </c>
      <c r="O17" s="489">
        <v>-96035.15</v>
      </c>
      <c r="P17" s="489">
        <v>-96035.15</v>
      </c>
      <c r="Q17" s="391">
        <f t="shared" si="1"/>
        <v>-96035.15</v>
      </c>
    </row>
    <row r="18" spans="1:18" ht="14.25" customHeight="1">
      <c r="A18" s="802">
        <f t="shared" si="0"/>
        <v>6</v>
      </c>
      <c r="B18" s="486"/>
      <c r="C18" s="4"/>
      <c r="D18" s="489"/>
      <c r="E18" s="489"/>
      <c r="F18" s="489"/>
      <c r="G18" s="489"/>
      <c r="H18" s="489"/>
      <c r="I18" s="493"/>
      <c r="J18" s="493"/>
      <c r="K18" s="493"/>
      <c r="L18" s="489"/>
      <c r="M18" s="578"/>
      <c r="N18" s="578"/>
      <c r="O18" s="578"/>
      <c r="P18" s="578"/>
      <c r="Q18" s="391"/>
    </row>
    <row r="19" spans="1:18">
      <c r="A19" s="802">
        <f t="shared" si="0"/>
        <v>7</v>
      </c>
      <c r="C19" s="26" t="s">
        <v>31</v>
      </c>
      <c r="D19" s="752">
        <f t="shared" ref="D19:P19" si="2">SUM(D13:D17)</f>
        <v>-84760109.129222512</v>
      </c>
      <c r="E19" s="752">
        <f t="shared" si="2"/>
        <v>-90692524.760531634</v>
      </c>
      <c r="F19" s="752">
        <f t="shared" si="2"/>
        <v>-91939572.284922197</v>
      </c>
      <c r="G19" s="752">
        <f t="shared" si="2"/>
        <v>-92841245.049651355</v>
      </c>
      <c r="H19" s="752">
        <f t="shared" si="2"/>
        <v>-93901832.425163105</v>
      </c>
      <c r="I19" s="752">
        <f t="shared" si="2"/>
        <v>-94511311.127763629</v>
      </c>
      <c r="J19" s="752">
        <f t="shared" si="2"/>
        <v>-95149495.720161751</v>
      </c>
      <c r="K19" s="752">
        <f t="shared" si="2"/>
        <v>-95796131.110179231</v>
      </c>
      <c r="L19" s="752">
        <f t="shared" si="2"/>
        <v>-96275048.773018584</v>
      </c>
      <c r="M19" s="752">
        <f t="shared" si="2"/>
        <v>-96662979.448180541</v>
      </c>
      <c r="N19" s="752">
        <f t="shared" si="2"/>
        <v>-96960836.366207868</v>
      </c>
      <c r="O19" s="752">
        <f t="shared" si="2"/>
        <v>-97125439.012732208</v>
      </c>
      <c r="P19" s="752">
        <f t="shared" si="2"/>
        <v>-97190090.837768555</v>
      </c>
      <c r="Q19" s="382">
        <f t="shared" si="1"/>
        <v>-94138970.465038702</v>
      </c>
      <c r="R19" s="798"/>
    </row>
    <row r="20" spans="1:18" ht="14.25" customHeight="1">
      <c r="A20" s="802">
        <f t="shared" si="0"/>
        <v>8</v>
      </c>
      <c r="B20" s="486"/>
      <c r="C20" s="4"/>
      <c r="D20" s="489"/>
      <c r="E20" s="489"/>
      <c r="F20" s="489"/>
      <c r="G20" s="489"/>
      <c r="H20" s="489"/>
      <c r="I20" s="493"/>
      <c r="J20" s="493"/>
      <c r="K20" s="493"/>
      <c r="L20" s="489"/>
      <c r="M20" s="578"/>
      <c r="N20" s="578"/>
      <c r="O20" s="578"/>
      <c r="P20" s="578"/>
      <c r="Q20" s="391"/>
    </row>
    <row r="21" spans="1:18" ht="15.75">
      <c r="A21" s="802">
        <f t="shared" si="0"/>
        <v>9</v>
      </c>
      <c r="B21" s="12" t="s">
        <v>219</v>
      </c>
      <c r="D21" s="493"/>
      <c r="E21" s="493"/>
      <c r="F21" s="493"/>
      <c r="G21" s="493"/>
      <c r="H21" s="493"/>
      <c r="I21" s="493"/>
      <c r="J21" s="493"/>
      <c r="K21" s="493"/>
      <c r="L21" s="493"/>
      <c r="M21" s="578"/>
      <c r="N21" s="578"/>
      <c r="O21" s="578"/>
      <c r="P21" s="578"/>
      <c r="Q21" s="391"/>
    </row>
    <row r="22" spans="1:18">
      <c r="A22" s="802">
        <f t="shared" si="0"/>
        <v>10</v>
      </c>
      <c r="C22" s="17" t="s">
        <v>689</v>
      </c>
      <c r="D22" s="424">
        <v>457758120.51499999</v>
      </c>
      <c r="E22" s="424">
        <v>457758120.51499999</v>
      </c>
      <c r="F22" s="424">
        <v>457758120.51499999</v>
      </c>
      <c r="G22" s="424">
        <v>457758120.51499999</v>
      </c>
      <c r="H22" s="424">
        <v>457758120.51499999</v>
      </c>
      <c r="I22" s="424">
        <v>457758120.51499999</v>
      </c>
      <c r="J22" s="424">
        <v>457758120.51499999</v>
      </c>
      <c r="K22" s="424">
        <v>457758120.51499999</v>
      </c>
      <c r="L22" s="424">
        <v>457758120.51499999</v>
      </c>
      <c r="M22" s="424">
        <v>457758120.51499999</v>
      </c>
      <c r="N22" s="424">
        <v>457758120.51499999</v>
      </c>
      <c r="O22" s="424">
        <v>457758120.51499999</v>
      </c>
      <c r="P22" s="424">
        <v>457758120.51499999</v>
      </c>
      <c r="Q22" s="382">
        <f t="shared" si="1"/>
        <v>457758120.51500005</v>
      </c>
    </row>
    <row r="23" spans="1:18">
      <c r="A23" s="802">
        <f t="shared" si="0"/>
        <v>11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391"/>
    </row>
    <row r="24" spans="1:18">
      <c r="A24" s="802">
        <f t="shared" si="0"/>
        <v>12</v>
      </c>
      <c r="C24" s="17" t="s">
        <v>690</v>
      </c>
      <c r="D24" s="489">
        <v>-26692353.744408976</v>
      </c>
      <c r="E24" s="489">
        <v>-26542925.331635792</v>
      </c>
      <c r="F24" s="489">
        <v>-26378338.797771096</v>
      </c>
      <c r="G24" s="489">
        <v>-26301989.362816121</v>
      </c>
      <c r="H24" s="489">
        <v>-26236466.044171009</v>
      </c>
      <c r="I24" s="489">
        <v>-26231489.905429967</v>
      </c>
      <c r="J24" s="489">
        <v>-26368831.592140358</v>
      </c>
      <c r="K24" s="489">
        <v>-26670881.523333784</v>
      </c>
      <c r="L24" s="489">
        <v>-26711864.126222894</v>
      </c>
      <c r="M24" s="489">
        <v>-26720923.77786056</v>
      </c>
      <c r="N24" s="489">
        <v>-26719602.724741708</v>
      </c>
      <c r="O24" s="489">
        <v>-26703718.174580779</v>
      </c>
      <c r="P24" s="489">
        <v>-26699471.99418591</v>
      </c>
      <c r="Q24" s="391">
        <f t="shared" si="1"/>
        <v>-26536835.161484536</v>
      </c>
    </row>
    <row r="25" spans="1:18" ht="14.25" customHeight="1">
      <c r="A25" s="802">
        <f t="shared" si="0"/>
        <v>13</v>
      </c>
      <c r="B25" s="486"/>
      <c r="C25" s="4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391"/>
    </row>
    <row r="26" spans="1:18">
      <c r="A26" s="802">
        <f t="shared" si="0"/>
        <v>14</v>
      </c>
      <c r="C26" s="17" t="s">
        <v>691</v>
      </c>
      <c r="D26" s="489">
        <v>22822184.905000001</v>
      </c>
      <c r="E26" s="489">
        <v>22822184.905000001</v>
      </c>
      <c r="F26" s="489">
        <v>22822184.905000001</v>
      </c>
      <c r="G26" s="489">
        <v>22822184.905000001</v>
      </c>
      <c r="H26" s="489">
        <v>22822184.905000001</v>
      </c>
      <c r="I26" s="489">
        <v>22822184.905000001</v>
      </c>
      <c r="J26" s="489">
        <v>22822184.905000001</v>
      </c>
      <c r="K26" s="489">
        <v>22822184.905000001</v>
      </c>
      <c r="L26" s="489">
        <v>22822184.905000001</v>
      </c>
      <c r="M26" s="489">
        <v>22822184.905000001</v>
      </c>
      <c r="N26" s="489">
        <v>22822184.905000001</v>
      </c>
      <c r="O26" s="489">
        <v>22822184.905000001</v>
      </c>
      <c r="P26" s="489">
        <v>22822184.905000001</v>
      </c>
      <c r="Q26" s="391">
        <f t="shared" si="1"/>
        <v>22822184.904999997</v>
      </c>
    </row>
    <row r="27" spans="1:18" ht="14.25" customHeight="1">
      <c r="A27" s="802">
        <f t="shared" si="0"/>
        <v>15</v>
      </c>
      <c r="B27" s="486"/>
      <c r="C27" s="4"/>
      <c r="D27" s="489"/>
      <c r="E27" s="489"/>
      <c r="F27" s="489"/>
      <c r="G27" s="489"/>
      <c r="H27" s="489"/>
      <c r="I27" s="493"/>
      <c r="J27" s="493"/>
      <c r="K27" s="493"/>
      <c r="L27" s="489"/>
      <c r="M27" s="578"/>
      <c r="N27" s="578"/>
      <c r="O27" s="578"/>
      <c r="P27" s="578"/>
      <c r="Q27" s="391"/>
    </row>
    <row r="28" spans="1:18">
      <c r="A28" s="802">
        <f t="shared" si="0"/>
        <v>16</v>
      </c>
      <c r="C28" s="26" t="s">
        <v>73</v>
      </c>
      <c r="D28" s="752">
        <f t="shared" ref="D28:P28" si="3">SUM(D22:D26)</f>
        <v>453887951.67559099</v>
      </c>
      <c r="E28" s="752">
        <f t="shared" si="3"/>
        <v>454037380.08836424</v>
      </c>
      <c r="F28" s="752">
        <f t="shared" si="3"/>
        <v>454201966.62222886</v>
      </c>
      <c r="G28" s="752">
        <f t="shared" si="3"/>
        <v>454278316.05718386</v>
      </c>
      <c r="H28" s="752">
        <f t="shared" si="3"/>
        <v>454343839.37582898</v>
      </c>
      <c r="I28" s="752">
        <f t="shared" si="3"/>
        <v>454348815.51457</v>
      </c>
      <c r="J28" s="752">
        <f t="shared" si="3"/>
        <v>454211473.82785964</v>
      </c>
      <c r="K28" s="752">
        <f t="shared" si="3"/>
        <v>453909423.89666617</v>
      </c>
      <c r="L28" s="752">
        <f t="shared" si="3"/>
        <v>453868441.29377711</v>
      </c>
      <c r="M28" s="752">
        <f t="shared" si="3"/>
        <v>453859381.64213943</v>
      </c>
      <c r="N28" s="752">
        <f t="shared" si="3"/>
        <v>453860702.69525826</v>
      </c>
      <c r="O28" s="752">
        <f t="shared" si="3"/>
        <v>453876587.24541926</v>
      </c>
      <c r="P28" s="752">
        <f t="shared" si="3"/>
        <v>453880833.42581403</v>
      </c>
      <c r="Q28" s="382">
        <f t="shared" si="1"/>
        <v>454043470.25851542</v>
      </c>
      <c r="R28" s="798"/>
    </row>
    <row r="29" spans="1:18" ht="15.75">
      <c r="A29" s="802">
        <f t="shared" si="0"/>
        <v>17</v>
      </c>
      <c r="B29" s="12" t="s">
        <v>1137</v>
      </c>
      <c r="C29" s="26"/>
      <c r="D29" s="494"/>
      <c r="E29" s="494"/>
      <c r="F29" s="494"/>
      <c r="G29" s="496"/>
      <c r="H29" s="496"/>
      <c r="I29" s="496"/>
      <c r="J29" s="496"/>
      <c r="K29" s="496"/>
      <c r="L29" s="489"/>
      <c r="M29" s="578"/>
      <c r="N29" s="578"/>
      <c r="O29" s="578"/>
      <c r="P29" s="578"/>
      <c r="Q29" s="391"/>
    </row>
    <row r="30" spans="1:18">
      <c r="A30" s="802">
        <f t="shared" si="0"/>
        <v>18</v>
      </c>
      <c r="C30" s="17" t="s">
        <v>689</v>
      </c>
      <c r="D30" s="424">
        <v>0</v>
      </c>
      <c r="E30" s="424">
        <v>0</v>
      </c>
      <c r="F30" s="424">
        <v>0</v>
      </c>
      <c r="G30" s="424">
        <v>0</v>
      </c>
      <c r="H30" s="424">
        <v>0</v>
      </c>
      <c r="I30" s="424">
        <v>0</v>
      </c>
      <c r="J30" s="424">
        <v>0</v>
      </c>
      <c r="K30" s="424">
        <v>0</v>
      </c>
      <c r="L30" s="424">
        <v>0</v>
      </c>
      <c r="M30" s="424">
        <v>0</v>
      </c>
      <c r="N30" s="424">
        <v>0</v>
      </c>
      <c r="O30" s="424">
        <v>0</v>
      </c>
      <c r="P30" s="424">
        <v>0</v>
      </c>
      <c r="Q30" s="382">
        <f t="shared" si="1"/>
        <v>0</v>
      </c>
    </row>
    <row r="31" spans="1:18">
      <c r="A31" s="802">
        <f t="shared" si="0"/>
        <v>19</v>
      </c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391"/>
    </row>
    <row r="32" spans="1:18">
      <c r="A32" s="802">
        <f t="shared" si="0"/>
        <v>20</v>
      </c>
      <c r="C32" s="17" t="s">
        <v>690</v>
      </c>
      <c r="D32" s="489">
        <v>-29521515.460608348</v>
      </c>
      <c r="E32" s="489">
        <v>-30931583.386454459</v>
      </c>
      <c r="F32" s="489">
        <v>-30804951.777786776</v>
      </c>
      <c r="G32" s="489">
        <v>-30684769.042460054</v>
      </c>
      <c r="H32" s="489">
        <v>-30604956.06944165</v>
      </c>
      <c r="I32" s="489">
        <v>-30489408.676793013</v>
      </c>
      <c r="J32" s="489">
        <v>-30389008.110577829</v>
      </c>
      <c r="K32" s="489">
        <v>-30304328.73639014</v>
      </c>
      <c r="L32" s="489">
        <v>-30235828.553681541</v>
      </c>
      <c r="M32" s="489">
        <v>-30175552.049579576</v>
      </c>
      <c r="N32" s="489">
        <v>-30133942.262698594</v>
      </c>
      <c r="O32" s="489">
        <v>-30107311.181495354</v>
      </c>
      <c r="P32" s="489">
        <v>-30098212.080159146</v>
      </c>
      <c r="Q32" s="391">
        <f t="shared" si="1"/>
        <v>-30344720.568317417</v>
      </c>
    </row>
    <row r="33" spans="1:18">
      <c r="A33" s="802">
        <f t="shared" si="0"/>
        <v>21</v>
      </c>
      <c r="B33" s="486"/>
      <c r="C33" s="4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391"/>
    </row>
    <row r="34" spans="1:18">
      <c r="A34" s="802">
        <f t="shared" si="0"/>
        <v>22</v>
      </c>
      <c r="C34" s="17" t="s">
        <v>691</v>
      </c>
      <c r="D34" s="489">
        <v>0</v>
      </c>
      <c r="E34" s="489">
        <v>0</v>
      </c>
      <c r="F34" s="489">
        <v>0</v>
      </c>
      <c r="G34" s="489">
        <v>0</v>
      </c>
      <c r="H34" s="489">
        <v>0</v>
      </c>
      <c r="I34" s="489">
        <v>0</v>
      </c>
      <c r="J34" s="489">
        <v>0</v>
      </c>
      <c r="K34" s="489">
        <v>0</v>
      </c>
      <c r="L34" s="489">
        <v>0</v>
      </c>
      <c r="M34" s="489">
        <v>0</v>
      </c>
      <c r="N34" s="489">
        <v>0</v>
      </c>
      <c r="O34" s="489">
        <v>0</v>
      </c>
      <c r="P34" s="489">
        <v>0</v>
      </c>
      <c r="Q34" s="391">
        <f t="shared" si="1"/>
        <v>0</v>
      </c>
    </row>
    <row r="35" spans="1:18">
      <c r="A35" s="802">
        <f t="shared" si="0"/>
        <v>23</v>
      </c>
      <c r="B35" s="486"/>
      <c r="C35" s="4"/>
      <c r="D35" s="489"/>
      <c r="E35" s="489"/>
      <c r="F35" s="489"/>
      <c r="G35" s="489"/>
      <c r="H35" s="489"/>
      <c r="I35" s="493"/>
      <c r="J35" s="493"/>
      <c r="K35" s="493"/>
      <c r="L35" s="489"/>
      <c r="M35" s="578"/>
      <c r="N35" s="578"/>
      <c r="O35" s="578"/>
      <c r="P35" s="578"/>
      <c r="Q35" s="391"/>
    </row>
    <row r="36" spans="1:18">
      <c r="A36" s="802">
        <f t="shared" si="0"/>
        <v>24</v>
      </c>
      <c r="C36" s="26" t="s">
        <v>735</v>
      </c>
      <c r="D36" s="752">
        <f t="shared" ref="D36:P36" si="4">SUM(D30:D34)</f>
        <v>-29521515.460608348</v>
      </c>
      <c r="E36" s="752">
        <f t="shared" si="4"/>
        <v>-30931583.386454459</v>
      </c>
      <c r="F36" s="752">
        <f t="shared" si="4"/>
        <v>-30804951.777786776</v>
      </c>
      <c r="G36" s="752">
        <f t="shared" si="4"/>
        <v>-30684769.042460054</v>
      </c>
      <c r="H36" s="752">
        <f t="shared" si="4"/>
        <v>-30604956.06944165</v>
      </c>
      <c r="I36" s="752">
        <f t="shared" si="4"/>
        <v>-30489408.676793013</v>
      </c>
      <c r="J36" s="752">
        <f t="shared" si="4"/>
        <v>-30389008.110577829</v>
      </c>
      <c r="K36" s="752">
        <f t="shared" si="4"/>
        <v>-30304328.73639014</v>
      </c>
      <c r="L36" s="752">
        <f t="shared" si="4"/>
        <v>-30235828.553681541</v>
      </c>
      <c r="M36" s="752">
        <f t="shared" si="4"/>
        <v>-30175552.049579576</v>
      </c>
      <c r="N36" s="752">
        <f t="shared" si="4"/>
        <v>-30133942.262698594</v>
      </c>
      <c r="O36" s="752">
        <f t="shared" si="4"/>
        <v>-30107311.181495354</v>
      </c>
      <c r="P36" s="752">
        <f t="shared" si="4"/>
        <v>-30098212.080159146</v>
      </c>
      <c r="Q36" s="382">
        <f t="shared" si="1"/>
        <v>-30344720.568317417</v>
      </c>
      <c r="R36" s="798"/>
    </row>
    <row r="37" spans="1:18">
      <c r="A37" s="802">
        <f t="shared" si="0"/>
        <v>25</v>
      </c>
      <c r="C37" s="26"/>
      <c r="D37" s="489"/>
      <c r="E37" s="489"/>
      <c r="F37" s="489"/>
      <c r="G37" s="493"/>
      <c r="H37" s="493"/>
      <c r="I37" s="493"/>
      <c r="J37" s="493"/>
      <c r="K37" s="493"/>
      <c r="L37" s="489"/>
      <c r="M37" s="578"/>
      <c r="N37" s="578"/>
      <c r="O37" s="578"/>
      <c r="P37" s="578"/>
      <c r="Q37" s="391"/>
    </row>
    <row r="38" spans="1:18" ht="15.75">
      <c r="A38" s="802">
        <f t="shared" si="0"/>
        <v>26</v>
      </c>
      <c r="B38" s="12" t="s">
        <v>692</v>
      </c>
      <c r="D38" s="493"/>
      <c r="E38" s="493"/>
      <c r="F38" s="493"/>
      <c r="G38" s="493"/>
      <c r="H38" s="493"/>
      <c r="I38" s="493"/>
      <c r="J38" s="493"/>
      <c r="K38" s="493"/>
      <c r="L38" s="493"/>
      <c r="M38" s="578"/>
      <c r="N38" s="578"/>
      <c r="O38" s="578"/>
      <c r="P38" s="578"/>
      <c r="Q38" s="391"/>
    </row>
    <row r="39" spans="1:18">
      <c r="A39" s="802">
        <f t="shared" si="0"/>
        <v>27</v>
      </c>
      <c r="C39" s="17" t="s">
        <v>689</v>
      </c>
      <c r="D39" s="424">
        <v>5978139.7250000006</v>
      </c>
      <c r="E39" s="424">
        <v>5978139.7250000006</v>
      </c>
      <c r="F39" s="424">
        <v>5978139.7250000006</v>
      </c>
      <c r="G39" s="424">
        <v>5978139.7250000006</v>
      </c>
      <c r="H39" s="424">
        <v>5978139.7250000006</v>
      </c>
      <c r="I39" s="424">
        <v>5978139.7250000006</v>
      </c>
      <c r="J39" s="424">
        <v>5978139.7250000006</v>
      </c>
      <c r="K39" s="424">
        <v>5978139.7250000006</v>
      </c>
      <c r="L39" s="424">
        <v>5978139.7250000006</v>
      </c>
      <c r="M39" s="424">
        <v>5978139.7250000006</v>
      </c>
      <c r="N39" s="424">
        <v>5978139.7250000006</v>
      </c>
      <c r="O39" s="424">
        <v>5978139.7250000006</v>
      </c>
      <c r="P39" s="424">
        <v>5978139.7250000006</v>
      </c>
      <c r="Q39" s="382">
        <f t="shared" si="1"/>
        <v>5978139.7249999996</v>
      </c>
    </row>
    <row r="40" spans="1:18">
      <c r="A40" s="802">
        <f t="shared" si="0"/>
        <v>28</v>
      </c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391"/>
    </row>
    <row r="41" spans="1:18">
      <c r="A41" s="802">
        <f t="shared" si="0"/>
        <v>29</v>
      </c>
      <c r="C41" s="17" t="s">
        <v>690</v>
      </c>
      <c r="D41" s="489">
        <v>-5430986.3035458103</v>
      </c>
      <c r="E41" s="489">
        <v>-5429683.6021432467</v>
      </c>
      <c r="F41" s="489">
        <v>-5437505.9007406812</v>
      </c>
      <c r="G41" s="489">
        <v>-5444835.7095460016</v>
      </c>
      <c r="H41" s="489">
        <v>-5451370.2580770366</v>
      </c>
      <c r="I41" s="489">
        <v>-5453644.0059706774</v>
      </c>
      <c r="J41" s="489">
        <v>-5455618.5765098911</v>
      </c>
      <c r="K41" s="489">
        <v>-5457283.9971161988</v>
      </c>
      <c r="L41" s="489">
        <v>-5458608.1818086188</v>
      </c>
      <c r="M41" s="489">
        <v>-5459659.7402408365</v>
      </c>
      <c r="N41" s="489">
        <v>-5460349.3092255089</v>
      </c>
      <c r="O41" s="489">
        <v>-5460770.2149693985</v>
      </c>
      <c r="P41" s="489">
        <v>-5460913.5020311493</v>
      </c>
      <c r="Q41" s="391">
        <f t="shared" si="1"/>
        <v>-5450863.7924557738</v>
      </c>
    </row>
    <row r="42" spans="1:18">
      <c r="A42" s="802">
        <f t="shared" si="0"/>
        <v>30</v>
      </c>
      <c r="B42" s="2"/>
      <c r="C42" s="4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391"/>
    </row>
    <row r="43" spans="1:18">
      <c r="A43" s="802">
        <f t="shared" si="0"/>
        <v>31</v>
      </c>
      <c r="C43" s="17" t="s">
        <v>691</v>
      </c>
      <c r="D43" s="489">
        <v>-1472160.1949999998</v>
      </c>
      <c r="E43" s="489">
        <v>-1472160.1949999998</v>
      </c>
      <c r="F43" s="489">
        <v>-1472160.1949999998</v>
      </c>
      <c r="G43" s="489">
        <v>-1472160.1949999998</v>
      </c>
      <c r="H43" s="489">
        <v>-1472160.1949999998</v>
      </c>
      <c r="I43" s="489">
        <v>-1472160.1949999998</v>
      </c>
      <c r="J43" s="489">
        <v>-1472160.1949999998</v>
      </c>
      <c r="K43" s="489">
        <v>-1472160.1949999998</v>
      </c>
      <c r="L43" s="489">
        <v>-1472160.1949999998</v>
      </c>
      <c r="M43" s="489">
        <v>-1472160.1949999998</v>
      </c>
      <c r="N43" s="489">
        <v>-1472160.1949999998</v>
      </c>
      <c r="O43" s="489">
        <v>-1472160.1949999998</v>
      </c>
      <c r="P43" s="489">
        <v>-1472160.1949999998</v>
      </c>
      <c r="Q43" s="391">
        <f>(SUM(D43:P43))/13</f>
        <v>-1472160.1950000001</v>
      </c>
    </row>
    <row r="44" spans="1:18">
      <c r="A44" s="802">
        <f t="shared" si="0"/>
        <v>32</v>
      </c>
      <c r="D44" s="489"/>
      <c r="E44" s="489"/>
      <c r="F44" s="489"/>
      <c r="G44" s="489"/>
      <c r="H44" s="489"/>
      <c r="I44" s="489"/>
      <c r="J44" s="489"/>
      <c r="K44" s="489"/>
      <c r="L44" s="489"/>
      <c r="M44" s="578"/>
      <c r="N44" s="578"/>
      <c r="O44" s="578"/>
      <c r="P44" s="578"/>
      <c r="Q44" s="391"/>
    </row>
    <row r="45" spans="1:18">
      <c r="A45" s="802">
        <f t="shared" si="0"/>
        <v>33</v>
      </c>
      <c r="C45" s="17" t="s">
        <v>453</v>
      </c>
      <c r="D45" s="489">
        <f>'WP B.5 B'!P45</f>
        <v>-11421</v>
      </c>
      <c r="E45" s="489">
        <f>D45</f>
        <v>-11421</v>
      </c>
      <c r="F45" s="489">
        <f t="shared" ref="F45:J45" si="5">E45</f>
        <v>-11421</v>
      </c>
      <c r="G45" s="489">
        <f t="shared" si="5"/>
        <v>-11421</v>
      </c>
      <c r="H45" s="489">
        <f t="shared" si="5"/>
        <v>-11421</v>
      </c>
      <c r="I45" s="489">
        <f t="shared" si="5"/>
        <v>-11421</v>
      </c>
      <c r="J45" s="489">
        <f t="shared" si="5"/>
        <v>-11421</v>
      </c>
      <c r="K45" s="489">
        <f t="shared" ref="K45:P45" si="6">J45</f>
        <v>-11421</v>
      </c>
      <c r="L45" s="489">
        <f t="shared" si="6"/>
        <v>-11421</v>
      </c>
      <c r="M45" s="489">
        <f t="shared" si="6"/>
        <v>-11421</v>
      </c>
      <c r="N45" s="489">
        <f t="shared" si="6"/>
        <v>-11421</v>
      </c>
      <c r="O45" s="489">
        <f t="shared" si="6"/>
        <v>-11421</v>
      </c>
      <c r="P45" s="489">
        <f t="shared" si="6"/>
        <v>-11421</v>
      </c>
      <c r="Q45" s="391">
        <f>(SUM(D45:P45))/13</f>
        <v>-11421</v>
      </c>
    </row>
    <row r="46" spans="1:18">
      <c r="A46" s="802">
        <f t="shared" si="0"/>
        <v>34</v>
      </c>
      <c r="B46" s="486"/>
      <c r="C46" s="4"/>
      <c r="D46" s="489"/>
      <c r="E46" s="491"/>
      <c r="F46" s="491"/>
      <c r="G46" s="489"/>
      <c r="H46" s="489"/>
      <c r="I46" s="493"/>
      <c r="J46" s="493"/>
      <c r="K46" s="493"/>
      <c r="L46" s="491"/>
      <c r="M46" s="391"/>
      <c r="N46" s="391"/>
      <c r="O46" s="391"/>
      <c r="P46" s="391"/>
      <c r="Q46" s="391"/>
    </row>
    <row r="47" spans="1:18">
      <c r="A47" s="802">
        <f t="shared" si="0"/>
        <v>35</v>
      </c>
      <c r="C47" s="26" t="s">
        <v>452</v>
      </c>
      <c r="D47" s="752">
        <f>SUM(D39:D45)</f>
        <v>-936427.77354580956</v>
      </c>
      <c r="E47" s="752">
        <f t="shared" ref="E47:P47" si="7">SUM(E39:E45)</f>
        <v>-935125.07214324595</v>
      </c>
      <c r="F47" s="752">
        <f t="shared" si="7"/>
        <v>-942947.37074068049</v>
      </c>
      <c r="G47" s="752">
        <f t="shared" si="7"/>
        <v>-950277.1795460009</v>
      </c>
      <c r="H47" s="752">
        <f t="shared" si="7"/>
        <v>-956811.72807703586</v>
      </c>
      <c r="I47" s="752">
        <f t="shared" si="7"/>
        <v>-959085.47597067663</v>
      </c>
      <c r="J47" s="752">
        <f t="shared" si="7"/>
        <v>-961060.04650989035</v>
      </c>
      <c r="K47" s="752">
        <f t="shared" si="7"/>
        <v>-962725.46711619804</v>
      </c>
      <c r="L47" s="752">
        <f t="shared" si="7"/>
        <v>-964049.6518086181</v>
      </c>
      <c r="M47" s="752">
        <f t="shared" si="7"/>
        <v>-965101.21024083579</v>
      </c>
      <c r="N47" s="752">
        <f t="shared" si="7"/>
        <v>-965790.77922550822</v>
      </c>
      <c r="O47" s="752">
        <f t="shared" si="7"/>
        <v>-966211.68496939773</v>
      </c>
      <c r="P47" s="752">
        <f t="shared" si="7"/>
        <v>-966354.97203114862</v>
      </c>
      <c r="Q47" s="382">
        <f>(SUM(D47:P47))/13</f>
        <v>-956305.26245577249</v>
      </c>
      <c r="R47" s="798"/>
    </row>
    <row r="48" spans="1:18">
      <c r="A48" s="802">
        <f t="shared" si="0"/>
        <v>36</v>
      </c>
      <c r="D48" s="492"/>
      <c r="E48" s="492"/>
      <c r="F48" s="492"/>
      <c r="G48" s="492"/>
      <c r="H48" s="493"/>
      <c r="I48" s="492"/>
      <c r="J48" s="492"/>
      <c r="K48" s="492"/>
      <c r="L48" s="492"/>
      <c r="M48" s="391"/>
      <c r="N48" s="391"/>
      <c r="O48" s="391"/>
      <c r="P48" s="391"/>
      <c r="Q48" s="391"/>
    </row>
    <row r="49" spans="1:17" ht="15.75" thickBot="1">
      <c r="A49" s="802">
        <f t="shared" si="0"/>
        <v>37</v>
      </c>
      <c r="B49" s="47"/>
      <c r="C49" s="1" t="s">
        <v>101</v>
      </c>
      <c r="D49" s="422">
        <f>D47+D36+D28+D19</f>
        <v>338669899.31221431</v>
      </c>
      <c r="E49" s="422">
        <f t="shared" ref="E49:P49" si="8">E47+E36+E28+E19</f>
        <v>331478146.86923492</v>
      </c>
      <c r="F49" s="422">
        <f t="shared" si="8"/>
        <v>330514495.18877923</v>
      </c>
      <c r="G49" s="422">
        <f t="shared" si="8"/>
        <v>329802024.78552639</v>
      </c>
      <c r="H49" s="422">
        <f t="shared" si="8"/>
        <v>328880239.15314722</v>
      </c>
      <c r="I49" s="422">
        <f t="shared" si="8"/>
        <v>328389010.2340427</v>
      </c>
      <c r="J49" s="422">
        <f t="shared" si="8"/>
        <v>327711909.95061016</v>
      </c>
      <c r="K49" s="422">
        <f t="shared" si="8"/>
        <v>326846238.58298057</v>
      </c>
      <c r="L49" s="422">
        <f t="shared" si="8"/>
        <v>326393514.31526834</v>
      </c>
      <c r="M49" s="422">
        <f t="shared" si="8"/>
        <v>326055748.93413848</v>
      </c>
      <c r="N49" s="422">
        <f t="shared" si="8"/>
        <v>325800133.2871263</v>
      </c>
      <c r="O49" s="422">
        <f t="shared" si="8"/>
        <v>325677625.36622232</v>
      </c>
      <c r="P49" s="422">
        <f t="shared" si="8"/>
        <v>325626175.53585517</v>
      </c>
      <c r="Q49" s="382">
        <f>(SUM(D49:P49))/13</f>
        <v>328603473.96270359</v>
      </c>
    </row>
    <row r="50" spans="1:17" ht="15.75" thickTop="1">
      <c r="A50" s="47"/>
      <c r="B50" s="4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1560</v>
      </c>
      <c r="D52" s="768"/>
    </row>
    <row r="53" spans="1:17">
      <c r="A53" s="47"/>
      <c r="B53" s="47"/>
    </row>
    <row r="58" spans="1:17">
      <c r="D58" s="68"/>
    </row>
    <row r="59" spans="1:17">
      <c r="C59" s="119"/>
      <c r="D59" s="68"/>
    </row>
    <row r="60" spans="1:17">
      <c r="C60" s="119"/>
      <c r="D60" s="1075"/>
      <c r="H60" s="1076"/>
    </row>
    <row r="61" spans="1:17">
      <c r="D61" s="1102"/>
    </row>
    <row r="62" spans="1:17">
      <c r="C62" s="119"/>
      <c r="E62" s="119"/>
    </row>
    <row r="65" spans="3:4">
      <c r="C65" s="1055"/>
    </row>
    <row r="66" spans="3:4">
      <c r="C66" s="1055"/>
    </row>
    <row r="67" spans="3:4">
      <c r="C67" s="1055"/>
    </row>
    <row r="68" spans="3:4">
      <c r="C68" s="1055"/>
      <c r="D68" s="207"/>
    </row>
    <row r="69" spans="3:4">
      <c r="C69" s="1055"/>
    </row>
    <row r="70" spans="3:4">
      <c r="C70" s="1055"/>
      <c r="D70" s="1075"/>
    </row>
    <row r="71" spans="3:4">
      <c r="C71" s="1055"/>
    </row>
    <row r="72" spans="3:4">
      <c r="C72" s="1055"/>
      <c r="D72" s="207"/>
    </row>
    <row r="73" spans="3:4">
      <c r="C73" s="1055"/>
    </row>
    <row r="74" spans="3:4">
      <c r="C74" s="1055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38" right="0.34" top="0.84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D12" sqref="D12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</row>
    <row r="2" spans="1:19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</row>
    <row r="3" spans="1:19">
      <c r="A3" s="1253" t="s">
        <v>1252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</row>
    <row r="4" spans="1:19">
      <c r="A4" s="1253" t="str">
        <f>Allocation!A3</f>
        <v>Base Period: Twelve Months Ended February 29, 2016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</row>
    <row r="5" spans="1:19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9">
      <c r="A6" s="70" t="str">
        <f>'B.1 B'!A6</f>
        <v>Data:__X___Base Period______Forecasted Period</v>
      </c>
      <c r="B6" s="70"/>
      <c r="C6" s="47"/>
      <c r="P6" s="1" t="s">
        <v>1519</v>
      </c>
    </row>
    <row r="7" spans="1:19">
      <c r="A7" s="70" t="str">
        <f>'B.1 B'!A7</f>
        <v>Type of Filing:___X____Original________Updated ________Revised</v>
      </c>
      <c r="B7" s="47"/>
      <c r="C7" s="70"/>
      <c r="P7" s="1" t="s">
        <v>823</v>
      </c>
    </row>
    <row r="8" spans="1:19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9">
      <c r="D9" s="77"/>
      <c r="E9" s="296"/>
      <c r="F9" s="2"/>
      <c r="G9" s="2"/>
      <c r="H9" s="101"/>
      <c r="I9" s="2"/>
      <c r="J9" s="296"/>
      <c r="K9" s="2"/>
    </row>
    <row r="10" spans="1:19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799" t="s">
        <v>467</v>
      </c>
      <c r="L10" s="76" t="s">
        <v>467</v>
      </c>
      <c r="M10" s="76" t="s">
        <v>467</v>
      </c>
      <c r="N10" s="76" t="s">
        <v>467</v>
      </c>
      <c r="O10" s="76" t="s">
        <v>467</v>
      </c>
      <c r="P10" s="76" t="s">
        <v>467</v>
      </c>
      <c r="Q10" s="126" t="s">
        <v>324</v>
      </c>
    </row>
    <row r="11" spans="1:19">
      <c r="A11" s="9" t="s">
        <v>104</v>
      </c>
      <c r="B11" s="9" t="s">
        <v>105</v>
      </c>
      <c r="C11" s="6"/>
      <c r="D11" s="447">
        <f>'WP B.4.1B'!C8</f>
        <v>42063</v>
      </c>
      <c r="E11" s="447">
        <f>'WP B.4.1B'!D8</f>
        <v>42094</v>
      </c>
      <c r="F11" s="447">
        <f>'WP B.4.1B'!E8</f>
        <v>42095</v>
      </c>
      <c r="G11" s="447">
        <f>'WP B.4.1B'!F8</f>
        <v>42155</v>
      </c>
      <c r="H11" s="447">
        <f>'WP B.4.1B'!G8</f>
        <v>42185</v>
      </c>
      <c r="I11" s="447">
        <f>'WP B.4.1B'!H8</f>
        <v>42216</v>
      </c>
      <c r="J11" s="447">
        <f>'WP B.4.1B'!I8</f>
        <v>42247</v>
      </c>
      <c r="K11" s="447">
        <f>'WP B.4.1B'!J8</f>
        <v>42277</v>
      </c>
      <c r="L11" s="447">
        <f>'WP B.4.1B'!K8</f>
        <v>42308</v>
      </c>
      <c r="M11" s="447">
        <f>'WP B.4.1B'!L8</f>
        <v>42338</v>
      </c>
      <c r="N11" s="447">
        <f>'WP B.4.1B'!M8</f>
        <v>42369</v>
      </c>
      <c r="O11" s="447">
        <f>'WP B.4.1B'!N8</f>
        <v>42400</v>
      </c>
      <c r="P11" s="447">
        <f>'WP B.4.1B'!O8</f>
        <v>42429</v>
      </c>
      <c r="Q11" s="80" t="s">
        <v>103</v>
      </c>
    </row>
    <row r="12" spans="1:19" ht="15.75">
      <c r="B12" s="12" t="s">
        <v>218</v>
      </c>
      <c r="G12" s="107"/>
    </row>
    <row r="13" spans="1:19">
      <c r="A13" s="2">
        <v>1</v>
      </c>
      <c r="B13" s="484"/>
      <c r="C13" s="4" t="s">
        <v>53</v>
      </c>
      <c r="D13" s="489">
        <v>-1771289.33</v>
      </c>
      <c r="E13" s="489">
        <v>-1768242.33</v>
      </c>
      <c r="F13" s="489">
        <v>-1767849.33</v>
      </c>
      <c r="G13" s="489">
        <v>-1767849.33</v>
      </c>
      <c r="H13" s="489">
        <v>-1768529.94</v>
      </c>
      <c r="I13" s="489">
        <v>-1766691.94</v>
      </c>
      <c r="J13" s="489">
        <v>-1766691.94</v>
      </c>
      <c r="K13" s="489">
        <v>-1767642.468333333</v>
      </c>
      <c r="L13" s="489">
        <v>-1767642.4683333333</v>
      </c>
      <c r="M13" s="489">
        <v>-1767642.4683333333</v>
      </c>
      <c r="N13" s="489">
        <v>-1767642.4683333333</v>
      </c>
      <c r="O13" s="489">
        <v>-1767642.4683333333</v>
      </c>
      <c r="P13" s="489">
        <v>-1767642.4683333335</v>
      </c>
      <c r="Q13" s="391">
        <f>SUM(D13:P13)/13</f>
        <v>-1767922.9961538462</v>
      </c>
      <c r="S13" s="1057"/>
    </row>
    <row r="14" spans="1:19">
      <c r="A14" s="77">
        <v>2</v>
      </c>
      <c r="B14" s="485"/>
      <c r="D14" s="103"/>
      <c r="E14" s="63"/>
      <c r="F14" s="63"/>
      <c r="G14" s="103"/>
      <c r="H14" s="103"/>
      <c r="I14" s="63"/>
      <c r="J14" s="63"/>
      <c r="K14" s="63"/>
      <c r="L14" s="63"/>
      <c r="P14" s="391"/>
    </row>
    <row r="15" spans="1:19" ht="15.75">
      <c r="A15" s="2">
        <v>3</v>
      </c>
      <c r="B15" s="12" t="s">
        <v>219</v>
      </c>
      <c r="D15" s="47"/>
      <c r="E15" s="47"/>
      <c r="F15" s="47"/>
      <c r="G15" s="100"/>
      <c r="I15" s="47"/>
      <c r="J15" s="47"/>
      <c r="K15" s="47"/>
      <c r="L15" s="492"/>
      <c r="M15" s="391"/>
      <c r="N15" s="391"/>
      <c r="O15" s="391"/>
      <c r="P15" s="391"/>
    </row>
    <row r="16" spans="1:19">
      <c r="A16" s="77">
        <v>4</v>
      </c>
      <c r="B16" s="484">
        <v>15560</v>
      </c>
      <c r="C16" s="4" t="s">
        <v>53</v>
      </c>
      <c r="D16" s="490">
        <v>0</v>
      </c>
      <c r="E16" s="490">
        <v>0</v>
      </c>
      <c r="F16" s="490">
        <v>0</v>
      </c>
      <c r="G16" s="490">
        <v>0</v>
      </c>
      <c r="H16" s="490">
        <v>0</v>
      </c>
      <c r="I16" s="490">
        <v>0</v>
      </c>
      <c r="J16" s="490">
        <v>0</v>
      </c>
      <c r="K16" s="490">
        <v>0</v>
      </c>
      <c r="L16" s="490">
        <v>0</v>
      </c>
      <c r="M16" s="490">
        <v>0</v>
      </c>
      <c r="N16" s="490">
        <v>0</v>
      </c>
      <c r="O16" s="490">
        <v>0</v>
      </c>
      <c r="P16" s="489">
        <v>0</v>
      </c>
      <c r="Q16" s="391">
        <f>(SUM(D16:P16))/13</f>
        <v>0</v>
      </c>
    </row>
    <row r="17" spans="1:17">
      <c r="A17" s="2">
        <v>5</v>
      </c>
      <c r="B17" s="486"/>
      <c r="C17" s="4"/>
      <c r="D17" s="103"/>
      <c r="E17" s="63"/>
      <c r="F17" s="63"/>
      <c r="G17" s="103"/>
      <c r="H17" s="103"/>
      <c r="I17" s="100"/>
      <c r="J17" s="100"/>
      <c r="K17" s="100"/>
      <c r="L17" s="491"/>
      <c r="M17" s="391"/>
      <c r="N17" s="391"/>
      <c r="O17" s="391"/>
      <c r="P17" s="391"/>
    </row>
    <row r="18" spans="1:17" ht="15.75">
      <c r="A18" s="77">
        <v>6</v>
      </c>
      <c r="B18" s="12" t="s">
        <v>1137</v>
      </c>
      <c r="C18" s="26"/>
      <c r="D18" s="487"/>
      <c r="E18" s="230"/>
      <c r="F18" s="230"/>
      <c r="G18" s="102"/>
      <c r="H18" s="102"/>
      <c r="I18" s="102"/>
      <c r="J18" s="102"/>
      <c r="K18" s="102"/>
      <c r="L18" s="491"/>
      <c r="M18" s="391"/>
      <c r="N18" s="391"/>
      <c r="O18" s="391"/>
      <c r="P18" s="391"/>
    </row>
    <row r="19" spans="1:17">
      <c r="A19" s="2">
        <v>7</v>
      </c>
      <c r="B19" s="484">
        <v>15560</v>
      </c>
      <c r="C19" s="4" t="s">
        <v>53</v>
      </c>
      <c r="D19" s="494">
        <v>0</v>
      </c>
      <c r="E19" s="494"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94">
        <v>0</v>
      </c>
      <c r="O19" s="494">
        <v>0</v>
      </c>
      <c r="P19" s="494">
        <v>0</v>
      </c>
      <c r="Q19" s="391">
        <f>(SUM(D19:P19))/13</f>
        <v>0</v>
      </c>
    </row>
    <row r="20" spans="1:17">
      <c r="A20" s="77">
        <v>8</v>
      </c>
      <c r="B20" s="486"/>
      <c r="C20" s="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</row>
    <row r="21" spans="1:17" ht="15.75">
      <c r="A21" s="2">
        <v>9</v>
      </c>
      <c r="B21" s="12" t="s">
        <v>692</v>
      </c>
      <c r="D21" s="47"/>
      <c r="E21" s="47"/>
      <c r="F21" s="47"/>
      <c r="G21" s="100"/>
      <c r="I21" s="47"/>
      <c r="J21" s="47"/>
      <c r="K21" s="47"/>
      <c r="L21" s="492"/>
      <c r="M21" s="391"/>
      <c r="N21" s="391"/>
      <c r="O21" s="391"/>
      <c r="P21" s="391"/>
    </row>
    <row r="22" spans="1:17">
      <c r="A22" s="77">
        <v>10</v>
      </c>
      <c r="B22" s="484">
        <v>15560</v>
      </c>
      <c r="C22" s="4" t="s">
        <v>53</v>
      </c>
      <c r="D22" s="494">
        <v>0</v>
      </c>
      <c r="E22" s="494">
        <v>0</v>
      </c>
      <c r="F22" s="494">
        <v>0</v>
      </c>
      <c r="G22" s="494">
        <v>0</v>
      </c>
      <c r="H22" s="494">
        <v>0</v>
      </c>
      <c r="I22" s="494">
        <v>0</v>
      </c>
      <c r="J22" s="494">
        <v>0</v>
      </c>
      <c r="K22" s="494">
        <v>0</v>
      </c>
      <c r="L22" s="494">
        <v>0</v>
      </c>
      <c r="M22" s="494">
        <v>0</v>
      </c>
      <c r="N22" s="494">
        <v>0</v>
      </c>
      <c r="O22" s="494">
        <v>0</v>
      </c>
      <c r="P22" s="494">
        <v>0</v>
      </c>
      <c r="Q22" s="391">
        <f>(SUM(D22:P22))/13</f>
        <v>0</v>
      </c>
    </row>
    <row r="23" spans="1:17">
      <c r="A23" s="2"/>
      <c r="B23" s="485"/>
      <c r="D23" s="103"/>
      <c r="E23" s="63"/>
      <c r="F23" s="63"/>
      <c r="G23" s="103"/>
      <c r="H23" s="103"/>
      <c r="I23" s="103"/>
      <c r="J23" s="103"/>
      <c r="K23" s="103"/>
      <c r="L23" s="491"/>
      <c r="M23" s="391"/>
      <c r="N23" s="391"/>
      <c r="O23" s="391"/>
      <c r="P23" s="391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1"/>
      <c r="M24" s="391"/>
      <c r="N24" s="391"/>
      <c r="O24" s="391"/>
      <c r="P24" s="391"/>
    </row>
    <row r="25" spans="1:17">
      <c r="A25" s="47"/>
      <c r="B25" s="47"/>
      <c r="P25" s="391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80" zoomScaleNormal="80" zoomScaleSheetLayoutView="8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D12" sqref="D12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53" t="str">
        <f>Allocation!A1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</row>
    <row r="2" spans="1:17">
      <c r="A2" s="1253" t="str">
        <f>Allocation!A2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</row>
    <row r="3" spans="1:17">
      <c r="A3" s="1253" t="s">
        <v>1252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</row>
    <row r="4" spans="1:17">
      <c r="A4" s="1253" t="str">
        <f>Allocation!A3</f>
        <v>Base Period: Twelve Months Ended February 29, 2016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</row>
    <row r="5" spans="1:17">
      <c r="A5" s="43"/>
      <c r="B5" s="40"/>
      <c r="C5" s="40"/>
      <c r="D5" s="40"/>
      <c r="E5" s="40"/>
      <c r="F5" s="40"/>
      <c r="G5" s="40"/>
      <c r="H5" s="483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6"/>
      <c r="F9" s="2"/>
      <c r="G9" s="2"/>
      <c r="H9" s="101"/>
      <c r="I9" s="2"/>
      <c r="J9" s="296"/>
      <c r="K9" s="2"/>
    </row>
    <row r="10" spans="1:17">
      <c r="A10" s="2" t="s">
        <v>98</v>
      </c>
      <c r="B10" s="2" t="s">
        <v>99</v>
      </c>
      <c r="D10" s="76" t="s">
        <v>467</v>
      </c>
      <c r="E10" s="1045" t="s">
        <v>467</v>
      </c>
      <c r="F10" s="1045" t="s">
        <v>467</v>
      </c>
      <c r="G10" s="1045" t="s">
        <v>467</v>
      </c>
      <c r="H10" s="1045" t="s">
        <v>467</v>
      </c>
      <c r="I10" s="799" t="s">
        <v>44</v>
      </c>
      <c r="J10" s="799" t="s">
        <v>44</v>
      </c>
      <c r="K10" s="799" t="s">
        <v>44</v>
      </c>
      <c r="L10" s="799" t="s">
        <v>44</v>
      </c>
      <c r="M10" s="799" t="s">
        <v>44</v>
      </c>
      <c r="N10" s="799" t="s">
        <v>44</v>
      </c>
      <c r="O10" s="799" t="s">
        <v>44</v>
      </c>
      <c r="P10" s="799" t="s">
        <v>44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47">
        <f>'WP B.4.1F'!C8</f>
        <v>42520</v>
      </c>
      <c r="E11" s="447">
        <f>'WP B.4.1F'!D8</f>
        <v>42551</v>
      </c>
      <c r="F11" s="447">
        <f>'WP B.4.1F'!E8</f>
        <v>42582</v>
      </c>
      <c r="G11" s="447">
        <f>'WP B.4.1F'!F8</f>
        <v>42613</v>
      </c>
      <c r="H11" s="447">
        <f>'WP B.4.1F'!G8</f>
        <v>42643</v>
      </c>
      <c r="I11" s="447">
        <f>'WP B.4.1F'!H8</f>
        <v>42674</v>
      </c>
      <c r="J11" s="447">
        <f>'WP B.4.1F'!I8</f>
        <v>42704</v>
      </c>
      <c r="K11" s="447">
        <f>'WP B.4.1F'!J8</f>
        <v>42735</v>
      </c>
      <c r="L11" s="447">
        <f>'WP B.4.1F'!K8</f>
        <v>42766</v>
      </c>
      <c r="M11" s="447">
        <f>'WP B.4.1F'!L8</f>
        <v>42794</v>
      </c>
      <c r="N11" s="447">
        <f>'WP B.4.1F'!M8</f>
        <v>42825</v>
      </c>
      <c r="O11" s="447">
        <f>'WP B.4.1F'!N8</f>
        <v>42855</v>
      </c>
      <c r="P11" s="447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B13" s="484"/>
      <c r="C13" s="4" t="s">
        <v>53</v>
      </c>
      <c r="D13" s="489">
        <v>-1767642.4683333335</v>
      </c>
      <c r="E13" s="489">
        <v>-1767642.4683333335</v>
      </c>
      <c r="F13" s="489">
        <v>-1767642.4683333335</v>
      </c>
      <c r="G13" s="489">
        <v>-1767642.4683333335</v>
      </c>
      <c r="H13" s="489">
        <v>-1767642.4683333335</v>
      </c>
      <c r="I13" s="489">
        <v>-1767642.4683333333</v>
      </c>
      <c r="J13" s="489">
        <v>-1767642.4683333333</v>
      </c>
      <c r="K13" s="489">
        <v>-1767642.4683333333</v>
      </c>
      <c r="L13" s="489">
        <v>-1767642.4683333335</v>
      </c>
      <c r="M13" s="489">
        <v>-1767642.4683333335</v>
      </c>
      <c r="N13" s="489">
        <v>-1767642.4683333335</v>
      </c>
      <c r="O13" s="489">
        <v>-1767642.4683333335</v>
      </c>
      <c r="P13" s="489">
        <v>-1767642.4683333335</v>
      </c>
      <c r="Q13" s="1">
        <f>SUM(D13:P13)/13</f>
        <v>-1767642.4683333335</v>
      </c>
    </row>
    <row r="14" spans="1:17">
      <c r="A14" s="77">
        <v>2</v>
      </c>
      <c r="B14" s="485"/>
      <c r="D14" s="103"/>
      <c r="E14" s="103"/>
      <c r="F14" s="103"/>
      <c r="G14" s="103"/>
      <c r="H14" s="103"/>
      <c r="I14" s="103"/>
      <c r="J14" s="103"/>
      <c r="K14" s="103"/>
      <c r="L14" s="103"/>
      <c r="M14" s="107"/>
      <c r="N14" s="107"/>
      <c r="O14" s="107"/>
      <c r="P14" s="578"/>
    </row>
    <row r="15" spans="1:17" ht="15.75">
      <c r="A15" s="2">
        <v>3</v>
      </c>
      <c r="B15" s="12" t="s">
        <v>219</v>
      </c>
      <c r="D15" s="100"/>
      <c r="E15" s="100"/>
      <c r="F15" s="100"/>
      <c r="G15" s="100"/>
      <c r="I15" s="100"/>
      <c r="J15" s="100"/>
      <c r="K15" s="100"/>
      <c r="L15" s="493"/>
      <c r="M15" s="578"/>
      <c r="N15" s="578"/>
      <c r="O15" s="578"/>
      <c r="P15" s="578"/>
    </row>
    <row r="16" spans="1:17">
      <c r="A16" s="77">
        <v>4</v>
      </c>
      <c r="B16" s="484">
        <v>15560</v>
      </c>
      <c r="C16" s="4" t="s">
        <v>53</v>
      </c>
      <c r="D16" s="489">
        <v>0</v>
      </c>
      <c r="E16" s="489">
        <v>0</v>
      </c>
      <c r="F16" s="489">
        <v>0</v>
      </c>
      <c r="G16" s="489">
        <v>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489">
        <v>0</v>
      </c>
      <c r="N16" s="489">
        <v>0</v>
      </c>
      <c r="O16" s="489">
        <v>0</v>
      </c>
      <c r="P16" s="489">
        <v>0</v>
      </c>
      <c r="Q16" s="1">
        <f>SUM(D16:P16)/13</f>
        <v>0</v>
      </c>
    </row>
    <row r="17" spans="1:17">
      <c r="A17" s="2">
        <v>5</v>
      </c>
      <c r="B17" s="486"/>
      <c r="C17" s="4"/>
      <c r="D17" s="103"/>
      <c r="E17" s="103"/>
      <c r="F17" s="103"/>
      <c r="G17" s="103"/>
      <c r="H17" s="103"/>
      <c r="I17" s="100"/>
      <c r="J17" s="100"/>
      <c r="K17" s="100"/>
      <c r="L17" s="489"/>
      <c r="M17" s="578"/>
      <c r="N17" s="578"/>
      <c r="O17" s="578"/>
      <c r="P17" s="578"/>
    </row>
    <row r="18" spans="1:17" ht="15.75">
      <c r="A18" s="77">
        <v>6</v>
      </c>
      <c r="B18" s="12" t="s">
        <v>1137</v>
      </c>
      <c r="C18" s="26"/>
      <c r="D18" s="487"/>
      <c r="E18" s="487"/>
      <c r="F18" s="487"/>
      <c r="G18" s="102"/>
      <c r="H18" s="102"/>
      <c r="I18" s="102"/>
      <c r="J18" s="102"/>
      <c r="K18" s="102"/>
      <c r="L18" s="489"/>
      <c r="M18" s="578"/>
      <c r="N18" s="578"/>
      <c r="O18" s="578"/>
      <c r="P18" s="578"/>
    </row>
    <row r="19" spans="1:17">
      <c r="A19" s="2">
        <v>7</v>
      </c>
      <c r="B19" s="484">
        <v>15560</v>
      </c>
      <c r="C19" s="4" t="s">
        <v>53</v>
      </c>
      <c r="D19" s="494">
        <v>0</v>
      </c>
      <c r="E19" s="494"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94">
        <v>0</v>
      </c>
      <c r="O19" s="494">
        <v>0</v>
      </c>
      <c r="P19" s="494">
        <v>0</v>
      </c>
      <c r="Q19" s="1">
        <f>SUM(D19:P19)/13</f>
        <v>0</v>
      </c>
    </row>
    <row r="20" spans="1:17">
      <c r="A20" s="77">
        <v>8</v>
      </c>
      <c r="B20" s="486"/>
      <c r="C20" s="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</row>
    <row r="21" spans="1:17" ht="15.75">
      <c r="A21" s="2">
        <v>9</v>
      </c>
      <c r="B21" s="12" t="s">
        <v>692</v>
      </c>
      <c r="D21" s="100"/>
      <c r="E21" s="100"/>
      <c r="F21" s="100"/>
      <c r="G21" s="100"/>
      <c r="I21" s="100"/>
      <c r="J21" s="100"/>
      <c r="K21" s="100"/>
      <c r="L21" s="493"/>
      <c r="M21" s="578"/>
      <c r="N21" s="578"/>
      <c r="O21" s="578"/>
      <c r="P21" s="578"/>
    </row>
    <row r="22" spans="1:17">
      <c r="A22" s="77">
        <v>10</v>
      </c>
      <c r="B22" s="484">
        <v>15560</v>
      </c>
      <c r="C22" s="4" t="s">
        <v>53</v>
      </c>
      <c r="D22" s="489">
        <v>0</v>
      </c>
      <c r="E22" s="489">
        <v>0</v>
      </c>
      <c r="F22" s="489">
        <v>0</v>
      </c>
      <c r="G22" s="489">
        <v>0</v>
      </c>
      <c r="H22" s="489">
        <v>0</v>
      </c>
      <c r="I22" s="489">
        <v>0</v>
      </c>
      <c r="J22" s="489">
        <v>0</v>
      </c>
      <c r="K22" s="489">
        <v>0</v>
      </c>
      <c r="L22" s="489">
        <v>0</v>
      </c>
      <c r="M22" s="489">
        <v>0</v>
      </c>
      <c r="N22" s="489">
        <v>0</v>
      </c>
      <c r="O22" s="489">
        <v>0</v>
      </c>
      <c r="P22" s="489">
        <v>0</v>
      </c>
      <c r="Q22" s="1">
        <f>SUM(D22:P22)/13</f>
        <v>0</v>
      </c>
    </row>
    <row r="23" spans="1:17">
      <c r="A23" s="2"/>
      <c r="B23" s="485"/>
      <c r="D23" s="103"/>
      <c r="E23" s="63"/>
      <c r="F23" s="63"/>
      <c r="G23" s="103"/>
      <c r="H23" s="103"/>
      <c r="I23" s="103"/>
      <c r="J23" s="103"/>
      <c r="K23" s="103"/>
      <c r="L23" s="491"/>
      <c r="M23" s="391"/>
      <c r="N23" s="391"/>
      <c r="O23" s="391"/>
      <c r="P23" s="391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1"/>
      <c r="M24" s="391"/>
      <c r="N24" s="391"/>
      <c r="O24" s="391"/>
      <c r="P24" s="391"/>
    </row>
    <row r="25" spans="1:17">
      <c r="A25" s="47"/>
      <c r="B25" s="47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sqref="A1:C1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9" spans="1:3" ht="15.75">
      <c r="A9" s="1264" t="s">
        <v>1520</v>
      </c>
      <c r="B9" s="1264"/>
      <c r="C9" s="1264"/>
    </row>
    <row r="11" spans="1:3" ht="15.75">
      <c r="A11" s="1252" t="s">
        <v>64</v>
      </c>
      <c r="B11" s="1252"/>
      <c r="C11" s="1252"/>
    </row>
    <row r="14" spans="1:3">
      <c r="A14" s="297" t="s">
        <v>63</v>
      </c>
      <c r="B14" s="691" t="s">
        <v>630</v>
      </c>
      <c r="C14" s="86" t="s">
        <v>1004</v>
      </c>
    </row>
    <row r="15" spans="1:3">
      <c r="A15" s="104"/>
      <c r="B15" s="266"/>
      <c r="C15" s="60"/>
    </row>
    <row r="16" spans="1:3">
      <c r="A16" s="301" t="s">
        <v>379</v>
      </c>
      <c r="B16" s="615"/>
      <c r="C16" s="60" t="s">
        <v>64</v>
      </c>
    </row>
    <row r="17" spans="1:3">
      <c r="A17" s="301" t="s">
        <v>145</v>
      </c>
      <c r="B17" s="615"/>
      <c r="C17" s="60" t="s">
        <v>129</v>
      </c>
    </row>
    <row r="18" spans="1:3">
      <c r="A18" s="301" t="s">
        <v>1189</v>
      </c>
      <c r="B18" s="615"/>
      <c r="C18" s="60" t="s">
        <v>1159</v>
      </c>
    </row>
    <row r="19" spans="1:3">
      <c r="A19" s="301" t="s">
        <v>3</v>
      </c>
      <c r="B19" s="615"/>
      <c r="C19" s="60" t="s">
        <v>474</v>
      </c>
    </row>
    <row r="20" spans="1:3">
      <c r="A20" s="301" t="s">
        <v>473</v>
      </c>
      <c r="B20" s="615"/>
      <c r="C20" t="s">
        <v>475</v>
      </c>
    </row>
    <row r="21" spans="1:3">
      <c r="B21" s="106"/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view="pageBreakPreview" zoomScaleNormal="100" zoomScaleSheetLayoutView="100" workbookViewId="0">
      <selection sqref="A1:C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14" spans="1:3" ht="15.75">
      <c r="A14" s="379" t="s">
        <v>63</v>
      </c>
      <c r="B14" s="379"/>
      <c r="C14" s="379" t="s">
        <v>1004</v>
      </c>
    </row>
    <row r="15" spans="1:3">
      <c r="A15" s="104"/>
      <c r="B15" s="60"/>
      <c r="C15" s="60"/>
    </row>
    <row r="16" spans="1:3">
      <c r="A16" s="104" t="s">
        <v>175</v>
      </c>
      <c r="B16" s="104"/>
      <c r="C16" s="104" t="s">
        <v>1019</v>
      </c>
    </row>
  </sheetData>
  <mergeCells count="4"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sqref="A1:J1"/>
    </sheetView>
  </sheetViews>
  <sheetFormatPr defaultColWidth="10.109375" defaultRowHeight="15"/>
  <cols>
    <col min="1" max="1" width="5.21875" style="60" customWidth="1"/>
    <col min="2" max="2" width="2.21875" style="60" customWidth="1"/>
    <col min="3" max="3" width="26.109375" style="60" customWidth="1"/>
    <col min="4" max="4" width="13.21875" style="60" customWidth="1"/>
    <col min="5" max="5" width="2.33203125" style="60" customWidth="1"/>
    <col min="6" max="6" width="13.21875" style="60" customWidth="1"/>
    <col min="7" max="7" width="2.109375" style="60" customWidth="1"/>
    <col min="8" max="8" width="12.88671875" style="60" customWidth="1"/>
    <col min="9" max="9" width="2.109375" style="60" customWidth="1"/>
    <col min="10" max="10" width="13.88671875" style="60" customWidth="1"/>
    <col min="11" max="11" width="4.88671875" style="60" customWidth="1"/>
    <col min="12" max="12" width="6.5546875" style="60" bestFit="1" customWidth="1"/>
    <col min="13" max="13" width="11.109375" style="60" customWidth="1"/>
    <col min="14" max="14" width="8" style="60" bestFit="1" customWidth="1"/>
    <col min="15" max="15" width="12" style="60" customWidth="1"/>
    <col min="16" max="16" width="10.109375" style="60" customWidth="1"/>
    <col min="17" max="17" width="3.21875" style="60" customWidth="1"/>
    <col min="18" max="18" width="11.88671875" style="60" customWidth="1"/>
    <col min="19" max="19" width="1.33203125" style="60" customWidth="1"/>
    <col min="20" max="20" width="12.33203125" style="60" customWidth="1"/>
    <col min="21" max="21" width="1.6640625" style="60" customWidth="1"/>
    <col min="22" max="22" width="10.5546875" style="60" bestFit="1" customWidth="1"/>
    <col min="23" max="23" width="0.88671875" style="60" customWidth="1"/>
    <col min="24" max="24" width="10.44140625" style="60" bestFit="1" customWidth="1"/>
    <col min="25" max="16384" width="10.109375" style="60"/>
  </cols>
  <sheetData>
    <row r="1" spans="1:24" s="1" customFormat="1">
      <c r="A1" s="1265" t="str">
        <f>'Table of Contents'!A1:C1</f>
        <v>Atmos Energy Corporation, Kentucky/Mid-States Division</v>
      </c>
      <c r="B1" s="1265"/>
      <c r="C1" s="1265"/>
      <c r="D1" s="1265"/>
      <c r="E1" s="1265"/>
      <c r="F1" s="1265"/>
      <c r="G1" s="1265"/>
      <c r="H1" s="1265"/>
      <c r="I1" s="1265"/>
      <c r="J1" s="1265"/>
    </row>
    <row r="2" spans="1:24" s="1" customFormat="1">
      <c r="A2" s="1265" t="str">
        <f>'Table of Contents'!A2:C2</f>
        <v>Kentucky Jurisdiction Case No. 2015-00343</v>
      </c>
      <c r="B2" s="1265"/>
      <c r="C2" s="1265"/>
      <c r="D2" s="1265"/>
      <c r="E2" s="1265"/>
      <c r="F2" s="1265"/>
      <c r="G2" s="1265"/>
      <c r="H2" s="1265"/>
      <c r="I2" s="1265"/>
      <c r="J2" s="1265"/>
    </row>
    <row r="3" spans="1:24" s="1" customFormat="1">
      <c r="A3" s="1265" t="s">
        <v>64</v>
      </c>
      <c r="B3" s="1265"/>
      <c r="C3" s="1265"/>
      <c r="D3" s="1265"/>
      <c r="E3" s="1265"/>
      <c r="F3" s="1265"/>
      <c r="G3" s="1265"/>
      <c r="H3" s="1265"/>
      <c r="I3" s="1265"/>
      <c r="J3" s="1265"/>
    </row>
    <row r="4" spans="1:24" s="1" customFormat="1">
      <c r="A4" s="1265" t="str">
        <f>'Table of Contents'!A4:C4</f>
        <v>Forecasted Test Period: Twelve Months Ended May 31, 2017</v>
      </c>
      <c r="B4" s="1265"/>
      <c r="C4" s="1265"/>
      <c r="D4" s="1265"/>
      <c r="E4" s="1265"/>
      <c r="F4" s="1265"/>
      <c r="G4" s="1265"/>
      <c r="H4" s="1265"/>
      <c r="I4" s="1265"/>
      <c r="J4" s="1265"/>
    </row>
    <row r="5" spans="1:24" s="1" customFormat="1">
      <c r="A5" s="586"/>
      <c r="B5" s="586"/>
      <c r="C5" s="586"/>
      <c r="D5" s="586"/>
      <c r="E5" s="586"/>
      <c r="F5" s="586"/>
      <c r="G5" s="586"/>
      <c r="H5" s="586"/>
      <c r="I5" s="586"/>
      <c r="J5" s="586"/>
    </row>
    <row r="6" spans="1:24" s="1" customFormat="1"/>
    <row r="7" spans="1:24" s="1" customFormat="1">
      <c r="A7" s="4" t="s">
        <v>878</v>
      </c>
      <c r="I7" s="4"/>
      <c r="J7" s="488" t="s">
        <v>1521</v>
      </c>
    </row>
    <row r="8" spans="1:24" s="1" customFormat="1">
      <c r="A8" s="4" t="s">
        <v>631</v>
      </c>
      <c r="H8" s="4"/>
      <c r="I8" s="4"/>
      <c r="J8" s="645" t="s">
        <v>270</v>
      </c>
    </row>
    <row r="9" spans="1:24" s="1" customFormat="1">
      <c r="A9" s="5" t="s">
        <v>375</v>
      </c>
      <c r="B9" s="6"/>
      <c r="C9" s="6"/>
      <c r="D9" s="6"/>
      <c r="E9" s="6"/>
      <c r="F9" s="6"/>
      <c r="G9" s="6"/>
      <c r="H9" s="5"/>
      <c r="I9" s="5"/>
      <c r="J9" s="723" t="s">
        <v>1391</v>
      </c>
    </row>
    <row r="10" spans="1:24" s="1" customFormat="1">
      <c r="D10" s="77" t="s">
        <v>45</v>
      </c>
      <c r="F10" s="2" t="s">
        <v>44</v>
      </c>
      <c r="J10" s="2" t="s">
        <v>44</v>
      </c>
      <c r="R10" s="977"/>
      <c r="S10" s="977"/>
      <c r="T10" s="977"/>
      <c r="U10" s="977"/>
      <c r="V10" s="977"/>
      <c r="W10" s="977"/>
      <c r="X10" s="977"/>
    </row>
    <row r="11" spans="1:24" s="1" customFormat="1">
      <c r="A11" s="2" t="s">
        <v>98</v>
      </c>
      <c r="D11" s="2" t="s">
        <v>443</v>
      </c>
      <c r="F11" s="2" t="s">
        <v>443</v>
      </c>
      <c r="H11" s="2" t="s">
        <v>409</v>
      </c>
      <c r="J11" s="2" t="s">
        <v>443</v>
      </c>
      <c r="R11" s="977"/>
      <c r="S11" s="977"/>
      <c r="T11" s="977"/>
      <c r="U11" s="977"/>
      <c r="V11" s="977"/>
      <c r="W11" s="977"/>
      <c r="X11" s="977"/>
    </row>
    <row r="12" spans="1:24">
      <c r="A12" s="9" t="s">
        <v>104</v>
      </c>
      <c r="B12" s="6"/>
      <c r="C12" s="5" t="s">
        <v>1004</v>
      </c>
      <c r="D12" s="9" t="s">
        <v>441</v>
      </c>
      <c r="E12" s="6"/>
      <c r="F12" s="9" t="s">
        <v>441</v>
      </c>
      <c r="G12" s="6"/>
      <c r="H12" s="9" t="s">
        <v>1132</v>
      </c>
      <c r="I12" s="6"/>
      <c r="J12" s="9" t="s">
        <v>442</v>
      </c>
      <c r="K12" s="1"/>
      <c r="L12" s="977"/>
      <c r="M12" s="1"/>
      <c r="N12" s="1"/>
      <c r="O12" s="985"/>
      <c r="P12" s="986"/>
      <c r="R12" s="977"/>
      <c r="S12" s="977"/>
      <c r="T12" s="977"/>
      <c r="U12" s="977"/>
      <c r="V12" s="987"/>
      <c r="W12" s="987"/>
      <c r="X12" s="977"/>
    </row>
    <row r="13" spans="1:24">
      <c r="D13" s="258"/>
      <c r="F13" s="258"/>
      <c r="H13" s="258"/>
      <c r="J13" s="258"/>
      <c r="L13" s="977"/>
      <c r="O13" s="986"/>
      <c r="P13" s="986"/>
      <c r="R13" s="988"/>
      <c r="S13" s="977"/>
      <c r="T13" s="977"/>
      <c r="U13" s="977"/>
      <c r="V13" s="988"/>
      <c r="W13" s="988"/>
      <c r="X13" s="977"/>
    </row>
    <row r="14" spans="1:24">
      <c r="F14" s="266"/>
      <c r="L14" s="977"/>
      <c r="O14" s="880"/>
      <c r="P14" s="880"/>
      <c r="R14" s="977"/>
      <c r="S14" s="977"/>
      <c r="T14" s="977"/>
      <c r="U14" s="977"/>
      <c r="V14" s="977"/>
      <c r="W14" s="977"/>
      <c r="X14" s="977"/>
    </row>
    <row r="15" spans="1:24">
      <c r="A15" s="258">
        <v>1</v>
      </c>
      <c r="C15" s="245" t="s">
        <v>755</v>
      </c>
      <c r="D15" s="384">
        <f>+C.2!D14</f>
        <v>159871899.65203637</v>
      </c>
      <c r="E15" s="266"/>
      <c r="F15" s="384">
        <f>C.2!O14</f>
        <v>166804655.47242033</v>
      </c>
      <c r="G15" s="257"/>
      <c r="H15" s="632">
        <f>A.1!G32</f>
        <v>500000</v>
      </c>
      <c r="I15" s="257"/>
      <c r="J15" s="632">
        <f>+F15+H15</f>
        <v>167304655.47242033</v>
      </c>
      <c r="K15" s="257"/>
      <c r="L15" s="1004"/>
      <c r="M15" s="632"/>
      <c r="N15" s="257"/>
      <c r="O15" s="883"/>
      <c r="P15" s="881"/>
      <c r="Q15" s="257"/>
      <c r="R15" s="989"/>
      <c r="S15" s="989"/>
      <c r="T15" s="989"/>
      <c r="U15" s="977"/>
      <c r="V15" s="977"/>
      <c r="W15" s="977"/>
      <c r="X15" s="977"/>
    </row>
    <row r="16" spans="1:24">
      <c r="D16" s="266"/>
      <c r="E16" s="266"/>
      <c r="F16" s="298"/>
      <c r="G16" s="257"/>
      <c r="H16" s="257"/>
      <c r="I16" s="257"/>
      <c r="J16" s="257"/>
      <c r="K16" s="257"/>
      <c r="L16" s="995"/>
      <c r="M16" s="257"/>
      <c r="N16" s="257"/>
      <c r="O16" s="882"/>
      <c r="P16" s="881"/>
      <c r="Q16" s="257"/>
      <c r="R16" s="990"/>
      <c r="S16" s="990"/>
      <c r="T16" s="991"/>
      <c r="U16" s="977"/>
      <c r="V16" s="977"/>
      <c r="W16" s="977"/>
      <c r="X16" s="977"/>
    </row>
    <row r="17" spans="1:24">
      <c r="A17" s="258">
        <v>2</v>
      </c>
      <c r="C17" s="245" t="s">
        <v>1009</v>
      </c>
      <c r="D17" s="266"/>
      <c r="E17" s="266"/>
      <c r="F17" s="298"/>
      <c r="G17" s="257"/>
      <c r="H17" s="257"/>
      <c r="I17" s="257"/>
      <c r="J17" s="257"/>
      <c r="K17" s="257"/>
      <c r="L17" s="995"/>
      <c r="M17" s="257"/>
      <c r="N17" s="257"/>
      <c r="O17" s="882"/>
      <c r="P17" s="881"/>
      <c r="Q17" s="257"/>
      <c r="R17" s="990"/>
      <c r="S17" s="990"/>
      <c r="T17" s="991"/>
      <c r="U17" s="977"/>
      <c r="V17" s="977"/>
      <c r="W17" s="977"/>
      <c r="X17" s="977"/>
    </row>
    <row r="18" spans="1:24">
      <c r="A18" s="258">
        <v>3</v>
      </c>
      <c r="C18" s="324" t="s">
        <v>24</v>
      </c>
      <c r="D18" s="388">
        <f>+C.2!D17</f>
        <v>77033020.869385153</v>
      </c>
      <c r="E18" s="681"/>
      <c r="F18" s="388">
        <f>C.2!O17</f>
        <v>79378176.690454662</v>
      </c>
      <c r="G18" s="388"/>
      <c r="H18" s="388"/>
      <c r="I18" s="388"/>
      <c r="J18" s="388">
        <f>+F18+H18</f>
        <v>79378176.690454662</v>
      </c>
      <c r="K18" s="257"/>
      <c r="L18" s="1004"/>
      <c r="M18" s="257"/>
      <c r="O18" s="883"/>
      <c r="P18" s="881"/>
      <c r="Q18" s="257"/>
      <c r="R18" s="989"/>
      <c r="S18" s="992"/>
      <c r="T18" s="989"/>
      <c r="U18" s="977"/>
      <c r="V18" s="977"/>
      <c r="W18" s="977"/>
      <c r="X18" s="977"/>
    </row>
    <row r="19" spans="1:24">
      <c r="A19" s="258">
        <v>4</v>
      </c>
      <c r="C19" s="324" t="s">
        <v>471</v>
      </c>
      <c r="D19" s="388">
        <f>SUM(C.2!D18:D25)</f>
        <v>26647444.677202497</v>
      </c>
      <c r="E19" s="681"/>
      <c r="F19" s="388">
        <f>SUM(C.2!O18:O25)</f>
        <v>25606952.783307165</v>
      </c>
      <c r="G19" s="388"/>
      <c r="H19" s="388">
        <f>+(H15*H.1!E19)</f>
        <v>2500</v>
      </c>
      <c r="I19" s="388"/>
      <c r="J19" s="388">
        <f>+F19+H19</f>
        <v>25609452.783307165</v>
      </c>
      <c r="K19" s="257"/>
      <c r="L19" s="1004"/>
      <c r="M19" s="881"/>
      <c r="N19" s="983"/>
      <c r="O19" s="883"/>
      <c r="P19" s="881"/>
      <c r="Q19" s="257"/>
      <c r="R19" s="989"/>
      <c r="S19" s="992"/>
      <c r="T19" s="989"/>
      <c r="U19" s="977"/>
      <c r="V19" s="977"/>
      <c r="W19" s="977"/>
      <c r="X19" s="977"/>
    </row>
    <row r="20" spans="1:24">
      <c r="A20" s="258">
        <v>5</v>
      </c>
      <c r="C20" s="245" t="s">
        <v>1071</v>
      </c>
      <c r="D20" s="388">
        <f>+C.2!D26</f>
        <v>18252729.938099388</v>
      </c>
      <c r="E20" s="681"/>
      <c r="F20" s="388">
        <f>+C.2!O26</f>
        <v>19425053.445990987</v>
      </c>
      <c r="G20" s="694"/>
      <c r="H20" s="388"/>
      <c r="I20" s="694"/>
      <c r="J20" s="694">
        <f>+F20+H20</f>
        <v>19425053.445990987</v>
      </c>
      <c r="K20" s="257"/>
      <c r="L20" s="1004"/>
      <c r="M20" s="257"/>
      <c r="N20" s="984"/>
      <c r="O20" s="883"/>
      <c r="P20" s="881"/>
      <c r="Q20" s="257"/>
      <c r="R20" s="989"/>
      <c r="S20" s="992"/>
      <c r="T20" s="989"/>
      <c r="U20" s="977"/>
      <c r="V20" s="977"/>
      <c r="W20" s="977"/>
      <c r="X20" s="977"/>
    </row>
    <row r="21" spans="1:24">
      <c r="A21" s="258">
        <v>6</v>
      </c>
      <c r="C21" s="245" t="s">
        <v>642</v>
      </c>
      <c r="D21" s="388">
        <f>+C.2!D27</f>
        <v>6437544.724313166</v>
      </c>
      <c r="E21" s="681"/>
      <c r="F21" s="388">
        <f>+C.2!O27</f>
        <v>6100220.1526932763</v>
      </c>
      <c r="G21" s="694"/>
      <c r="H21" s="388">
        <f>(H15*H.1!E21)</f>
        <v>950.5</v>
      </c>
      <c r="I21" s="694"/>
      <c r="J21" s="694">
        <f>+F21+H21</f>
        <v>6101170.6526932763</v>
      </c>
      <c r="K21" s="257"/>
      <c r="L21" s="1004"/>
      <c r="M21" s="881"/>
      <c r="N21" s="983"/>
      <c r="O21" s="883"/>
      <c r="P21" s="881"/>
      <c r="Q21" s="257"/>
      <c r="R21" s="989"/>
      <c r="S21" s="992"/>
      <c r="T21" s="989"/>
      <c r="U21" s="977"/>
      <c r="V21" s="977"/>
      <c r="W21" s="977"/>
      <c r="X21" s="977"/>
    </row>
    <row r="22" spans="1:24">
      <c r="A22" s="258">
        <v>7</v>
      </c>
      <c r="C22" s="245"/>
      <c r="D22" s="545"/>
      <c r="E22" s="545"/>
      <c r="F22" s="694"/>
      <c r="G22" s="694"/>
      <c r="H22" s="388"/>
      <c r="I22" s="694"/>
      <c r="J22" s="694"/>
      <c r="K22" s="257"/>
      <c r="L22" s="995"/>
      <c r="M22" s="257"/>
      <c r="O22" s="883"/>
      <c r="P22" s="881"/>
      <c r="Q22" s="257"/>
      <c r="R22" s="993"/>
      <c r="S22" s="993"/>
      <c r="T22" s="994"/>
      <c r="U22" s="977"/>
      <c r="V22" s="977"/>
      <c r="W22" s="977"/>
      <c r="X22" s="977"/>
    </row>
    <row r="23" spans="1:24">
      <c r="A23" s="258">
        <v>8</v>
      </c>
      <c r="C23" s="245" t="s">
        <v>312</v>
      </c>
      <c r="D23" s="695">
        <f>+E!E23</f>
        <v>9464192.1453126315</v>
      </c>
      <c r="E23" s="545"/>
      <c r="F23" s="695">
        <f>E!G23</f>
        <v>10829154.994175358</v>
      </c>
      <c r="G23" s="694"/>
      <c r="H23" s="695">
        <f>((+H15-H19-H21)*0.06)+((+H15-H19-H21-((+H15-H19-H21)*0.06))*0.35)</f>
        <v>193157.7555</v>
      </c>
      <c r="I23" s="694"/>
      <c r="J23" s="696">
        <f>+F23+H23</f>
        <v>11022312.749675358</v>
      </c>
      <c r="K23" s="257"/>
      <c r="L23" s="1004"/>
      <c r="M23" s="257"/>
      <c r="N23" s="257"/>
      <c r="O23" s="883"/>
      <c r="P23" s="881"/>
      <c r="Q23" s="257"/>
      <c r="R23" s="989"/>
      <c r="S23" s="992"/>
      <c r="T23" s="989"/>
      <c r="U23" s="977"/>
      <c r="V23" s="977"/>
      <c r="W23" s="977"/>
      <c r="X23" s="977"/>
    </row>
    <row r="24" spans="1:24">
      <c r="A24" s="258">
        <v>9</v>
      </c>
      <c r="C24" s="245" t="s">
        <v>1141</v>
      </c>
      <c r="D24" s="632">
        <f>SUM(D18:D23)</f>
        <v>137834932.35431284</v>
      </c>
      <c r="F24" s="384">
        <f>SUM(F18:F23)</f>
        <v>141339558.06662142</v>
      </c>
      <c r="G24" s="257"/>
      <c r="H24" s="632">
        <f>SUM(H18:H23)</f>
        <v>196608.2555</v>
      </c>
      <c r="I24" s="257"/>
      <c r="J24" s="632">
        <f>SUM(J18:J23)</f>
        <v>141536166.32212144</v>
      </c>
      <c r="K24" s="257"/>
      <c r="L24" s="1004"/>
      <c r="M24" s="257"/>
      <c r="N24" s="257"/>
      <c r="O24" s="883"/>
      <c r="P24" s="881"/>
      <c r="Q24" s="257"/>
      <c r="R24" s="989"/>
      <c r="S24" s="992"/>
      <c r="T24" s="989"/>
      <c r="U24" s="977"/>
      <c r="V24" s="977"/>
      <c r="W24" s="977"/>
      <c r="X24" s="977"/>
    </row>
    <row r="25" spans="1:24">
      <c r="D25" s="257"/>
      <c r="F25" s="298"/>
      <c r="G25" s="257"/>
      <c r="H25" s="257"/>
      <c r="I25" s="257"/>
      <c r="J25" s="257"/>
      <c r="K25" s="257"/>
      <c r="L25" s="995"/>
      <c r="M25" s="257"/>
      <c r="N25" s="257"/>
      <c r="O25" s="882"/>
      <c r="P25" s="881"/>
      <c r="Q25" s="257"/>
      <c r="R25" s="989"/>
      <c r="S25" s="992"/>
      <c r="T25" s="989"/>
      <c r="U25" s="977"/>
      <c r="V25" s="977"/>
      <c r="W25" s="977"/>
      <c r="X25" s="977"/>
    </row>
    <row r="26" spans="1:24" ht="15.75" thickBot="1">
      <c r="A26" s="258">
        <v>10</v>
      </c>
      <c r="C26" s="245" t="s">
        <v>810</v>
      </c>
      <c r="D26" s="692">
        <f>D15-D24</f>
        <v>22036967.297723532</v>
      </c>
      <c r="F26" s="693">
        <f>F15-F24</f>
        <v>25465097.405798912</v>
      </c>
      <c r="G26" s="257"/>
      <c r="H26" s="693">
        <f>H15-H24</f>
        <v>303391.74450000003</v>
      </c>
      <c r="I26" s="257"/>
      <c r="J26" s="692">
        <f>J15-J24</f>
        <v>25768489.150298893</v>
      </c>
      <c r="K26" s="257"/>
      <c r="L26" s="1004"/>
      <c r="M26" s="257"/>
      <c r="N26" s="257"/>
      <c r="O26" s="883"/>
      <c r="P26" s="881"/>
      <c r="Q26" s="257"/>
      <c r="R26" s="989"/>
      <c r="S26" s="992"/>
      <c r="T26" s="989"/>
      <c r="U26" s="977"/>
      <c r="V26" s="977"/>
      <c r="W26" s="977"/>
      <c r="X26" s="977"/>
    </row>
    <row r="27" spans="1:24" ht="15.75" thickTop="1">
      <c r="F27" s="298"/>
      <c r="G27" s="257"/>
      <c r="H27" s="257"/>
      <c r="I27" s="257"/>
      <c r="J27" s="257"/>
      <c r="K27" s="257"/>
      <c r="L27" s="995"/>
      <c r="M27" s="257"/>
      <c r="N27" s="257"/>
      <c r="O27" s="257"/>
      <c r="P27" s="257"/>
      <c r="Q27" s="257"/>
      <c r="R27" s="977"/>
      <c r="S27" s="993"/>
      <c r="T27" s="991"/>
      <c r="U27" s="977"/>
      <c r="V27" s="977"/>
      <c r="W27" s="977"/>
      <c r="X27" s="977"/>
    </row>
    <row r="28" spans="1:24">
      <c r="A28" s="258">
        <v>11</v>
      </c>
      <c r="C28" s="245" t="s">
        <v>276</v>
      </c>
      <c r="D28" s="388">
        <f>+'B.1 B'!F27</f>
        <v>294399069.49674368</v>
      </c>
      <c r="E28" s="545"/>
      <c r="F28" s="388">
        <f>+'B.1 F '!F27</f>
        <v>334221647.62333924</v>
      </c>
      <c r="G28" s="694"/>
      <c r="H28" s="694"/>
      <c r="I28" s="694"/>
      <c r="J28" s="694">
        <f>+'B.1 F '!F27</f>
        <v>334221647.62333924</v>
      </c>
      <c r="K28" s="257"/>
      <c r="L28" s="995"/>
      <c r="M28" s="257"/>
      <c r="N28" s="257"/>
      <c r="O28" s="257"/>
      <c r="P28" s="257"/>
      <c r="Q28" s="257"/>
      <c r="R28" s="989"/>
      <c r="S28" s="993"/>
      <c r="T28" s="989"/>
      <c r="U28" s="977"/>
      <c r="V28" s="977"/>
      <c r="W28" s="977"/>
      <c r="X28" s="977"/>
    </row>
    <row r="29" spans="1:24"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977"/>
      <c r="S29" s="977"/>
      <c r="T29" s="995"/>
      <c r="U29" s="977"/>
      <c r="V29" s="977"/>
      <c r="W29" s="977"/>
      <c r="X29" s="977"/>
    </row>
    <row r="30" spans="1:24">
      <c r="A30" s="258">
        <v>12</v>
      </c>
      <c r="C30" s="245" t="s">
        <v>754</v>
      </c>
      <c r="D30" s="380">
        <f>(D26/D28)</f>
        <v>7.4854065725799723E-2</v>
      </c>
      <c r="F30" s="380">
        <f>(F26/F28)</f>
        <v>7.6192244239360399E-2</v>
      </c>
      <c r="H30" s="302"/>
      <c r="J30" s="380">
        <f>(J26/J28)</f>
        <v>7.7100000354673126E-2</v>
      </c>
      <c r="K30" s="257"/>
      <c r="L30" s="257"/>
      <c r="M30" s="257"/>
      <c r="R30" s="996"/>
      <c r="S30" s="977"/>
      <c r="T30" s="996"/>
      <c r="U30" s="977"/>
      <c r="V30" s="996"/>
      <c r="W30" s="996"/>
      <c r="X30" s="996"/>
    </row>
    <row r="31" spans="1:24">
      <c r="F31" s="257"/>
      <c r="H31" s="302"/>
      <c r="J31" s="257"/>
      <c r="K31" s="257"/>
      <c r="L31" s="257"/>
      <c r="M31" s="257"/>
      <c r="R31" s="977"/>
      <c r="S31" s="977"/>
      <c r="T31" s="977"/>
      <c r="U31" s="977"/>
      <c r="V31" s="977"/>
      <c r="W31" s="977"/>
      <c r="X31" s="977"/>
    </row>
    <row r="32" spans="1:24">
      <c r="F32" s="257"/>
      <c r="H32" s="257"/>
      <c r="J32" s="257"/>
      <c r="K32" s="257"/>
      <c r="L32" s="257"/>
      <c r="M32" s="257"/>
      <c r="R32" s="977"/>
      <c r="S32" s="977"/>
      <c r="T32" s="977"/>
      <c r="U32" s="977"/>
      <c r="V32" s="977"/>
      <c r="W32" s="977"/>
      <c r="X32" s="977"/>
    </row>
    <row r="33" spans="3:24">
      <c r="C33" s="888"/>
      <c r="D33" s="889"/>
      <c r="E33" s="889"/>
      <c r="F33" s="889"/>
      <c r="G33" s="889"/>
      <c r="H33" s="889"/>
      <c r="I33" s="889"/>
      <c r="J33" s="889"/>
      <c r="K33" s="257"/>
      <c r="L33" s="257"/>
      <c r="M33" s="257"/>
      <c r="R33" s="977"/>
      <c r="S33" s="977"/>
      <c r="T33" s="977"/>
      <c r="U33" s="977"/>
      <c r="V33" s="977"/>
      <c r="W33" s="977"/>
      <c r="X33" s="977"/>
    </row>
    <row r="34" spans="3:24">
      <c r="F34" s="257"/>
      <c r="K34" s="257"/>
      <c r="L34" s="257"/>
      <c r="M34" s="257"/>
    </row>
    <row r="35" spans="3:24">
      <c r="F35" s="257"/>
      <c r="K35" s="257"/>
      <c r="L35" s="257"/>
      <c r="M35" s="257"/>
    </row>
  </sheetData>
  <mergeCells count="4">
    <mergeCell ref="A1:J1"/>
    <mergeCell ref="A2:J2"/>
    <mergeCell ref="A3:J3"/>
    <mergeCell ref="A4:J4"/>
  </mergeCells>
  <phoneticPr fontId="24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00"/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60" customWidth="1"/>
    <col min="2" max="2" width="2.21875" style="60" customWidth="1"/>
    <col min="3" max="3" width="27.5546875" style="60" customWidth="1"/>
    <col min="4" max="4" width="13.109375" style="60" bestFit="1" customWidth="1"/>
    <col min="5" max="5" width="1.33203125" style="60" customWidth="1"/>
    <col min="6" max="6" width="12.6640625" style="60" customWidth="1"/>
    <col min="7" max="7" width="6.21875" style="60" bestFit="1" customWidth="1"/>
    <col min="8" max="8" width="7.33203125" style="60" customWidth="1"/>
    <col min="9" max="9" width="6" style="60" customWidth="1"/>
    <col min="10" max="10" width="1.44140625" style="60" customWidth="1"/>
    <col min="11" max="11" width="12.88671875" style="60" customWidth="1"/>
    <col min="12" max="12" width="1.44140625" style="60" customWidth="1"/>
    <col min="13" max="13" width="14.109375" style="60" customWidth="1"/>
    <col min="14" max="14" width="14.5546875" style="60" customWidth="1"/>
    <col min="15" max="15" width="13.44140625" style="60" customWidth="1"/>
    <col min="16" max="16" width="11.77734375" style="60" bestFit="1" customWidth="1"/>
    <col min="17" max="17" width="2.109375" style="60" customWidth="1"/>
    <col min="18" max="18" width="8.5546875" style="60" customWidth="1"/>
    <col min="19" max="21" width="7.109375" style="60"/>
    <col min="22" max="22" width="8" style="60" bestFit="1" customWidth="1"/>
    <col min="23" max="23" width="9.21875" style="60" customWidth="1"/>
    <col min="24" max="16384" width="7.109375" style="60"/>
  </cols>
  <sheetData>
    <row r="1" spans="1:20" s="1" customFormat="1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</row>
    <row r="2" spans="1:20" s="1" customFormat="1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</row>
    <row r="3" spans="1:20" s="1" customFormat="1">
      <c r="A3" s="1266" t="s">
        <v>411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</row>
    <row r="4" spans="1:20" s="1" customFormat="1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</row>
    <row r="5" spans="1:20" s="1" customFormat="1">
      <c r="A5" s="1266" t="str">
        <f>'Table of Contents'!A4:C4</f>
        <v>Forecasted Test Period: Twelve Months Ended May 31, 2017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</row>
    <row r="6" spans="1:20" s="1" customFormat="1">
      <c r="C6" s="325"/>
    </row>
    <row r="7" spans="1:20" s="1" customFormat="1">
      <c r="A7" s="4" t="str">
        <f>C.1!A7</f>
        <v>Data:__X____Base Period___X___Forecasted Period</v>
      </c>
      <c r="K7" s="326"/>
      <c r="O7" s="488" t="s">
        <v>1522</v>
      </c>
    </row>
    <row r="8" spans="1:20" s="1" customFormat="1">
      <c r="A8" s="4" t="str">
        <f>C.1!A8</f>
        <v>Type of Filing:___X____Original________Updated ________Revised</v>
      </c>
      <c r="K8" s="326"/>
      <c r="O8" s="647" t="s">
        <v>271</v>
      </c>
    </row>
    <row r="9" spans="1:20" s="1" customFormat="1">
      <c r="A9" s="73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327"/>
      <c r="L9" s="6"/>
      <c r="M9" s="45"/>
      <c r="N9" s="45"/>
      <c r="O9" s="648" t="str">
        <f>C.1!J9</f>
        <v>Witness: Waller, Smith</v>
      </c>
    </row>
    <row r="10" spans="1:20">
      <c r="A10" s="1"/>
      <c r="B10" s="1"/>
      <c r="C10" s="1"/>
      <c r="D10" s="2" t="s">
        <v>1148</v>
      </c>
      <c r="E10" s="1"/>
      <c r="F10" s="1"/>
      <c r="G10" s="328"/>
      <c r="H10" s="104" t="s">
        <v>1412</v>
      </c>
      <c r="K10" s="258" t="s">
        <v>44</v>
      </c>
      <c r="O10" s="104" t="s">
        <v>133</v>
      </c>
    </row>
    <row r="11" spans="1:20">
      <c r="A11" s="278" t="s">
        <v>98</v>
      </c>
      <c r="C11" s="258" t="s">
        <v>1151</v>
      </c>
      <c r="D11" s="278" t="s">
        <v>756</v>
      </c>
      <c r="F11" s="104" t="s">
        <v>464</v>
      </c>
      <c r="G11" s="104" t="s">
        <v>462</v>
      </c>
      <c r="H11" s="258" t="s">
        <v>1413</v>
      </c>
      <c r="I11" s="104" t="s">
        <v>462</v>
      </c>
      <c r="K11" s="278" t="s">
        <v>756</v>
      </c>
      <c r="M11" s="104" t="s">
        <v>132</v>
      </c>
      <c r="N11" s="104" t="s">
        <v>462</v>
      </c>
      <c r="O11" s="104" t="s">
        <v>134</v>
      </c>
    </row>
    <row r="12" spans="1:20">
      <c r="A12" s="329" t="s">
        <v>104</v>
      </c>
      <c r="B12" s="260"/>
      <c r="C12" s="329" t="s">
        <v>1150</v>
      </c>
      <c r="D12" s="303" t="s">
        <v>1149</v>
      </c>
      <c r="E12" s="260"/>
      <c r="F12" s="303" t="s">
        <v>1006</v>
      </c>
      <c r="G12" s="330" t="s">
        <v>463</v>
      </c>
      <c r="H12" s="303" t="s">
        <v>1414</v>
      </c>
      <c r="I12" s="330" t="s">
        <v>463</v>
      </c>
      <c r="J12" s="260"/>
      <c r="K12" s="303" t="s">
        <v>1149</v>
      </c>
      <c r="L12" s="260"/>
      <c r="M12" s="575" t="s">
        <v>1006</v>
      </c>
      <c r="N12" s="330" t="s">
        <v>463</v>
      </c>
      <c r="O12" s="297" t="s">
        <v>1007</v>
      </c>
    </row>
    <row r="13" spans="1:20">
      <c r="C13" s="16"/>
      <c r="D13" s="258"/>
      <c r="F13" s="258"/>
      <c r="H13" s="258"/>
      <c r="K13" s="283"/>
      <c r="M13" s="1010"/>
      <c r="O13" s="258"/>
    </row>
    <row r="14" spans="1:20">
      <c r="A14" s="331">
        <v>1</v>
      </c>
      <c r="C14" s="245" t="s">
        <v>755</v>
      </c>
      <c r="D14" s="697">
        <f>+'C.2.1 B'!D32</f>
        <v>159871899.65203637</v>
      </c>
      <c r="E14" s="266"/>
      <c r="F14" s="384">
        <f>+K14-D14</f>
        <v>6932755.820383966</v>
      </c>
      <c r="G14" s="339" t="s">
        <v>1085</v>
      </c>
      <c r="H14" s="298"/>
      <c r="I14" s="266"/>
      <c r="J14" s="266"/>
      <c r="K14" s="697">
        <f>'C.2.1 F'!D28</f>
        <v>166804655.47242033</v>
      </c>
      <c r="L14" s="334"/>
      <c r="M14" s="384">
        <v>0</v>
      </c>
      <c r="N14" s="334"/>
      <c r="O14" s="384">
        <f>+K14+M14</f>
        <v>166804655.47242033</v>
      </c>
      <c r="P14" s="332"/>
    </row>
    <row r="15" spans="1:20">
      <c r="A15" s="309">
        <v>2</v>
      </c>
      <c r="C15" s="328"/>
      <c r="D15" s="334"/>
      <c r="E15" s="266"/>
      <c r="F15" s="334"/>
      <c r="G15" s="334"/>
      <c r="H15" s="334"/>
      <c r="I15" s="266"/>
      <c r="J15" s="266"/>
      <c r="K15" s="334"/>
      <c r="L15" s="334"/>
      <c r="M15" s="618"/>
      <c r="N15" s="334"/>
      <c r="O15" s="618"/>
      <c r="P15" s="332"/>
    </row>
    <row r="16" spans="1:20">
      <c r="A16" s="331">
        <v>3</v>
      </c>
      <c r="C16" s="245" t="s">
        <v>1009</v>
      </c>
      <c r="D16" s="266"/>
      <c r="E16" s="266"/>
      <c r="F16" s="266"/>
      <c r="G16" s="266"/>
      <c r="H16" s="266"/>
      <c r="I16" s="266"/>
      <c r="J16" s="266"/>
      <c r="K16" s="266"/>
      <c r="L16" s="266"/>
      <c r="M16" s="618"/>
      <c r="N16" s="266"/>
      <c r="O16" s="618"/>
      <c r="P16" s="332"/>
      <c r="Q16" s="302"/>
      <c r="S16" s="302"/>
      <c r="T16" s="332"/>
    </row>
    <row r="17" spans="1:23">
      <c r="A17" s="309">
        <v>4</v>
      </c>
      <c r="C17" s="324" t="s">
        <v>24</v>
      </c>
      <c r="D17" s="516">
        <f>+'C.2.1 B'!D104</f>
        <v>77033020.869385153</v>
      </c>
      <c r="E17" s="266"/>
      <c r="F17" s="388">
        <f t="shared" ref="F17:F28" si="0">+K17-D17-H17</f>
        <v>2345155.8210695088</v>
      </c>
      <c r="G17" s="339" t="s">
        <v>1085</v>
      </c>
      <c r="H17" s="298"/>
      <c r="I17" s="266"/>
      <c r="J17" s="266"/>
      <c r="K17" s="516">
        <f>'C.2.1 F'!D100</f>
        <v>79378176.690454662</v>
      </c>
      <c r="L17" s="334"/>
      <c r="M17" s="388">
        <v>0</v>
      </c>
      <c r="N17" s="334"/>
      <c r="O17" s="388">
        <f t="shared" ref="O17:O22" si="1">+K17+M17</f>
        <v>79378176.690454662</v>
      </c>
      <c r="P17" s="332"/>
      <c r="Q17" s="302"/>
      <c r="S17" s="302"/>
      <c r="T17" s="332"/>
    </row>
    <row r="18" spans="1:23">
      <c r="A18" s="331">
        <v>5</v>
      </c>
      <c r="C18" s="324" t="s">
        <v>651</v>
      </c>
      <c r="D18" s="698">
        <f>+'C.2.1 B'!D38+'C.2.1 B'!D42</f>
        <v>97.508702239093509</v>
      </c>
      <c r="E18" s="266"/>
      <c r="F18" s="388">
        <f t="shared" si="0"/>
        <v>6.2124282752623543</v>
      </c>
      <c r="G18" s="339" t="s">
        <v>1085</v>
      </c>
      <c r="H18" s="298"/>
      <c r="I18" s="266"/>
      <c r="J18" s="266"/>
      <c r="K18" s="516">
        <f>'C.2.1 F'!D34+'C.2.1 F'!D38</f>
        <v>103.72113051435586</v>
      </c>
      <c r="L18" s="298"/>
      <c r="M18" s="388">
        <v>0</v>
      </c>
      <c r="N18" s="298"/>
      <c r="O18" s="388">
        <f t="shared" si="1"/>
        <v>103.72113051435586</v>
      </c>
      <c r="P18" s="332"/>
    </row>
    <row r="19" spans="1:23">
      <c r="A19" s="309">
        <v>6</v>
      </c>
      <c r="C19" s="324" t="s">
        <v>652</v>
      </c>
      <c r="D19" s="698">
        <f>+'C.2.1 B'!D54+'C.2.1 B'!D64</f>
        <v>362408.55462948012</v>
      </c>
      <c r="E19" s="266"/>
      <c r="F19" s="388">
        <f t="shared" si="0"/>
        <v>-10202.418653225875</v>
      </c>
      <c r="G19" s="339" t="s">
        <v>1085</v>
      </c>
      <c r="H19" s="298"/>
      <c r="I19" s="266"/>
      <c r="J19" s="266"/>
      <c r="K19" s="516">
        <f>'C.2.1 F'!D50+'C.2.1 F'!D60</f>
        <v>352206.13597625424</v>
      </c>
      <c r="L19" s="298"/>
      <c r="M19" s="388">
        <v>0</v>
      </c>
      <c r="N19" s="298"/>
      <c r="O19" s="388">
        <f t="shared" si="1"/>
        <v>352206.13597625424</v>
      </c>
      <c r="P19" s="332"/>
    </row>
    <row r="20" spans="1:23">
      <c r="A20" s="331">
        <v>7</v>
      </c>
      <c r="C20" s="324" t="s">
        <v>667</v>
      </c>
      <c r="D20" s="698">
        <f>+'C.2.1 B'!D74+'C.2.1 B'!D82</f>
        <v>362953.50522512116</v>
      </c>
      <c r="E20" s="266"/>
      <c r="F20" s="388">
        <f t="shared" si="0"/>
        <v>-9798.8198200067272</v>
      </c>
      <c r="G20" s="339" t="s">
        <v>1085</v>
      </c>
      <c r="H20" s="298"/>
      <c r="I20" s="266"/>
      <c r="J20" s="266"/>
      <c r="K20" s="516">
        <f>'C.2.1 F'!D70+'C.2.1 F'!D78</f>
        <v>353154.68540511443</v>
      </c>
      <c r="L20" s="298"/>
      <c r="M20" s="388">
        <v>0</v>
      </c>
      <c r="N20" s="298"/>
      <c r="O20" s="388">
        <f t="shared" si="1"/>
        <v>353154.68540511443</v>
      </c>
      <c r="P20" s="332"/>
      <c r="R20" s="768"/>
      <c r="S20" s="768"/>
      <c r="T20" s="768"/>
      <c r="U20" s="768"/>
      <c r="V20" s="768"/>
      <c r="W20" s="768"/>
    </row>
    <row r="21" spans="1:23">
      <c r="A21" s="309">
        <v>8</v>
      </c>
      <c r="C21" s="336" t="s">
        <v>688</v>
      </c>
      <c r="D21" s="698">
        <f>+'C.2.1 B'!D119+'C.2.1 B'!D132</f>
        <v>7317820.6217355933</v>
      </c>
      <c r="E21" s="266"/>
      <c r="F21" s="388">
        <f t="shared" si="0"/>
        <v>-264089.70916668326</v>
      </c>
      <c r="G21" s="339" t="s">
        <v>1085</v>
      </c>
      <c r="H21" s="298"/>
      <c r="I21" s="615" t="s">
        <v>792</v>
      </c>
      <c r="J21" s="266"/>
      <c r="K21" s="699">
        <f>'C.2.1 F'!D115+'C.2.1 F'!D128</f>
        <v>7053730.91256891</v>
      </c>
      <c r="L21" s="298"/>
      <c r="M21" s="1243">
        <f>133000-650+23-9</f>
        <v>132364</v>
      </c>
      <c r="N21" s="313"/>
      <c r="O21" s="388">
        <f t="shared" si="1"/>
        <v>7186094.91256891</v>
      </c>
      <c r="P21" s="332"/>
      <c r="R21" s="768"/>
      <c r="S21" s="768"/>
      <c r="T21" s="768"/>
      <c r="U21" s="768"/>
      <c r="V21" s="768"/>
      <c r="W21" s="768"/>
    </row>
    <row r="22" spans="1:23">
      <c r="A22" s="331">
        <v>9</v>
      </c>
      <c r="C22" s="336" t="s">
        <v>75</v>
      </c>
      <c r="D22" s="698">
        <f>+'C.2.1 B'!D139</f>
        <v>2146958.8701182501</v>
      </c>
      <c r="E22" s="266"/>
      <c r="F22" s="388">
        <f t="shared" si="0"/>
        <v>-326493.45884491457</v>
      </c>
      <c r="G22" s="339" t="s">
        <v>1085</v>
      </c>
      <c r="H22" s="298"/>
      <c r="I22" s="615" t="s">
        <v>792</v>
      </c>
      <c r="J22" s="266"/>
      <c r="K22" s="516">
        <f>'C.2.1 F'!D135</f>
        <v>1820465.4112733356</v>
      </c>
      <c r="L22" s="298"/>
      <c r="M22" s="388">
        <v>0</v>
      </c>
      <c r="N22" s="298"/>
      <c r="O22" s="388">
        <f t="shared" si="1"/>
        <v>1820465.4112733356</v>
      </c>
      <c r="P22" s="332"/>
      <c r="R22" s="768"/>
      <c r="S22" s="768"/>
      <c r="T22" s="901"/>
      <c r="U22" s="768"/>
      <c r="V22" s="768"/>
      <c r="W22" s="768"/>
    </row>
    <row r="23" spans="1:23">
      <c r="A23" s="309">
        <v>10</v>
      </c>
      <c r="C23" s="324" t="s">
        <v>76</v>
      </c>
      <c r="D23" s="516">
        <f>+'C.2.1 B'!D146</f>
        <v>125336.2162084311</v>
      </c>
      <c r="E23" s="266"/>
      <c r="F23" s="388">
        <f t="shared" si="0"/>
        <v>-2179.5890117313538</v>
      </c>
      <c r="G23" s="339" t="s">
        <v>1085</v>
      </c>
      <c r="H23" s="298"/>
      <c r="I23" s="615" t="s">
        <v>792</v>
      </c>
      <c r="J23" s="266"/>
      <c r="K23" s="516">
        <f>'C.2.1 F'!D142</f>
        <v>123156.62719669974</v>
      </c>
      <c r="L23" s="334"/>
      <c r="M23" s="388">
        <v>0</v>
      </c>
      <c r="N23" s="313"/>
      <c r="O23" s="388">
        <f>+K23+M23</f>
        <v>123156.62719669974</v>
      </c>
      <c r="P23" s="332"/>
      <c r="R23" s="768"/>
      <c r="S23" s="768"/>
      <c r="T23" s="902"/>
      <c r="U23" s="768"/>
      <c r="V23" s="768"/>
      <c r="W23" s="768"/>
    </row>
    <row r="24" spans="1:23">
      <c r="A24" s="331">
        <v>11</v>
      </c>
      <c r="C24" s="336" t="s">
        <v>509</v>
      </c>
      <c r="D24" s="516">
        <f>+'C.2.1 B'!D153</f>
        <v>337035.64807193889</v>
      </c>
      <c r="E24" s="266"/>
      <c r="F24" s="388">
        <f t="shared" si="0"/>
        <v>-7682.8330630506389</v>
      </c>
      <c r="G24" s="339" t="s">
        <v>1085</v>
      </c>
      <c r="H24" s="298"/>
      <c r="I24" s="615" t="s">
        <v>792</v>
      </c>
      <c r="J24" s="266"/>
      <c r="K24" s="516">
        <f>'C.2.1 F'!D149</f>
        <v>329352.81500888825</v>
      </c>
      <c r="L24" s="334"/>
      <c r="M24" s="388">
        <f>-F.4!K29</f>
        <v>-45795.870909826925</v>
      </c>
      <c r="N24" s="313" t="s">
        <v>569</v>
      </c>
      <c r="O24" s="388">
        <f>+K24+M24</f>
        <v>283556.94409906131</v>
      </c>
      <c r="P24" s="332"/>
      <c r="R24" s="768"/>
      <c r="S24" s="768"/>
      <c r="T24" s="902"/>
      <c r="U24" s="768"/>
      <c r="V24" s="768"/>
      <c r="W24" s="768"/>
    </row>
    <row r="25" spans="1:23">
      <c r="A25" s="309">
        <v>12</v>
      </c>
      <c r="C25" s="336" t="s">
        <v>510</v>
      </c>
      <c r="D25" s="516">
        <f>+'C.2.1 B'!D167+'C.2.1 B'!D171</f>
        <v>15994833.752511442</v>
      </c>
      <c r="E25" s="266"/>
      <c r="F25" s="388">
        <f t="shared" si="0"/>
        <v>824281.76744108647</v>
      </c>
      <c r="G25" s="339" t="s">
        <v>1085</v>
      </c>
      <c r="H25" s="298"/>
      <c r="I25" s="615" t="s">
        <v>792</v>
      </c>
      <c r="J25" s="266"/>
      <c r="K25" s="516">
        <f>'C.2.1 F'!D163+'C.2.1 F'!D167</f>
        <v>16819115.519952528</v>
      </c>
      <c r="L25" s="334"/>
      <c r="M25" s="388">
        <f>F.6!N27+F.6!J27-F.8!I24+F.9!G22-F.10!F41</f>
        <v>-1330901.1742952522</v>
      </c>
      <c r="N25" s="313" t="s">
        <v>1427</v>
      </c>
      <c r="O25" s="388">
        <f>+K25+M25</f>
        <v>15488214.345657276</v>
      </c>
      <c r="P25" s="332"/>
      <c r="Q25" s="302"/>
      <c r="R25" s="768"/>
      <c r="S25" s="768"/>
      <c r="T25" s="902"/>
      <c r="U25" s="768"/>
      <c r="V25" s="768"/>
      <c r="W25" s="768"/>
    </row>
    <row r="26" spans="1:23">
      <c r="A26" s="331">
        <v>13</v>
      </c>
      <c r="C26" s="338" t="s">
        <v>96</v>
      </c>
      <c r="D26" s="516">
        <f>+'C.2.1 B'!D175</f>
        <v>18252729.938099388</v>
      </c>
      <c r="E26" s="266"/>
      <c r="F26" s="388">
        <f t="shared" si="0"/>
        <v>1172323.5078915991</v>
      </c>
      <c r="G26" s="339" t="s">
        <v>1085</v>
      </c>
      <c r="H26" s="298"/>
      <c r="I26" s="266"/>
      <c r="J26" s="266"/>
      <c r="K26" s="516">
        <f>'C.2.1 F'!D171</f>
        <v>19425053.445990987</v>
      </c>
      <c r="L26" s="334"/>
      <c r="M26" s="388">
        <f>O26-K26</f>
        <v>0</v>
      </c>
      <c r="N26" s="334"/>
      <c r="O26" s="516">
        <f>'C.2.1 F'!D171</f>
        <v>19425053.445990987</v>
      </c>
      <c r="P26" s="332"/>
      <c r="Q26" s="302"/>
      <c r="R26" s="768"/>
      <c r="S26" s="903"/>
      <c r="T26" s="902"/>
      <c r="U26" s="768"/>
      <c r="V26" s="768"/>
      <c r="W26" s="768"/>
    </row>
    <row r="27" spans="1:23">
      <c r="A27" s="309">
        <v>14</v>
      </c>
      <c r="C27" s="336" t="s">
        <v>608</v>
      </c>
      <c r="D27" s="516">
        <f>+'C.2.1 B'!D176</f>
        <v>6437544.724313166</v>
      </c>
      <c r="F27" s="694">
        <f t="shared" si="0"/>
        <v>-337324.5716198897</v>
      </c>
      <c r="G27" s="333" t="s">
        <v>1085</v>
      </c>
      <c r="H27" s="257"/>
      <c r="K27" s="516">
        <f>'C.2.1 F'!D172</f>
        <v>6100220.1526932763</v>
      </c>
      <c r="L27" s="298"/>
      <c r="M27" s="388">
        <v>0</v>
      </c>
      <c r="N27" s="313"/>
      <c r="O27" s="694">
        <f>+K27+M27</f>
        <v>6100220.1526932763</v>
      </c>
      <c r="P27" s="332"/>
      <c r="Q27" s="302"/>
      <c r="S27" s="302"/>
      <c r="T27" s="257"/>
    </row>
    <row r="28" spans="1:23">
      <c r="A28" s="331">
        <v>15</v>
      </c>
      <c r="C28" s="338" t="s">
        <v>583</v>
      </c>
      <c r="D28" s="516">
        <f>+'C.2.1 B'!D177</f>
        <v>9464192.1453126315</v>
      </c>
      <c r="F28" s="694">
        <f t="shared" si="0"/>
        <v>1364962.8488627281</v>
      </c>
      <c r="H28" s="257"/>
      <c r="K28" s="516">
        <f>'C.2.1 F'!D173</f>
        <v>10829154.99417536</v>
      </c>
      <c r="L28" s="334"/>
      <c r="M28" s="516">
        <f>+O28-K28</f>
        <v>0</v>
      </c>
      <c r="N28" s="339"/>
      <c r="O28" s="516">
        <f>+E!G23</f>
        <v>10829154.994175358</v>
      </c>
      <c r="P28" s="332"/>
      <c r="Q28" s="302"/>
      <c r="S28" s="302"/>
      <c r="T28" s="332"/>
    </row>
    <row r="29" spans="1:23">
      <c r="A29" s="309">
        <v>16</v>
      </c>
      <c r="C29" s="277"/>
      <c r="D29" s="262"/>
      <c r="F29" s="340"/>
      <c r="H29" s="341"/>
      <c r="K29" s="262"/>
      <c r="L29" s="257"/>
      <c r="M29" s="259"/>
      <c r="N29" s="257"/>
      <c r="O29" s="259"/>
      <c r="P29" s="332"/>
    </row>
    <row r="30" spans="1:23">
      <c r="A30" s="331">
        <v>17</v>
      </c>
      <c r="C30" s="295"/>
      <c r="D30" s="257"/>
      <c r="F30" s="257"/>
      <c r="H30" s="257"/>
      <c r="K30" s="257"/>
      <c r="L30" s="257"/>
      <c r="M30" s="335"/>
      <c r="N30" s="257"/>
      <c r="O30" s="335"/>
      <c r="P30" s="332"/>
      <c r="T30" s="337"/>
    </row>
    <row r="31" spans="1:23">
      <c r="A31" s="309">
        <v>18</v>
      </c>
      <c r="C31" s="245" t="s">
        <v>1141</v>
      </c>
      <c r="D31" s="632">
        <f>SUM(D17:D29)</f>
        <v>137834932.35431281</v>
      </c>
      <c r="F31" s="632">
        <f>SUM(F17:F29)</f>
        <v>4748958.7575136954</v>
      </c>
      <c r="H31" s="632">
        <f>SUM(H21:H29)</f>
        <v>0</v>
      </c>
      <c r="K31" s="632">
        <f>SUM(K17:K29)</f>
        <v>142583891.11182654</v>
      </c>
      <c r="L31" s="257"/>
      <c r="M31" s="632">
        <f>SUM(M17:M29)</f>
        <v>-1244333.045205079</v>
      </c>
      <c r="N31" s="257"/>
      <c r="O31" s="632">
        <f>SUM(O17:O29)</f>
        <v>141339558.06662145</v>
      </c>
      <c r="P31" s="332"/>
    </row>
    <row r="32" spans="1:23">
      <c r="A32" s="331">
        <v>19</v>
      </c>
      <c r="D32" s="332"/>
      <c r="F32" s="332"/>
      <c r="H32" s="332"/>
      <c r="K32" s="332"/>
      <c r="L32" s="332"/>
      <c r="M32" s="332"/>
      <c r="N32" s="332"/>
      <c r="O32" s="332"/>
      <c r="P32" s="332"/>
    </row>
    <row r="33" spans="1:21" ht="15.75" thickBot="1">
      <c r="A33" s="309">
        <v>20</v>
      </c>
      <c r="C33" s="245" t="s">
        <v>1212</v>
      </c>
      <c r="D33" s="692">
        <f>D14-D31</f>
        <v>22036967.297723562</v>
      </c>
      <c r="F33" s="692">
        <f>F14-F31</f>
        <v>2183797.0628702706</v>
      </c>
      <c r="H33" s="692">
        <f>H14-H31</f>
        <v>0</v>
      </c>
      <c r="K33" s="692">
        <f>K14-K31</f>
        <v>24220764.360593796</v>
      </c>
      <c r="L33" s="257"/>
      <c r="M33" s="692">
        <f>M14-M31</f>
        <v>1244333.045205079</v>
      </c>
      <c r="N33" s="257"/>
      <c r="O33" s="692">
        <f>O14-O31</f>
        <v>25465097.405798882</v>
      </c>
      <c r="P33" s="332"/>
      <c r="Q33" s="302"/>
      <c r="S33" s="302"/>
      <c r="T33" s="257"/>
      <c r="U33" s="257"/>
    </row>
    <row r="34" spans="1:21" ht="15.75" thickTop="1">
      <c r="A34" s="309"/>
      <c r="D34" s="257"/>
      <c r="F34" s="257"/>
      <c r="G34" s="257"/>
      <c r="H34" s="257"/>
      <c r="K34" s="304"/>
      <c r="L34" s="257"/>
      <c r="M34" s="304"/>
      <c r="N34" s="257"/>
      <c r="O34" s="257"/>
      <c r="P34" s="257"/>
      <c r="Q34" s="302"/>
      <c r="S34" s="302"/>
      <c r="T34" s="257"/>
      <c r="U34" s="257"/>
    </row>
    <row r="35" spans="1:21">
      <c r="A35" s="331"/>
      <c r="D35" s="342"/>
      <c r="F35" s="257"/>
      <c r="G35" s="257"/>
      <c r="H35" s="257"/>
      <c r="K35" s="342"/>
      <c r="L35" s="257"/>
      <c r="M35" s="302"/>
      <c r="N35" s="257"/>
      <c r="O35" s="342"/>
      <c r="P35" s="257"/>
    </row>
    <row r="36" spans="1:21">
      <c r="A36" s="331"/>
      <c r="C36" s="1016"/>
      <c r="D36" s="881"/>
      <c r="E36" s="880"/>
      <c r="F36" s="881"/>
      <c r="G36" s="881"/>
      <c r="H36" s="881"/>
      <c r="I36" s="880"/>
      <c r="J36" s="880"/>
      <c r="K36" s="881"/>
      <c r="L36" s="257"/>
      <c r="M36" s="388"/>
      <c r="N36" s="257"/>
      <c r="O36" s="342"/>
      <c r="P36" s="257"/>
    </row>
    <row r="37" spans="1:21">
      <c r="A37" s="331"/>
      <c r="C37" s="880"/>
      <c r="D37" s="1017"/>
      <c r="E37" s="880"/>
      <c r="F37" s="881"/>
      <c r="G37" s="881"/>
      <c r="H37" s="881"/>
      <c r="I37" s="880"/>
      <c r="J37" s="880"/>
      <c r="K37" s="1017"/>
      <c r="L37" s="257"/>
      <c r="M37" s="694">
        <f>C.1!H15</f>
        <v>500000</v>
      </c>
      <c r="N37" s="257"/>
      <c r="O37" s="342"/>
      <c r="P37" s="257"/>
    </row>
    <row r="38" spans="1:21" s="344" customFormat="1">
      <c r="A38" s="309"/>
      <c r="B38" s="343"/>
      <c r="C38" s="1016"/>
      <c r="D38" s="881"/>
      <c r="E38" s="880"/>
      <c r="F38" s="881"/>
      <c r="G38" s="881"/>
      <c r="H38" s="881"/>
      <c r="I38" s="880"/>
      <c r="J38" s="880"/>
      <c r="K38" s="881"/>
      <c r="L38" s="345"/>
      <c r="N38" s="345"/>
      <c r="P38" s="345"/>
    </row>
    <row r="39" spans="1:21" s="344" customFormat="1">
      <c r="A39" s="346"/>
      <c r="B39" s="347"/>
      <c r="C39" s="1016"/>
      <c r="D39" s="881"/>
      <c r="E39" s="880"/>
      <c r="F39" s="881"/>
      <c r="G39" s="881"/>
      <c r="H39" s="881"/>
      <c r="I39" s="880"/>
      <c r="J39" s="880"/>
      <c r="K39" s="881"/>
      <c r="L39" s="345"/>
      <c r="M39" s="348"/>
      <c r="N39" s="345"/>
      <c r="O39" s="348"/>
      <c r="P39" s="345"/>
      <c r="T39" s="349"/>
    </row>
    <row r="40" spans="1:21" s="344" customFormat="1">
      <c r="D40" s="345"/>
      <c r="F40" s="345"/>
      <c r="G40" s="345"/>
      <c r="K40" s="345"/>
      <c r="L40" s="345"/>
      <c r="M40" s="881"/>
      <c r="N40" s="880"/>
    </row>
    <row r="41" spans="1:21">
      <c r="A41" s="344"/>
      <c r="B41" s="344"/>
      <c r="C41" s="344"/>
      <c r="D41" s="257"/>
      <c r="F41" s="257"/>
      <c r="G41" s="257"/>
      <c r="H41" s="302"/>
      <c r="K41" s="257"/>
      <c r="L41" s="257"/>
      <c r="M41" s="881"/>
      <c r="N41" s="881"/>
      <c r="O41" s="302"/>
      <c r="P41" s="257"/>
    </row>
    <row r="42" spans="1:21">
      <c r="A42" s="295"/>
      <c r="D42" s="257"/>
      <c r="F42" s="257"/>
      <c r="G42" s="257"/>
      <c r="K42" s="257"/>
      <c r="L42" s="257"/>
      <c r="M42" s="881"/>
      <c r="N42" s="881"/>
      <c r="P42" s="257"/>
      <c r="Q42" s="302"/>
      <c r="S42" s="302"/>
      <c r="T42" s="257"/>
      <c r="U42" s="257"/>
    </row>
    <row r="43" spans="1:21">
      <c r="A43" s="295"/>
      <c r="D43" s="257"/>
      <c r="F43" s="257"/>
      <c r="G43" s="257"/>
      <c r="H43" s="302"/>
      <c r="K43" s="257"/>
      <c r="L43" s="257"/>
      <c r="M43" s="261"/>
      <c r="N43" s="881"/>
      <c r="O43" s="302"/>
      <c r="P43" s="257"/>
      <c r="Q43" s="302"/>
      <c r="S43" s="302"/>
      <c r="T43" s="257"/>
      <c r="U43" s="257"/>
    </row>
    <row r="44" spans="1:21">
      <c r="A44" s="295"/>
      <c r="C44" s="295"/>
      <c r="D44" s="257"/>
      <c r="F44" s="257"/>
      <c r="G44" s="257"/>
      <c r="M44" s="1121"/>
      <c r="N44" s="880"/>
    </row>
    <row r="45" spans="1:21">
      <c r="A45" s="295"/>
      <c r="C45" s="295"/>
      <c r="D45" s="257"/>
      <c r="F45" s="257"/>
      <c r="G45" s="257"/>
    </row>
    <row r="46" spans="1:21">
      <c r="D46" s="257"/>
      <c r="F46" s="257"/>
      <c r="G46" s="257"/>
      <c r="K46" s="337"/>
      <c r="L46" s="337"/>
      <c r="N46" s="337"/>
      <c r="P46" s="337"/>
      <c r="T46" s="337"/>
    </row>
    <row r="47" spans="1:21">
      <c r="A47" s="295"/>
      <c r="D47" s="257"/>
      <c r="F47" s="257"/>
      <c r="G47" s="257"/>
    </row>
    <row r="48" spans="1:21">
      <c r="C48" s="328"/>
      <c r="E48" s="257"/>
      <c r="G48" s="257"/>
    </row>
    <row r="49" spans="1:23">
      <c r="A49" s="295"/>
      <c r="C49" s="295"/>
      <c r="E49" s="257"/>
      <c r="F49" s="302"/>
      <c r="G49" s="257"/>
      <c r="H49" s="302"/>
      <c r="K49" s="302"/>
      <c r="L49" s="332"/>
      <c r="M49" s="302"/>
      <c r="N49" s="332"/>
      <c r="O49" s="302"/>
      <c r="P49" s="332"/>
      <c r="Q49" s="302"/>
      <c r="S49" s="302"/>
      <c r="T49" s="257"/>
      <c r="V49" s="295"/>
    </row>
    <row r="50" spans="1:23">
      <c r="C50" s="295"/>
      <c r="D50" s="302"/>
      <c r="E50" s="257"/>
      <c r="F50" s="302"/>
      <c r="G50" s="257"/>
      <c r="H50" s="302"/>
      <c r="K50" s="302"/>
      <c r="L50" s="332"/>
      <c r="M50" s="302"/>
      <c r="N50" s="332"/>
      <c r="O50" s="302"/>
      <c r="P50" s="332"/>
      <c r="Q50" s="302"/>
      <c r="S50" s="302"/>
      <c r="T50" s="257"/>
    </row>
    <row r="51" spans="1:23">
      <c r="D51" s="302"/>
      <c r="V51" s="295"/>
    </row>
    <row r="52" spans="1:23">
      <c r="V52" s="332"/>
      <c r="W52" s="257"/>
    </row>
    <row r="53" spans="1:23">
      <c r="V53" s="332"/>
      <c r="W53" s="257"/>
    </row>
    <row r="56" spans="1:23">
      <c r="V56" s="337"/>
    </row>
    <row r="58" spans="1:23">
      <c r="S58" s="257"/>
      <c r="T58" s="257"/>
    </row>
    <row r="59" spans="1:23">
      <c r="E59" s="332"/>
      <c r="R59" s="332"/>
      <c r="S59" s="257"/>
      <c r="T59" s="257"/>
    </row>
    <row r="62" spans="1:23">
      <c r="R62" s="337"/>
    </row>
    <row r="63" spans="1:23">
      <c r="R63" s="332"/>
    </row>
    <row r="64" spans="1:23">
      <c r="R64" s="332"/>
    </row>
    <row r="65" spans="1:18">
      <c r="R65" s="332"/>
    </row>
    <row r="67" spans="1:18">
      <c r="A67" s="295"/>
    </row>
    <row r="68" spans="1:18">
      <c r="A68" s="295"/>
      <c r="C68" s="295"/>
      <c r="G68" s="337"/>
      <c r="I68" s="337"/>
      <c r="J68" s="337"/>
      <c r="L68" s="337"/>
      <c r="N68" s="337"/>
      <c r="P68" s="337"/>
      <c r="R68" s="337"/>
    </row>
    <row r="69" spans="1:18">
      <c r="G69" s="332"/>
      <c r="R69" s="332"/>
    </row>
    <row r="70" spans="1:18">
      <c r="A70" s="295"/>
    </row>
    <row r="71" spans="1:18">
      <c r="A71" s="295"/>
    </row>
    <row r="72" spans="1:18">
      <c r="A72" s="295"/>
    </row>
    <row r="73" spans="1:18">
      <c r="A73" s="295"/>
    </row>
    <row r="75" spans="1:18">
      <c r="A75" s="295"/>
    </row>
    <row r="76" spans="1:18">
      <c r="A76" s="295"/>
    </row>
    <row r="79" spans="1:18">
      <c r="A79" s="295"/>
    </row>
    <row r="80" spans="1:18">
      <c r="C80" s="295"/>
    </row>
    <row r="86" spans="7:18">
      <c r="G86" s="332"/>
      <c r="I86" s="332"/>
      <c r="J86" s="332"/>
      <c r="L86" s="332"/>
      <c r="N86" s="332"/>
      <c r="P86" s="332"/>
      <c r="R86" s="332"/>
    </row>
    <row r="87" spans="7:18">
      <c r="G87" s="332"/>
      <c r="I87" s="332"/>
      <c r="J87" s="332"/>
      <c r="L87" s="332"/>
      <c r="N87" s="332"/>
      <c r="P87" s="332"/>
      <c r="R87" s="332"/>
    </row>
    <row r="88" spans="7:18">
      <c r="G88" s="332"/>
      <c r="I88" s="332"/>
      <c r="J88" s="332"/>
      <c r="L88" s="332"/>
      <c r="N88" s="332"/>
      <c r="P88" s="332"/>
      <c r="R88" s="332"/>
    </row>
    <row r="89" spans="7:18">
      <c r="G89" s="332"/>
      <c r="I89" s="332"/>
      <c r="J89" s="332"/>
      <c r="L89" s="332"/>
      <c r="N89" s="332"/>
      <c r="P89" s="332"/>
      <c r="R89" s="332"/>
    </row>
    <row r="90" spans="7:18">
      <c r="G90" s="332"/>
      <c r="I90" s="332"/>
      <c r="J90" s="332"/>
      <c r="L90" s="332"/>
      <c r="N90" s="332"/>
      <c r="P90" s="332"/>
      <c r="R90" s="332"/>
    </row>
    <row r="91" spans="7:18">
      <c r="G91" s="332"/>
      <c r="I91" s="332"/>
      <c r="J91" s="332"/>
      <c r="L91" s="332"/>
      <c r="N91" s="332"/>
      <c r="P91" s="332"/>
      <c r="R91" s="332"/>
    </row>
    <row r="92" spans="7:18">
      <c r="G92" s="332"/>
      <c r="I92" s="332"/>
      <c r="J92" s="332"/>
      <c r="L92" s="332"/>
      <c r="N92" s="332"/>
      <c r="P92" s="332"/>
      <c r="R92" s="332"/>
    </row>
    <row r="93" spans="7:18">
      <c r="G93" s="332"/>
      <c r="I93" s="332"/>
      <c r="J93" s="332"/>
      <c r="L93" s="332"/>
      <c r="N93" s="332"/>
      <c r="P93" s="332"/>
      <c r="R93" s="332"/>
    </row>
    <row r="94" spans="7:18">
      <c r="G94" s="332"/>
      <c r="I94" s="332"/>
      <c r="J94" s="332"/>
      <c r="L94" s="332"/>
      <c r="N94" s="332"/>
      <c r="P94" s="332"/>
      <c r="R94" s="332"/>
    </row>
    <row r="95" spans="7:18">
      <c r="G95" s="332"/>
      <c r="I95" s="332"/>
      <c r="J95" s="332"/>
      <c r="L95" s="332"/>
      <c r="N95" s="332"/>
      <c r="P95" s="332"/>
      <c r="R95" s="332"/>
    </row>
  </sheetData>
  <mergeCells count="5">
    <mergeCell ref="A5:O5"/>
    <mergeCell ref="A1:O1"/>
    <mergeCell ref="A2:O2"/>
    <mergeCell ref="A3:O3"/>
    <mergeCell ref="A4:O4"/>
  </mergeCells>
  <phoneticPr fontId="24" type="noConversion"/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.75" customHeight="1"/>
  <cols>
    <col min="1" max="1" width="4.77734375" style="89" customWidth="1"/>
    <col min="2" max="2" width="11.88671875" style="89" customWidth="1"/>
    <col min="3" max="3" width="49.109375" style="89" customWidth="1"/>
    <col min="4" max="4" width="13.109375" style="89" customWidth="1"/>
    <col min="5" max="5" width="7.21875" style="89" customWidth="1"/>
    <col min="6" max="6" width="11.44140625" style="89" bestFit="1" customWidth="1"/>
    <col min="7" max="7" width="10" style="89" bestFit="1" customWidth="1"/>
    <col min="8" max="8" width="10.21875" style="89" customWidth="1"/>
    <col min="9" max="16384" width="8.44140625" style="89"/>
  </cols>
  <sheetData>
    <row r="1" spans="1:7" ht="15.75" customHeight="1">
      <c r="A1" s="1267" t="str">
        <f>'Table of Contents'!A1:C1</f>
        <v>Atmos Energy Corporation, Kentucky/Mid-States Division</v>
      </c>
      <c r="B1" s="1267"/>
      <c r="C1" s="1267"/>
      <c r="D1" s="1267"/>
    </row>
    <row r="2" spans="1:7" ht="15.75" customHeight="1">
      <c r="A2" s="1267" t="str">
        <f>'Table of Contents'!A2:C2</f>
        <v>Kentucky Jurisdiction Case No. 2015-00343</v>
      </c>
      <c r="B2" s="1267"/>
      <c r="C2" s="1267"/>
      <c r="D2" s="1267"/>
    </row>
    <row r="3" spans="1:7" ht="15.75" customHeight="1">
      <c r="A3" s="1267" t="s">
        <v>1159</v>
      </c>
      <c r="B3" s="1267"/>
      <c r="C3" s="1267"/>
      <c r="D3" s="1267"/>
    </row>
    <row r="4" spans="1:7" ht="15.75" customHeight="1">
      <c r="A4" s="1267" t="str">
        <f>'Table of Contents'!A3:C3</f>
        <v>Base Period: Twelve Months Ended February 29, 2016</v>
      </c>
      <c r="B4" s="1267"/>
      <c r="C4" s="1267"/>
      <c r="D4" s="1267"/>
    </row>
    <row r="5" spans="1:7" ht="15.75" customHeight="1">
      <c r="A5" s="92"/>
      <c r="B5" s="92"/>
      <c r="C5" s="271"/>
      <c r="D5" s="271"/>
    </row>
    <row r="6" spans="1:7" ht="15.75" customHeight="1">
      <c r="A6" s="95" t="s">
        <v>59</v>
      </c>
      <c r="D6" s="653" t="s">
        <v>1523</v>
      </c>
    </row>
    <row r="7" spans="1:7" ht="15.75" customHeight="1">
      <c r="A7" s="4" t="s">
        <v>631</v>
      </c>
      <c r="D7" s="654" t="s">
        <v>729</v>
      </c>
    </row>
    <row r="8" spans="1:7" ht="15.75" customHeight="1">
      <c r="A8" s="314" t="s">
        <v>375</v>
      </c>
      <c r="B8" s="315"/>
      <c r="C8" s="315"/>
      <c r="D8" s="655" t="str">
        <f>C.1!J9</f>
        <v>Witness: Waller, Smith</v>
      </c>
    </row>
    <row r="9" spans="1:7" ht="15.75" customHeight="1">
      <c r="D9" s="350"/>
    </row>
    <row r="10" spans="1:7" ht="15.75" customHeight="1">
      <c r="A10" s="351" t="s">
        <v>98</v>
      </c>
      <c r="B10" s="350" t="s">
        <v>347</v>
      </c>
      <c r="C10" s="351" t="s">
        <v>347</v>
      </c>
      <c r="D10" s="350" t="s">
        <v>1005</v>
      </c>
    </row>
    <row r="11" spans="1:7" ht="15.75" customHeight="1">
      <c r="A11" s="352" t="s">
        <v>104</v>
      </c>
      <c r="B11" s="353" t="s">
        <v>1347</v>
      </c>
      <c r="C11" s="352" t="s">
        <v>222</v>
      </c>
      <c r="D11" s="353" t="s">
        <v>322</v>
      </c>
    </row>
    <row r="12" spans="1:7" ht="15.75" customHeight="1">
      <c r="D12" s="350" t="s">
        <v>1112</v>
      </c>
    </row>
    <row r="13" spans="1:7" ht="15.75" customHeight="1">
      <c r="A13" s="350">
        <v>1</v>
      </c>
      <c r="B13" s="354"/>
      <c r="C13" s="355" t="s">
        <v>70</v>
      </c>
    </row>
    <row r="14" spans="1:7" ht="15.75" customHeight="1">
      <c r="A14" s="350">
        <f>A13+1</f>
        <v>2</v>
      </c>
      <c r="B14" s="354"/>
      <c r="C14" s="355" t="s">
        <v>140</v>
      </c>
      <c r="D14" s="123"/>
    </row>
    <row r="15" spans="1:7" ht="15.75" customHeight="1">
      <c r="A15" s="350">
        <f t="shared" ref="A15:A84" si="0">A14+1</f>
        <v>3</v>
      </c>
      <c r="B15" s="700">
        <v>4800</v>
      </c>
      <c r="C15" s="356" t="s">
        <v>135</v>
      </c>
      <c r="D15" s="439">
        <f>-'C.2.2 B 09'!P17</f>
        <v>98207124.629063994</v>
      </c>
      <c r="F15" s="549"/>
      <c r="G15" s="549"/>
    </row>
    <row r="16" spans="1:7" ht="15.75" customHeight="1">
      <c r="A16" s="350">
        <f t="shared" si="0"/>
        <v>4</v>
      </c>
      <c r="B16" s="940">
        <v>4805</v>
      </c>
      <c r="C16" s="941" t="s">
        <v>1354</v>
      </c>
      <c r="D16" s="452">
        <f>-'C.2.2 B 09'!P18</f>
        <v>-6787293.5899999999</v>
      </c>
      <c r="F16" s="549"/>
      <c r="G16" s="549"/>
    </row>
    <row r="17" spans="1:8" ht="15.75" customHeight="1">
      <c r="A17" s="350">
        <f t="shared" si="0"/>
        <v>5</v>
      </c>
      <c r="B17" s="940">
        <v>4811</v>
      </c>
      <c r="C17" s="941" t="s">
        <v>136</v>
      </c>
      <c r="D17" s="452">
        <f>-'C.2.2 B 09'!P19</f>
        <v>40950740.394301347</v>
      </c>
      <c r="F17" s="549"/>
      <c r="G17" s="549"/>
    </row>
    <row r="18" spans="1:8" ht="15.75" customHeight="1">
      <c r="A18" s="350">
        <f t="shared" si="0"/>
        <v>6</v>
      </c>
      <c r="B18" s="940">
        <v>4812</v>
      </c>
      <c r="C18" s="941" t="s">
        <v>137</v>
      </c>
      <c r="D18" s="452">
        <f>-'C.2.2 B 09'!P20</f>
        <v>5451325.746213723</v>
      </c>
      <c r="F18" s="549"/>
      <c r="G18" s="549"/>
    </row>
    <row r="19" spans="1:8" ht="15.75" customHeight="1">
      <c r="A19" s="350">
        <f t="shared" si="0"/>
        <v>7</v>
      </c>
      <c r="B19" s="940">
        <v>4815</v>
      </c>
      <c r="C19" s="941" t="s">
        <v>1355</v>
      </c>
      <c r="D19" s="452">
        <f>-'C.2.2 B 09'!P21</f>
        <v>-2972320.01</v>
      </c>
      <c r="F19" s="549"/>
      <c r="G19" s="549"/>
    </row>
    <row r="20" spans="1:8" ht="15.75" customHeight="1">
      <c r="A20" s="350">
        <f t="shared" si="0"/>
        <v>8</v>
      </c>
      <c r="B20" s="940">
        <v>4816</v>
      </c>
      <c r="C20" s="941" t="s">
        <v>1402</v>
      </c>
      <c r="D20" s="452">
        <f>-'C.2.2 B 09'!P22</f>
        <v>-114797.31</v>
      </c>
      <c r="F20" s="549"/>
      <c r="G20" s="549"/>
    </row>
    <row r="21" spans="1:8" ht="15.75" customHeight="1">
      <c r="A21" s="350">
        <f t="shared" si="0"/>
        <v>9</v>
      </c>
      <c r="B21" s="940">
        <v>4820</v>
      </c>
      <c r="C21" s="941" t="s">
        <v>795</v>
      </c>
      <c r="D21" s="452">
        <f>-'C.2.2 B 09'!P23</f>
        <v>7553488.8796820827</v>
      </c>
      <c r="F21" s="549"/>
      <c r="G21" s="549"/>
    </row>
    <row r="22" spans="1:8" ht="15.75" customHeight="1">
      <c r="A22" s="350">
        <f t="shared" si="0"/>
        <v>10</v>
      </c>
      <c r="B22" s="940">
        <v>4825</v>
      </c>
      <c r="C22" s="941" t="s">
        <v>1356</v>
      </c>
      <c r="D22" s="453">
        <f>-'C.2.2 B 09'!P24</f>
        <v>-629193.38</v>
      </c>
      <c r="F22" s="549"/>
      <c r="G22" s="549"/>
    </row>
    <row r="23" spans="1:8" ht="15.75" customHeight="1">
      <c r="A23" s="350">
        <f t="shared" si="0"/>
        <v>11</v>
      </c>
      <c r="B23" s="350"/>
      <c r="C23" s="351" t="s">
        <v>1176</v>
      </c>
      <c r="D23" s="439">
        <f>SUM(D15:D22)</f>
        <v>141659075.35926118</v>
      </c>
    </row>
    <row r="24" spans="1:8" ht="15.75" customHeight="1">
      <c r="A24" s="350">
        <f t="shared" si="0"/>
        <v>12</v>
      </c>
      <c r="B24" s="350"/>
      <c r="D24" s="123"/>
    </row>
    <row r="25" spans="1:8" ht="15.75" customHeight="1">
      <c r="A25" s="350">
        <f t="shared" si="0"/>
        <v>13</v>
      </c>
      <c r="B25" s="701"/>
      <c r="C25" s="355" t="s">
        <v>69</v>
      </c>
      <c r="D25" s="610"/>
    </row>
    <row r="26" spans="1:8" ht="15.75" customHeight="1">
      <c r="A26" s="350">
        <f t="shared" si="0"/>
        <v>14</v>
      </c>
      <c r="B26" s="700">
        <v>4870</v>
      </c>
      <c r="C26" s="356" t="s">
        <v>1032</v>
      </c>
      <c r="D26" s="439">
        <f>-'C.2.2 B 09'!P25</f>
        <v>1230383.6535251739</v>
      </c>
    </row>
    <row r="27" spans="1:8" ht="15.75" customHeight="1">
      <c r="A27" s="350">
        <f t="shared" si="0"/>
        <v>15</v>
      </c>
      <c r="B27" s="700">
        <v>4880</v>
      </c>
      <c r="C27" s="356" t="s">
        <v>1033</v>
      </c>
      <c r="D27" s="452">
        <f>-'C.2.2 B 09'!P26</f>
        <v>796529.01</v>
      </c>
    </row>
    <row r="28" spans="1:8" ht="15.75" customHeight="1">
      <c r="A28" s="350">
        <f t="shared" si="0"/>
        <v>16</v>
      </c>
      <c r="B28" s="702">
        <v>4893</v>
      </c>
      <c r="C28" s="359" t="s">
        <v>68</v>
      </c>
      <c r="D28" s="452">
        <f>-'C.2.2 B 09'!P27</f>
        <v>14819845.18675</v>
      </c>
      <c r="F28" s="780"/>
    </row>
    <row r="29" spans="1:8" ht="15.75" customHeight="1">
      <c r="A29" s="350">
        <f t="shared" si="0"/>
        <v>17</v>
      </c>
      <c r="B29" s="700">
        <v>4950</v>
      </c>
      <c r="C29" s="356" t="s">
        <v>678</v>
      </c>
      <c r="D29" s="452">
        <f>-'C.2.2 B 09'!P28</f>
        <v>1366066.4424999999</v>
      </c>
      <c r="F29" s="123"/>
      <c r="G29" s="123"/>
      <c r="H29" s="780"/>
    </row>
    <row r="30" spans="1:8" ht="15.75" customHeight="1">
      <c r="A30" s="350">
        <f t="shared" si="0"/>
        <v>18</v>
      </c>
      <c r="B30" s="701"/>
      <c r="C30" s="351" t="s">
        <v>1177</v>
      </c>
      <c r="D30" s="967">
        <f>SUM(D26:D29)</f>
        <v>18212824.292775173</v>
      </c>
    </row>
    <row r="31" spans="1:8" ht="15.75" customHeight="1">
      <c r="A31" s="350">
        <f t="shared" si="0"/>
        <v>19</v>
      </c>
      <c r="B31" s="701"/>
      <c r="D31" s="610"/>
      <c r="F31" s="969"/>
      <c r="G31" s="123"/>
    </row>
    <row r="32" spans="1:8" ht="15.75" customHeight="1">
      <c r="A32" s="350">
        <f t="shared" si="0"/>
        <v>20</v>
      </c>
      <c r="B32" s="350"/>
      <c r="C32" s="351" t="s">
        <v>71</v>
      </c>
      <c r="D32" s="439">
        <f>D23+D30</f>
        <v>159871899.65203637</v>
      </c>
      <c r="E32" s="360"/>
      <c r="F32" s="123"/>
      <c r="G32" s="123"/>
      <c r="H32" s="780"/>
    </row>
    <row r="33" spans="1:7" ht="15.75" customHeight="1">
      <c r="A33" s="350">
        <f t="shared" si="0"/>
        <v>21</v>
      </c>
      <c r="B33" s="701"/>
      <c r="D33" s="610"/>
      <c r="F33" s="123"/>
      <c r="G33" s="123"/>
    </row>
    <row r="34" spans="1:7" ht="15.75" customHeight="1">
      <c r="A34" s="350">
        <f t="shared" si="0"/>
        <v>22</v>
      </c>
      <c r="B34" s="701"/>
      <c r="C34" s="355" t="s">
        <v>310</v>
      </c>
      <c r="D34" s="610"/>
    </row>
    <row r="35" spans="1:7" ht="15.75" customHeight="1">
      <c r="A35" s="350">
        <f t="shared" si="0"/>
        <v>23</v>
      </c>
      <c r="B35" s="701"/>
      <c r="C35" s="361" t="s">
        <v>677</v>
      </c>
      <c r="D35" s="517"/>
    </row>
    <row r="36" spans="1:7" ht="15.75" customHeight="1">
      <c r="A36" s="350">
        <f t="shared" si="0"/>
        <v>24</v>
      </c>
      <c r="B36" s="703">
        <v>7560</v>
      </c>
      <c r="C36" s="356" t="s">
        <v>335</v>
      </c>
      <c r="D36" s="611">
        <f>'C.2.2 B 09'!P29</f>
        <v>97.508702239093509</v>
      </c>
    </row>
    <row r="37" spans="1:7" ht="15.75" customHeight="1">
      <c r="A37" s="350">
        <f t="shared" si="0"/>
        <v>25</v>
      </c>
      <c r="B37" s="703">
        <v>7590</v>
      </c>
      <c r="C37" s="356" t="s">
        <v>1401</v>
      </c>
      <c r="D37" s="453">
        <f>'C.2.2 B 09'!P30</f>
        <v>0</v>
      </c>
    </row>
    <row r="38" spans="1:7" ht="15.75" customHeight="1">
      <c r="A38" s="350">
        <f t="shared" si="0"/>
        <v>26</v>
      </c>
      <c r="B38" s="701"/>
      <c r="C38" s="362" t="s">
        <v>450</v>
      </c>
      <c r="D38" s="439">
        <f>SUM(D36:D37)</f>
        <v>97.508702239093509</v>
      </c>
    </row>
    <row r="39" spans="1:7" ht="15.75" customHeight="1">
      <c r="A39" s="350">
        <f t="shared" si="0"/>
        <v>27</v>
      </c>
      <c r="B39" s="701"/>
      <c r="C39" s="362"/>
      <c r="D39" s="439"/>
    </row>
    <row r="40" spans="1:7" ht="15.75" customHeight="1">
      <c r="A40" s="350">
        <f t="shared" si="0"/>
        <v>28</v>
      </c>
      <c r="B40" s="701"/>
      <c r="C40" s="361" t="s">
        <v>1160</v>
      </c>
      <c r="D40" s="452"/>
    </row>
    <row r="41" spans="1:7" ht="15.75" customHeight="1">
      <c r="A41" s="350">
        <f t="shared" si="0"/>
        <v>29</v>
      </c>
      <c r="B41" s="703">
        <v>7610</v>
      </c>
      <c r="C41" s="356" t="s">
        <v>1161</v>
      </c>
      <c r="D41" s="649">
        <v>0</v>
      </c>
    </row>
    <row r="42" spans="1:7" ht="15.75" customHeight="1">
      <c r="A42" s="350">
        <f t="shared" si="0"/>
        <v>30</v>
      </c>
      <c r="B42" s="701"/>
      <c r="C42" s="95"/>
      <c r="D42" s="439">
        <f>SUM(D41)</f>
        <v>0</v>
      </c>
    </row>
    <row r="43" spans="1:7" ht="15.75" customHeight="1">
      <c r="A43" s="350">
        <f t="shared" si="0"/>
        <v>31</v>
      </c>
      <c r="B43" s="701"/>
      <c r="C43" s="361" t="s">
        <v>1044</v>
      </c>
      <c r="D43" s="517"/>
    </row>
    <row r="44" spans="1:7" ht="15.75" customHeight="1">
      <c r="A44" s="350">
        <f t="shared" si="0"/>
        <v>32</v>
      </c>
      <c r="B44" s="703">
        <v>8140</v>
      </c>
      <c r="C44" s="356" t="s">
        <v>687</v>
      </c>
      <c r="D44" s="650">
        <f>'C.2.2 B 09'!P46</f>
        <v>-293.22558970371978</v>
      </c>
    </row>
    <row r="45" spans="1:7" ht="15.75" customHeight="1">
      <c r="A45" s="350">
        <f t="shared" si="0"/>
        <v>33</v>
      </c>
      <c r="B45" s="703">
        <v>8150</v>
      </c>
      <c r="C45" s="356" t="s">
        <v>302</v>
      </c>
      <c r="D45" s="611">
        <v>0</v>
      </c>
    </row>
    <row r="46" spans="1:7" ht="15.75" customHeight="1">
      <c r="A46" s="350">
        <f t="shared" si="0"/>
        <v>34</v>
      </c>
      <c r="B46" s="703">
        <v>8160</v>
      </c>
      <c r="C46" s="356" t="s">
        <v>522</v>
      </c>
      <c r="D46" s="611">
        <f>'C.2.2 B 09'!P47</f>
        <v>95658.498736967915</v>
      </c>
    </row>
    <row r="47" spans="1:7" ht="15.75" customHeight="1">
      <c r="A47" s="350">
        <f t="shared" si="0"/>
        <v>35</v>
      </c>
      <c r="B47" s="703">
        <v>8170</v>
      </c>
      <c r="C47" s="356" t="s">
        <v>523</v>
      </c>
      <c r="D47" s="611">
        <f>'C.2.2 B 09'!P48</f>
        <v>36987.207044918017</v>
      </c>
    </row>
    <row r="48" spans="1:7" ht="15.75" customHeight="1">
      <c r="A48" s="350">
        <f t="shared" si="0"/>
        <v>36</v>
      </c>
      <c r="B48" s="703">
        <v>8180</v>
      </c>
      <c r="C48" s="356" t="s">
        <v>149</v>
      </c>
      <c r="D48" s="611">
        <f>'C.2.2 B 09'!P49</f>
        <v>27287.909578191509</v>
      </c>
    </row>
    <row r="49" spans="1:4" ht="15.75" customHeight="1">
      <c r="A49" s="350">
        <f t="shared" si="0"/>
        <v>37</v>
      </c>
      <c r="B49" s="704">
        <v>8190</v>
      </c>
      <c r="C49" s="363" t="s">
        <v>150</v>
      </c>
      <c r="D49" s="611">
        <f>'C.2.2 B 09'!P50</f>
        <v>766.79321818353617</v>
      </c>
    </row>
    <row r="50" spans="1:4" ht="15.75" customHeight="1">
      <c r="A50" s="350">
        <f t="shared" si="0"/>
        <v>38</v>
      </c>
      <c r="B50" s="704">
        <v>8200</v>
      </c>
      <c r="C50" s="363" t="s">
        <v>490</v>
      </c>
      <c r="D50" s="611">
        <f>'C.2.2 B 09'!P51</f>
        <v>2891.6737903019375</v>
      </c>
    </row>
    <row r="51" spans="1:4" ht="15.75" customHeight="1">
      <c r="A51" s="350">
        <f t="shared" si="0"/>
        <v>39</v>
      </c>
      <c r="B51" s="704">
        <v>8210</v>
      </c>
      <c r="C51" s="363" t="s">
        <v>491</v>
      </c>
      <c r="D51" s="611">
        <f>'C.2.2 B 09'!P52</f>
        <v>49076.54180949743</v>
      </c>
    </row>
    <row r="52" spans="1:4" ht="15.75" customHeight="1">
      <c r="A52" s="350">
        <f t="shared" si="0"/>
        <v>40</v>
      </c>
      <c r="B52" s="704">
        <v>8240</v>
      </c>
      <c r="C52" s="363" t="s">
        <v>600</v>
      </c>
      <c r="D52" s="611">
        <f>'C.2.2 B 09'!P53</f>
        <v>1397.6331672799963</v>
      </c>
    </row>
    <row r="53" spans="1:4" ht="15.75" customHeight="1">
      <c r="A53" s="350">
        <f t="shared" si="0"/>
        <v>41</v>
      </c>
      <c r="B53" s="704">
        <v>8250</v>
      </c>
      <c r="C53" s="363" t="s">
        <v>653</v>
      </c>
      <c r="D53" s="453">
        <f>'C.2.2 B 09'!P54</f>
        <v>8589.4005238101036</v>
      </c>
    </row>
    <row r="54" spans="1:4" ht="15.75" customHeight="1">
      <c r="A54" s="350">
        <f t="shared" si="0"/>
        <v>42</v>
      </c>
      <c r="B54" s="701"/>
      <c r="C54" s="362" t="s">
        <v>1045</v>
      </c>
      <c r="D54" s="439">
        <f>SUM(D44:D53)</f>
        <v>222362.43227944669</v>
      </c>
    </row>
    <row r="55" spans="1:4" ht="15.75" customHeight="1">
      <c r="A55" s="350">
        <f t="shared" si="0"/>
        <v>43</v>
      </c>
      <c r="B55" s="701"/>
      <c r="C55" s="95"/>
      <c r="D55" s="452"/>
    </row>
    <row r="56" spans="1:4" ht="15.75" customHeight="1">
      <c r="A56" s="350">
        <f t="shared" si="0"/>
        <v>44</v>
      </c>
      <c r="B56" s="701"/>
      <c r="C56" s="361" t="s">
        <v>1031</v>
      </c>
      <c r="D56" s="452"/>
    </row>
    <row r="57" spans="1:4" ht="15.75" customHeight="1">
      <c r="A57" s="350">
        <f t="shared" si="0"/>
        <v>45</v>
      </c>
      <c r="B57" s="704">
        <v>8310</v>
      </c>
      <c r="C57" s="363" t="s">
        <v>654</v>
      </c>
      <c r="D57" s="650">
        <f>'C.2.2 B 09'!P55</f>
        <v>4134.987636044435</v>
      </c>
    </row>
    <row r="58" spans="1:4" ht="15.75" customHeight="1">
      <c r="A58" s="350">
        <f t="shared" si="0"/>
        <v>46</v>
      </c>
      <c r="B58" s="704">
        <v>8320</v>
      </c>
      <c r="C58" s="363" t="s">
        <v>655</v>
      </c>
      <c r="D58" s="611">
        <v>0</v>
      </c>
    </row>
    <row r="59" spans="1:4" ht="15.75" customHeight="1">
      <c r="A59" s="350">
        <f t="shared" si="0"/>
        <v>47</v>
      </c>
      <c r="B59" s="704">
        <v>8340</v>
      </c>
      <c r="C59" s="363" t="s">
        <v>656</v>
      </c>
      <c r="D59" s="611">
        <f>'C.2.2 B 09'!P56</f>
        <v>3306.5601619777976</v>
      </c>
    </row>
    <row r="60" spans="1:4" ht="15.75" customHeight="1">
      <c r="A60" s="350">
        <f t="shared" si="0"/>
        <v>48</v>
      </c>
      <c r="B60" s="704">
        <v>8350</v>
      </c>
      <c r="C60" s="363" t="s">
        <v>657</v>
      </c>
      <c r="D60" s="611">
        <f>'C.2.2 B 09'!P57</f>
        <v>2428.3798467142192</v>
      </c>
    </row>
    <row r="61" spans="1:4" ht="15.75" customHeight="1">
      <c r="A61" s="350">
        <f t="shared" si="0"/>
        <v>49</v>
      </c>
      <c r="B61" s="704">
        <v>8360</v>
      </c>
      <c r="C61" s="363" t="s">
        <v>1060</v>
      </c>
      <c r="D61" s="611">
        <f>'C.2.2 B 09'!P58</f>
        <v>247.95867076704832</v>
      </c>
    </row>
    <row r="62" spans="1:4" ht="15.75" customHeight="1">
      <c r="A62" s="350">
        <f t="shared" si="0"/>
        <v>50</v>
      </c>
      <c r="B62" s="704">
        <v>8370</v>
      </c>
      <c r="C62" s="363" t="s">
        <v>1386</v>
      </c>
      <c r="D62" s="611">
        <f>'C.2.2 B 09'!P59</f>
        <v>0</v>
      </c>
    </row>
    <row r="63" spans="1:4" ht="15.75" customHeight="1">
      <c r="A63" s="350">
        <f t="shared" si="0"/>
        <v>51</v>
      </c>
      <c r="B63" s="705" t="s">
        <v>303</v>
      </c>
      <c r="C63" s="363" t="s">
        <v>461</v>
      </c>
      <c r="D63" s="611">
        <f>'C.2.2 B 09'!P60</f>
        <v>129928.23603452992</v>
      </c>
    </row>
    <row r="64" spans="1:4" ht="15.75" customHeight="1">
      <c r="A64" s="350">
        <f t="shared" si="0"/>
        <v>52</v>
      </c>
      <c r="B64" s="701"/>
      <c r="C64" s="362" t="s">
        <v>1046</v>
      </c>
      <c r="D64" s="967">
        <f>SUM(D57:D63)</f>
        <v>140046.12235003343</v>
      </c>
    </row>
    <row r="65" spans="1:7" ht="15.75" customHeight="1">
      <c r="A65" s="350">
        <f t="shared" si="0"/>
        <v>53</v>
      </c>
      <c r="B65" s="701"/>
      <c r="C65" s="95"/>
      <c r="D65" s="452"/>
    </row>
    <row r="66" spans="1:7" ht="15.75" customHeight="1">
      <c r="A66" s="350">
        <f t="shared" si="0"/>
        <v>54</v>
      </c>
      <c r="B66" s="701"/>
      <c r="C66" s="361" t="s">
        <v>1047</v>
      </c>
      <c r="D66" s="452"/>
    </row>
    <row r="67" spans="1:7" ht="15.75" customHeight="1">
      <c r="A67" s="350">
        <f t="shared" si="0"/>
        <v>55</v>
      </c>
      <c r="B67" s="704">
        <v>8500</v>
      </c>
      <c r="C67" s="363" t="s">
        <v>687</v>
      </c>
      <c r="D67" s="650">
        <v>0</v>
      </c>
    </row>
    <row r="68" spans="1:7" ht="15.75" customHeight="1">
      <c r="A68" s="350">
        <f t="shared" si="0"/>
        <v>56</v>
      </c>
      <c r="B68" s="704">
        <v>8520</v>
      </c>
      <c r="C68" s="363" t="s">
        <v>1387</v>
      </c>
      <c r="D68" s="611">
        <f>'C.2.2 B 09'!P61</f>
        <v>0</v>
      </c>
      <c r="G68" s="1065"/>
    </row>
    <row r="69" spans="1:7" ht="15.75" customHeight="1">
      <c r="A69" s="350">
        <f t="shared" si="0"/>
        <v>57</v>
      </c>
      <c r="B69" s="704">
        <v>8550</v>
      </c>
      <c r="C69" s="363" t="s">
        <v>1464</v>
      </c>
      <c r="D69" s="611">
        <f>'C.2.2 B 09'!P62</f>
        <v>55.301854638960194</v>
      </c>
      <c r="G69" s="1065"/>
    </row>
    <row r="70" spans="1:7" ht="15.75" customHeight="1">
      <c r="A70" s="350">
        <f t="shared" si="0"/>
        <v>58</v>
      </c>
      <c r="B70" s="704">
        <v>8560</v>
      </c>
      <c r="C70" s="363" t="s">
        <v>658</v>
      </c>
      <c r="D70" s="611">
        <f>'C.2.2 B 09'!P63</f>
        <v>316656.97825095349</v>
      </c>
    </row>
    <row r="71" spans="1:7" ht="15.75" customHeight="1">
      <c r="A71" s="350">
        <f t="shared" si="0"/>
        <v>59</v>
      </c>
      <c r="B71" s="704">
        <v>8570</v>
      </c>
      <c r="C71" s="363" t="s">
        <v>659</v>
      </c>
      <c r="D71" s="611">
        <f>'C.2.2 B 09'!P64</f>
        <v>34521.182853303595</v>
      </c>
    </row>
    <row r="72" spans="1:7" ht="15.75" customHeight="1">
      <c r="A72" s="350">
        <f t="shared" si="0"/>
        <v>60</v>
      </c>
      <c r="B72" s="704">
        <v>8590</v>
      </c>
      <c r="C72" s="363" t="s">
        <v>662</v>
      </c>
      <c r="D72" s="611">
        <v>0</v>
      </c>
    </row>
    <row r="73" spans="1:7" ht="15.75" customHeight="1">
      <c r="A73" s="350">
        <f t="shared" si="0"/>
        <v>61</v>
      </c>
      <c r="B73" s="704">
        <v>8600</v>
      </c>
      <c r="C73" s="363" t="s">
        <v>786</v>
      </c>
      <c r="D73" s="453">
        <v>0</v>
      </c>
    </row>
    <row r="74" spans="1:7" ht="15.75" customHeight="1">
      <c r="A74" s="350">
        <f t="shared" si="0"/>
        <v>62</v>
      </c>
      <c r="B74" s="701"/>
      <c r="C74" s="362" t="s">
        <v>1023</v>
      </c>
      <c r="D74" s="439">
        <f>SUM(D67:D73)</f>
        <v>351233.46295889607</v>
      </c>
    </row>
    <row r="75" spans="1:7" ht="15.75" customHeight="1">
      <c r="A75" s="350">
        <f t="shared" si="0"/>
        <v>63</v>
      </c>
      <c r="B75" s="701"/>
      <c r="C75" s="95"/>
      <c r="D75" s="452"/>
    </row>
    <row r="76" spans="1:7" ht="15.75" customHeight="1">
      <c r="A76" s="350">
        <f t="shared" si="0"/>
        <v>64</v>
      </c>
      <c r="B76" s="701"/>
      <c r="C76" s="361" t="s">
        <v>1024</v>
      </c>
      <c r="D76" s="452"/>
    </row>
    <row r="77" spans="1:7" ht="15.75" customHeight="1">
      <c r="A77" s="350">
        <f t="shared" si="0"/>
        <v>65</v>
      </c>
      <c r="B77" s="704">
        <v>8620</v>
      </c>
      <c r="C77" s="363" t="s">
        <v>988</v>
      </c>
      <c r="D77" s="650">
        <v>0</v>
      </c>
    </row>
    <row r="78" spans="1:7" ht="15.75" customHeight="1">
      <c r="A78" s="350">
        <f t="shared" si="0"/>
        <v>66</v>
      </c>
      <c r="B78" s="704">
        <v>8630</v>
      </c>
      <c r="C78" s="363" t="s">
        <v>521</v>
      </c>
      <c r="D78" s="611">
        <f>'C.2.2 B 09'!P65</f>
        <v>5912.3313289077478</v>
      </c>
    </row>
    <row r="79" spans="1:7" ht="15.75" customHeight="1">
      <c r="A79" s="350">
        <f t="shared" si="0"/>
        <v>67</v>
      </c>
      <c r="B79" s="704">
        <v>8640</v>
      </c>
      <c r="C79" s="363" t="s">
        <v>607</v>
      </c>
      <c r="D79" s="611">
        <f>'C.2.2 B 09'!P66</f>
        <v>0</v>
      </c>
    </row>
    <row r="80" spans="1:7" ht="15.75" customHeight="1">
      <c r="A80" s="350">
        <f t="shared" si="0"/>
        <v>68</v>
      </c>
      <c r="B80" s="704">
        <v>8650</v>
      </c>
      <c r="C80" s="363" t="s">
        <v>660</v>
      </c>
      <c r="D80" s="611">
        <f>'C.2.2 B 09'!P67</f>
        <v>5807.7109373173216</v>
      </c>
    </row>
    <row r="81" spans="1:5" ht="15.75" customHeight="1">
      <c r="A81" s="350">
        <f t="shared" si="0"/>
        <v>69</v>
      </c>
      <c r="B81" s="704">
        <v>8670</v>
      </c>
      <c r="C81" s="363" t="s">
        <v>661</v>
      </c>
      <c r="D81" s="453">
        <v>0</v>
      </c>
    </row>
    <row r="82" spans="1:5" ht="15.75" customHeight="1">
      <c r="A82" s="350">
        <f t="shared" si="0"/>
        <v>70</v>
      </c>
      <c r="B82" s="701"/>
      <c r="C82" s="362" t="s">
        <v>1025</v>
      </c>
      <c r="D82" s="439">
        <f>SUM(D77:D81)</f>
        <v>11720.042266225069</v>
      </c>
    </row>
    <row r="83" spans="1:5" ht="15.75" customHeight="1">
      <c r="A83" s="350">
        <f t="shared" si="0"/>
        <v>71</v>
      </c>
      <c r="B83" s="701"/>
      <c r="C83" s="95"/>
      <c r="D83" s="452"/>
    </row>
    <row r="84" spans="1:5" ht="15.75" customHeight="1">
      <c r="A84" s="350">
        <f t="shared" si="0"/>
        <v>72</v>
      </c>
      <c r="B84" s="701"/>
      <c r="C84" s="361" t="s">
        <v>336</v>
      </c>
      <c r="D84" s="610"/>
    </row>
    <row r="85" spans="1:5" ht="15.75" customHeight="1">
      <c r="A85" s="350">
        <f t="shared" ref="A85:A148" si="1">A84+1</f>
        <v>73</v>
      </c>
      <c r="B85" s="700">
        <v>8001</v>
      </c>
      <c r="C85" s="356" t="s">
        <v>885</v>
      </c>
      <c r="D85" s="650">
        <f>'C.2.2 B 09'!P31</f>
        <v>1207337.5727112212</v>
      </c>
      <c r="E85" s="393"/>
    </row>
    <row r="86" spans="1:5" ht="15.75" customHeight="1">
      <c r="A86" s="350">
        <f t="shared" si="1"/>
        <v>74</v>
      </c>
      <c r="B86" s="700">
        <v>8010</v>
      </c>
      <c r="C86" s="119" t="s">
        <v>1233</v>
      </c>
      <c r="D86" s="611">
        <f>'C.2.2 B 09'!P32</f>
        <v>73124.253536187593</v>
      </c>
      <c r="E86" s="393"/>
    </row>
    <row r="87" spans="1:5" ht="15.75" customHeight="1">
      <c r="A87" s="350">
        <f t="shared" si="1"/>
        <v>75</v>
      </c>
      <c r="B87" s="700">
        <v>8040</v>
      </c>
      <c r="C87" s="351" t="s">
        <v>311</v>
      </c>
      <c r="D87" s="611">
        <f>'C.2.2 B 09'!P33</f>
        <v>48444810.552938133</v>
      </c>
      <c r="E87" s="393"/>
    </row>
    <row r="88" spans="1:5" ht="15.75" customHeight="1">
      <c r="A88" s="350">
        <f t="shared" si="1"/>
        <v>76</v>
      </c>
      <c r="B88" s="700">
        <v>8045</v>
      </c>
      <c r="C88" s="351" t="s">
        <v>1158</v>
      </c>
      <c r="D88" s="611">
        <v>0</v>
      </c>
      <c r="E88" s="393"/>
    </row>
    <row r="89" spans="1:5" ht="15.75" customHeight="1">
      <c r="A89" s="350">
        <f t="shared" si="1"/>
        <v>77</v>
      </c>
      <c r="B89" s="700">
        <v>8050</v>
      </c>
      <c r="C89" s="356" t="s">
        <v>927</v>
      </c>
      <c r="D89" s="611">
        <f>'C.2.2 B 09'!P34</f>
        <v>25371.019352147079</v>
      </c>
      <c r="E89" s="393"/>
    </row>
    <row r="90" spans="1:5" ht="15.75" customHeight="1">
      <c r="A90" s="350">
        <f t="shared" si="1"/>
        <v>78</v>
      </c>
      <c r="B90" s="700">
        <v>8051</v>
      </c>
      <c r="C90" s="351" t="s">
        <v>828</v>
      </c>
      <c r="D90" s="611">
        <f>'C.2.2 B 09'!P35</f>
        <v>48107712.135673694</v>
      </c>
      <c r="E90" s="393"/>
    </row>
    <row r="91" spans="1:5" ht="15.75" customHeight="1">
      <c r="A91" s="350">
        <f t="shared" si="1"/>
        <v>79</v>
      </c>
      <c r="B91" s="700">
        <v>8052</v>
      </c>
      <c r="C91" s="351" t="s">
        <v>435</v>
      </c>
      <c r="D91" s="611">
        <f>'C.2.2 B 09'!P36</f>
        <v>23500811.830648404</v>
      </c>
      <c r="E91" s="393"/>
    </row>
    <row r="92" spans="1:5" ht="15.75" customHeight="1">
      <c r="A92" s="350">
        <f t="shared" si="1"/>
        <v>80</v>
      </c>
      <c r="B92" s="700">
        <v>8053</v>
      </c>
      <c r="C92" s="351" t="s">
        <v>852</v>
      </c>
      <c r="D92" s="611">
        <f>'C.2.2 B 09'!P37</f>
        <v>4376451.0302729206</v>
      </c>
      <c r="E92" s="393"/>
    </row>
    <row r="93" spans="1:5" ht="15.75" customHeight="1">
      <c r="A93" s="350">
        <f t="shared" si="1"/>
        <v>81</v>
      </c>
      <c r="B93" s="700">
        <v>8054</v>
      </c>
      <c r="C93" s="351" t="s">
        <v>853</v>
      </c>
      <c r="D93" s="611">
        <f>'C.2.2 B 09'!P38</f>
        <v>5036796.9057672285</v>
      </c>
      <c r="E93" s="393"/>
    </row>
    <row r="94" spans="1:5" ht="15.75" customHeight="1">
      <c r="A94" s="350">
        <f t="shared" si="1"/>
        <v>82</v>
      </c>
      <c r="B94" s="700">
        <v>8057</v>
      </c>
      <c r="C94" s="351" t="s">
        <v>286</v>
      </c>
      <c r="D94" s="611">
        <v>0</v>
      </c>
      <c r="E94" s="393"/>
    </row>
    <row r="95" spans="1:5" ht="15.75" customHeight="1">
      <c r="A95" s="350">
        <f t="shared" si="1"/>
        <v>83</v>
      </c>
      <c r="B95" s="700">
        <v>8058</v>
      </c>
      <c r="C95" s="351" t="s">
        <v>287</v>
      </c>
      <c r="D95" s="611">
        <f>'C.2.2 B 09'!P39</f>
        <v>-3978837.4889111212</v>
      </c>
      <c r="E95" s="393"/>
    </row>
    <row r="96" spans="1:5" ht="15.75" customHeight="1">
      <c r="A96" s="350">
        <f t="shared" si="1"/>
        <v>84</v>
      </c>
      <c r="B96" s="700">
        <v>8059</v>
      </c>
      <c r="C96" s="351" t="s">
        <v>288</v>
      </c>
      <c r="D96" s="611">
        <f>'C.2.2 B 09'!P40</f>
        <v>-73591574.776836872</v>
      </c>
      <c r="E96" s="393"/>
    </row>
    <row r="97" spans="1:6" ht="15.75" customHeight="1">
      <c r="A97" s="350">
        <f t="shared" si="1"/>
        <v>85</v>
      </c>
      <c r="B97" s="700">
        <v>8060</v>
      </c>
      <c r="C97" s="351" t="s">
        <v>1026</v>
      </c>
      <c r="D97" s="611">
        <f>'C.2.2 B 09'!P41</f>
        <v>-631677.70387688209</v>
      </c>
      <c r="E97" s="393"/>
    </row>
    <row r="98" spans="1:6" ht="15.75" customHeight="1">
      <c r="A98" s="350">
        <f t="shared" si="1"/>
        <v>86</v>
      </c>
      <c r="B98" s="700">
        <v>8081</v>
      </c>
      <c r="C98" s="351" t="s">
        <v>289</v>
      </c>
      <c r="D98" s="611">
        <f>'C.2.2 B 09'!P42</f>
        <v>19570719.344022617</v>
      </c>
      <c r="E98" s="393"/>
    </row>
    <row r="99" spans="1:6" ht="15.75" customHeight="1">
      <c r="A99" s="350">
        <f t="shared" si="1"/>
        <v>87</v>
      </c>
      <c r="B99" s="700">
        <v>8082</v>
      </c>
      <c r="C99" s="351" t="s">
        <v>72</v>
      </c>
      <c r="D99" s="611">
        <f>'C.2.2 B 09'!P43</f>
        <v>-14127369.62939862</v>
      </c>
      <c r="E99" s="393"/>
    </row>
    <row r="100" spans="1:6" ht="15.75" customHeight="1">
      <c r="A100" s="350">
        <f t="shared" si="1"/>
        <v>88</v>
      </c>
      <c r="B100" s="700">
        <v>8110</v>
      </c>
      <c r="C100" s="351" t="s">
        <v>1234</v>
      </c>
      <c r="D100" s="611">
        <v>0</v>
      </c>
      <c r="E100" s="393"/>
    </row>
    <row r="101" spans="1:6" ht="15.75" customHeight="1">
      <c r="A101" s="350">
        <f t="shared" si="1"/>
        <v>89</v>
      </c>
      <c r="B101" s="700">
        <v>8120</v>
      </c>
      <c r="C101" s="351" t="s">
        <v>1042</v>
      </c>
      <c r="D101" s="611">
        <f>'C.2.2 B 09'!P44</f>
        <v>-9913.5440659948435</v>
      </c>
      <c r="E101" s="393"/>
    </row>
    <row r="102" spans="1:6" ht="15.75" customHeight="1">
      <c r="A102" s="350">
        <f t="shared" si="1"/>
        <v>90</v>
      </c>
      <c r="B102" s="700">
        <v>8130</v>
      </c>
      <c r="C102" s="351" t="s">
        <v>1042</v>
      </c>
      <c r="D102" s="611">
        <v>0</v>
      </c>
      <c r="E102" s="393"/>
    </row>
    <row r="103" spans="1:6" ht="15.75" customHeight="1">
      <c r="A103" s="350">
        <f t="shared" si="1"/>
        <v>91</v>
      </c>
      <c r="B103" s="700">
        <v>8580</v>
      </c>
      <c r="C103" s="351" t="s">
        <v>1232</v>
      </c>
      <c r="D103" s="453">
        <f>'C.2.2 B 09'!P45</f>
        <v>19029259.36755209</v>
      </c>
      <c r="E103" s="393"/>
      <c r="F103" s="768"/>
    </row>
    <row r="104" spans="1:6" ht="15.75" customHeight="1">
      <c r="A104" s="350">
        <f t="shared" si="1"/>
        <v>92</v>
      </c>
      <c r="B104" s="701"/>
      <c r="C104" s="364" t="s">
        <v>1043</v>
      </c>
      <c r="D104" s="439">
        <f>SUM(D85:D103)</f>
        <v>77033020.869385153</v>
      </c>
      <c r="F104" s="113"/>
    </row>
    <row r="105" spans="1:6" ht="15.75" customHeight="1">
      <c r="A105" s="350">
        <f t="shared" si="1"/>
        <v>93</v>
      </c>
      <c r="B105" s="701"/>
      <c r="D105" s="517"/>
    </row>
    <row r="106" spans="1:6" ht="15.75" customHeight="1">
      <c r="A106" s="350">
        <f t="shared" si="1"/>
        <v>94</v>
      </c>
      <c r="B106" s="701"/>
      <c r="C106" s="361" t="s">
        <v>1070</v>
      </c>
      <c r="D106" s="517"/>
    </row>
    <row r="107" spans="1:6" ht="15.75" customHeight="1">
      <c r="A107" s="350">
        <f t="shared" si="1"/>
        <v>95</v>
      </c>
      <c r="B107" s="700">
        <v>8700</v>
      </c>
      <c r="C107" s="356" t="s">
        <v>663</v>
      </c>
      <c r="D107" s="650">
        <f>'C.2.2 B 09'!P68</f>
        <v>1183789.4569059813</v>
      </c>
    </row>
    <row r="108" spans="1:6" ht="15.75" customHeight="1">
      <c r="A108" s="350">
        <f t="shared" si="1"/>
        <v>96</v>
      </c>
      <c r="B108" s="700">
        <v>8710</v>
      </c>
      <c r="C108" s="356" t="s">
        <v>664</v>
      </c>
      <c r="D108" s="611">
        <f>'C.2.2 B 09'!P69</f>
        <v>1954.0543321693435</v>
      </c>
    </row>
    <row r="109" spans="1:6" ht="15.75" customHeight="1">
      <c r="A109" s="350">
        <f t="shared" si="1"/>
        <v>97</v>
      </c>
      <c r="B109" s="700">
        <v>8711</v>
      </c>
      <c r="C109" s="351" t="s">
        <v>354</v>
      </c>
      <c r="D109" s="611">
        <f>'C.2.2 B 09'!P70</f>
        <v>10649.634147097708</v>
      </c>
    </row>
    <row r="110" spans="1:6" ht="15.75" customHeight="1">
      <c r="A110" s="350">
        <f t="shared" si="1"/>
        <v>98</v>
      </c>
      <c r="B110" s="700">
        <v>8720</v>
      </c>
      <c r="C110" s="356" t="s">
        <v>980</v>
      </c>
      <c r="D110" s="611">
        <f>'C.2.2 B 09'!P71</f>
        <v>0</v>
      </c>
    </row>
    <row r="111" spans="1:6" ht="15.75" customHeight="1">
      <c r="A111" s="350">
        <f t="shared" si="1"/>
        <v>99</v>
      </c>
      <c r="B111" s="700">
        <v>8740</v>
      </c>
      <c r="C111" s="356" t="s">
        <v>981</v>
      </c>
      <c r="D111" s="611">
        <f>'C.2.2 B 09'!P72</f>
        <v>3723991.9424460223</v>
      </c>
    </row>
    <row r="112" spans="1:6" ht="15.75" customHeight="1">
      <c r="A112" s="350">
        <f t="shared" si="1"/>
        <v>100</v>
      </c>
      <c r="B112" s="700">
        <v>8750</v>
      </c>
      <c r="C112" s="356" t="s">
        <v>985</v>
      </c>
      <c r="D112" s="611">
        <f>'C.2.2 B 09'!P73</f>
        <v>398999.7802270184</v>
      </c>
    </row>
    <row r="113" spans="1:4" ht="15.75" customHeight="1">
      <c r="A113" s="350">
        <f t="shared" si="1"/>
        <v>101</v>
      </c>
      <c r="B113" s="700">
        <v>8760</v>
      </c>
      <c r="C113" s="356" t="s">
        <v>986</v>
      </c>
      <c r="D113" s="611">
        <f>'C.2.2 B 09'!P74</f>
        <v>33534.792112589414</v>
      </c>
    </row>
    <row r="114" spans="1:4" ht="15.75" customHeight="1">
      <c r="A114" s="350">
        <f t="shared" si="1"/>
        <v>102</v>
      </c>
      <c r="B114" s="700">
        <v>8770</v>
      </c>
      <c r="C114" s="356" t="s">
        <v>987</v>
      </c>
      <c r="D114" s="611">
        <f>'C.2.2 B 09'!P75</f>
        <v>124129.98170099156</v>
      </c>
    </row>
    <row r="115" spans="1:4" ht="15.75" customHeight="1">
      <c r="A115" s="350">
        <f t="shared" si="1"/>
        <v>103</v>
      </c>
      <c r="B115" s="700">
        <v>8780</v>
      </c>
      <c r="C115" s="356" t="s">
        <v>982</v>
      </c>
      <c r="D115" s="611">
        <f>'C.2.2 B 09'!P76</f>
        <v>890856.00637317088</v>
      </c>
    </row>
    <row r="116" spans="1:4" ht="15.75" customHeight="1">
      <c r="A116" s="350">
        <f t="shared" si="1"/>
        <v>104</v>
      </c>
      <c r="B116" s="700">
        <v>8790</v>
      </c>
      <c r="C116" s="356" t="s">
        <v>983</v>
      </c>
      <c r="D116" s="611">
        <f>'C.2.2 B 09'!P77</f>
        <v>752.17633517265062</v>
      </c>
    </row>
    <row r="117" spans="1:4" ht="15.75" customHeight="1">
      <c r="A117" s="350">
        <f t="shared" si="1"/>
        <v>105</v>
      </c>
      <c r="B117" s="700">
        <v>8800</v>
      </c>
      <c r="C117" s="356" t="s">
        <v>984</v>
      </c>
      <c r="D117" s="611">
        <f>'C.2.2 B 09'!P78</f>
        <v>208474.55496439827</v>
      </c>
    </row>
    <row r="118" spans="1:4" ht="15.75" customHeight="1">
      <c r="A118" s="350">
        <f t="shared" si="1"/>
        <v>106</v>
      </c>
      <c r="B118" s="700">
        <v>8810</v>
      </c>
      <c r="C118" s="356" t="s">
        <v>786</v>
      </c>
      <c r="D118" s="453">
        <f>'C.2.2 B 09'!P79</f>
        <v>445054.48448687675</v>
      </c>
    </row>
    <row r="119" spans="1:4" ht="15.75" customHeight="1">
      <c r="A119" s="350">
        <f t="shared" si="1"/>
        <v>107</v>
      </c>
      <c r="B119" s="701"/>
      <c r="C119" s="362" t="s">
        <v>675</v>
      </c>
      <c r="D119" s="439">
        <f>SUM(D107:D118)</f>
        <v>7022186.864031489</v>
      </c>
    </row>
    <row r="120" spans="1:4" ht="15.75" customHeight="1">
      <c r="A120" s="350">
        <f t="shared" si="1"/>
        <v>108</v>
      </c>
      <c r="B120" s="701"/>
      <c r="C120" s="95"/>
      <c r="D120" s="452"/>
    </row>
    <row r="121" spans="1:4" ht="15.75" customHeight="1">
      <c r="A121" s="350">
        <f t="shared" si="1"/>
        <v>109</v>
      </c>
      <c r="B121" s="350"/>
      <c r="C121" s="361" t="s">
        <v>676</v>
      </c>
      <c r="D121" s="610"/>
    </row>
    <row r="122" spans="1:4" ht="15.75" customHeight="1">
      <c r="A122" s="350">
        <f t="shared" si="1"/>
        <v>110</v>
      </c>
      <c r="B122" s="700">
        <v>8850</v>
      </c>
      <c r="C122" s="356" t="s">
        <v>663</v>
      </c>
      <c r="D122" s="650">
        <f>'C.2.2 B 09'!P80</f>
        <v>1964.0799531830269</v>
      </c>
    </row>
    <row r="123" spans="1:4" ht="15.75" customHeight="1">
      <c r="A123" s="350">
        <f t="shared" si="1"/>
        <v>111</v>
      </c>
      <c r="B123" s="700">
        <v>8860</v>
      </c>
      <c r="C123" s="356" t="s">
        <v>988</v>
      </c>
      <c r="D123" s="611">
        <f>'C.2.2 B 09'!P81</f>
        <v>23371.440168923371</v>
      </c>
    </row>
    <row r="124" spans="1:4" ht="15.75" customHeight="1">
      <c r="A124" s="350">
        <f t="shared" si="1"/>
        <v>112</v>
      </c>
      <c r="B124" s="700">
        <v>8870</v>
      </c>
      <c r="C124" s="356" t="s">
        <v>521</v>
      </c>
      <c r="D124" s="611">
        <f>'C.2.2 B 09'!P82</f>
        <v>46025.738609885331</v>
      </c>
    </row>
    <row r="125" spans="1:4" ht="15.75" customHeight="1">
      <c r="A125" s="350">
        <f t="shared" si="1"/>
        <v>113</v>
      </c>
      <c r="B125" s="700">
        <v>8890</v>
      </c>
      <c r="C125" s="356" t="s">
        <v>985</v>
      </c>
      <c r="D125" s="611">
        <f>'C.2.2 B 09'!P83</f>
        <v>6698.4222182973017</v>
      </c>
    </row>
    <row r="126" spans="1:4" ht="15.75" customHeight="1">
      <c r="A126" s="350">
        <f t="shared" si="1"/>
        <v>114</v>
      </c>
      <c r="B126" s="700">
        <v>8900</v>
      </c>
      <c r="C126" s="356" t="s">
        <v>986</v>
      </c>
      <c r="D126" s="611">
        <f>'C.2.2 B 09'!P84</f>
        <v>10625.971851677408</v>
      </c>
    </row>
    <row r="127" spans="1:4" ht="15.75" customHeight="1">
      <c r="A127" s="350">
        <f t="shared" si="1"/>
        <v>115</v>
      </c>
      <c r="B127" s="700">
        <v>8910</v>
      </c>
      <c r="C127" s="356" t="s">
        <v>987</v>
      </c>
      <c r="D127" s="611">
        <f>'C.2.2 B 09'!P85</f>
        <v>25851.91570686315</v>
      </c>
    </row>
    <row r="128" spans="1:4" ht="15.75" customHeight="1">
      <c r="A128" s="350">
        <f t="shared" si="1"/>
        <v>116</v>
      </c>
      <c r="B128" s="700">
        <v>8920</v>
      </c>
      <c r="C128" s="356" t="s">
        <v>1072</v>
      </c>
      <c r="D128" s="611">
        <f>'C.2.2 B 09'!P86</f>
        <v>3575.2200263111527</v>
      </c>
    </row>
    <row r="129" spans="1:5" ht="15.75" customHeight="1">
      <c r="A129" s="350">
        <f t="shared" si="1"/>
        <v>117</v>
      </c>
      <c r="B129" s="700">
        <v>8930</v>
      </c>
      <c r="C129" s="356" t="s">
        <v>989</v>
      </c>
      <c r="D129" s="611">
        <f>'C.2.2 B 09'!P87</f>
        <v>105360.86137928165</v>
      </c>
    </row>
    <row r="130" spans="1:5" ht="15.75" customHeight="1">
      <c r="A130" s="350">
        <f t="shared" si="1"/>
        <v>118</v>
      </c>
      <c r="B130" s="700">
        <v>8940</v>
      </c>
      <c r="C130" s="356" t="s">
        <v>661</v>
      </c>
      <c r="D130" s="611">
        <f>'C.2.2 B 09'!P88</f>
        <v>72160.107789682326</v>
      </c>
    </row>
    <row r="131" spans="1:5" ht="15.75" customHeight="1">
      <c r="A131" s="350">
        <f t="shared" si="1"/>
        <v>119</v>
      </c>
      <c r="B131" s="700">
        <v>8950</v>
      </c>
      <c r="C131" s="356" t="s">
        <v>301</v>
      </c>
      <c r="D131" s="453">
        <v>0</v>
      </c>
    </row>
    <row r="132" spans="1:5" ht="15.75" customHeight="1">
      <c r="A132" s="350">
        <f t="shared" si="1"/>
        <v>120</v>
      </c>
      <c r="B132" s="701"/>
      <c r="C132" s="362" t="s">
        <v>436</v>
      </c>
      <c r="D132" s="439">
        <f>SUM(D122:D131)</f>
        <v>295633.7577041047</v>
      </c>
    </row>
    <row r="133" spans="1:5" ht="15.75" customHeight="1">
      <c r="A133" s="350">
        <f t="shared" si="1"/>
        <v>121</v>
      </c>
      <c r="B133" s="701"/>
      <c r="C133" s="362"/>
      <c r="D133" s="452"/>
    </row>
    <row r="134" spans="1:5" ht="15.75" customHeight="1">
      <c r="A134" s="350">
        <f t="shared" si="1"/>
        <v>122</v>
      </c>
      <c r="B134" s="350"/>
      <c r="C134" s="361" t="s">
        <v>437</v>
      </c>
      <c r="D134" s="610"/>
    </row>
    <row r="135" spans="1:5" ht="15.75" customHeight="1">
      <c r="A135" s="350">
        <f t="shared" si="1"/>
        <v>123</v>
      </c>
      <c r="B135" s="700">
        <v>9010</v>
      </c>
      <c r="C135" s="356" t="s">
        <v>493</v>
      </c>
      <c r="D135" s="650">
        <v>0</v>
      </c>
    </row>
    <row r="136" spans="1:5" ht="15.75" customHeight="1">
      <c r="A136" s="350">
        <f t="shared" si="1"/>
        <v>124</v>
      </c>
      <c r="B136" s="700">
        <v>9020</v>
      </c>
      <c r="C136" s="356" t="s">
        <v>682</v>
      </c>
      <c r="D136" s="611">
        <f>'C.2.2 B 09'!P89</f>
        <v>1202767.575172228</v>
      </c>
    </row>
    <row r="137" spans="1:5" ht="15.75" customHeight="1">
      <c r="A137" s="350">
        <f t="shared" si="1"/>
        <v>125</v>
      </c>
      <c r="B137" s="700">
        <v>9030</v>
      </c>
      <c r="C137" s="356" t="s">
        <v>990</v>
      </c>
      <c r="D137" s="611">
        <f>'C.2.2 B 09'!P90</f>
        <v>379869.58454602241</v>
      </c>
    </row>
    <row r="138" spans="1:5" ht="15.75" customHeight="1">
      <c r="A138" s="350">
        <f t="shared" si="1"/>
        <v>126</v>
      </c>
      <c r="B138" s="700">
        <v>9040</v>
      </c>
      <c r="C138" s="356" t="s">
        <v>683</v>
      </c>
      <c r="D138" s="453">
        <f>'C.2.2 B 09'!P91</f>
        <v>564321.71039999998</v>
      </c>
      <c r="E138" s="754"/>
    </row>
    <row r="139" spans="1:5" ht="15.75" customHeight="1">
      <c r="A139" s="350">
        <f t="shared" si="1"/>
        <v>127</v>
      </c>
      <c r="B139" s="350"/>
      <c r="C139" s="362" t="s">
        <v>559</v>
      </c>
      <c r="D139" s="439">
        <f>SUM(D135:D138)</f>
        <v>2146958.8701182501</v>
      </c>
    </row>
    <row r="140" spans="1:5" ht="15.75" customHeight="1">
      <c r="A140" s="350">
        <f t="shared" si="1"/>
        <v>128</v>
      </c>
      <c r="B140" s="701"/>
      <c r="C140" s="362"/>
      <c r="D140" s="452"/>
    </row>
    <row r="141" spans="1:5" ht="15.75" customHeight="1">
      <c r="A141" s="350">
        <f t="shared" si="1"/>
        <v>129</v>
      </c>
      <c r="B141" s="701"/>
      <c r="C141" s="361" t="s">
        <v>560</v>
      </c>
      <c r="D141" s="517"/>
    </row>
    <row r="142" spans="1:5" ht="15.75" customHeight="1">
      <c r="A142" s="350">
        <f t="shared" si="1"/>
        <v>130</v>
      </c>
      <c r="B142" s="700">
        <v>9070</v>
      </c>
      <c r="C142" s="356" t="s">
        <v>493</v>
      </c>
      <c r="D142" s="650">
        <v>0</v>
      </c>
    </row>
    <row r="143" spans="1:5" ht="15.75" customHeight="1">
      <c r="A143" s="350">
        <f t="shared" si="1"/>
        <v>131</v>
      </c>
      <c r="B143" s="700">
        <v>9080</v>
      </c>
      <c r="C143" s="356" t="s">
        <v>681</v>
      </c>
      <c r="D143" s="611">
        <v>0</v>
      </c>
    </row>
    <row r="144" spans="1:5" ht="15.75" customHeight="1">
      <c r="A144" s="350">
        <f t="shared" si="1"/>
        <v>132</v>
      </c>
      <c r="B144" s="700">
        <v>9090</v>
      </c>
      <c r="C144" s="356" t="s">
        <v>680</v>
      </c>
      <c r="D144" s="611">
        <f>'C.2.2 B 09'!P92</f>
        <v>125152.43264437889</v>
      </c>
    </row>
    <row r="145" spans="1:4" ht="15.75" customHeight="1">
      <c r="A145" s="350">
        <f t="shared" si="1"/>
        <v>133</v>
      </c>
      <c r="B145" s="700">
        <v>9100</v>
      </c>
      <c r="C145" s="356" t="s">
        <v>466</v>
      </c>
      <c r="D145" s="453">
        <f>'C.2.2 B 09'!P93</f>
        <v>183.78356405221172</v>
      </c>
    </row>
    <row r="146" spans="1:4" ht="15.75" customHeight="1">
      <c r="A146" s="350">
        <f t="shared" si="1"/>
        <v>134</v>
      </c>
      <c r="B146" s="350"/>
      <c r="C146" s="362" t="s">
        <v>873</v>
      </c>
      <c r="D146" s="439">
        <f>SUM(D142:D145)</f>
        <v>125336.2162084311</v>
      </c>
    </row>
    <row r="147" spans="1:4" ht="15.75" customHeight="1">
      <c r="A147" s="350">
        <f t="shared" si="1"/>
        <v>135</v>
      </c>
      <c r="B147" s="350"/>
      <c r="C147" s="354"/>
      <c r="D147" s="610"/>
    </row>
    <row r="148" spans="1:4" ht="15.75" customHeight="1">
      <c r="A148" s="350">
        <f t="shared" si="1"/>
        <v>136</v>
      </c>
      <c r="B148" s="350"/>
      <c r="C148" s="361" t="s">
        <v>509</v>
      </c>
      <c r="D148" s="610"/>
    </row>
    <row r="149" spans="1:4" ht="15.75" customHeight="1">
      <c r="A149" s="350">
        <f t="shared" ref="A149:A181" si="2">A148+1</f>
        <v>137</v>
      </c>
      <c r="B149" s="700">
        <v>9110</v>
      </c>
      <c r="C149" s="356" t="s">
        <v>493</v>
      </c>
      <c r="D149" s="650">
        <f>'C.2.2 B 09'!P94</f>
        <v>257746.70503193676</v>
      </c>
    </row>
    <row r="150" spans="1:4" ht="15.75" customHeight="1">
      <c r="A150" s="350">
        <f t="shared" si="2"/>
        <v>138</v>
      </c>
      <c r="B150" s="700">
        <v>9120</v>
      </c>
      <c r="C150" s="356" t="s">
        <v>787</v>
      </c>
      <c r="D150" s="611">
        <f>'C.2.2 B 09'!P95</f>
        <v>56174.592297134361</v>
      </c>
    </row>
    <row r="151" spans="1:4" ht="15.75" customHeight="1">
      <c r="A151" s="350">
        <f t="shared" si="2"/>
        <v>139</v>
      </c>
      <c r="B151" s="700">
        <v>9130</v>
      </c>
      <c r="C151" s="356" t="s">
        <v>870</v>
      </c>
      <c r="D151" s="611">
        <f>'C.2.2 B 09'!P96</f>
        <v>23114.350742867809</v>
      </c>
    </row>
    <row r="152" spans="1:4" ht="15.75" customHeight="1">
      <c r="A152" s="350">
        <f t="shared" si="2"/>
        <v>140</v>
      </c>
      <c r="B152" s="700">
        <v>9160</v>
      </c>
      <c r="C152" s="356" t="s">
        <v>854</v>
      </c>
      <c r="D152" s="453">
        <v>0</v>
      </c>
    </row>
    <row r="153" spans="1:4" ht="15.75" customHeight="1">
      <c r="A153" s="350">
        <f t="shared" si="2"/>
        <v>141</v>
      </c>
      <c r="B153" s="350"/>
      <c r="C153" s="362" t="s">
        <v>1135</v>
      </c>
      <c r="D153" s="439">
        <f>SUM(D149:D152)</f>
        <v>337035.64807193889</v>
      </c>
    </row>
    <row r="154" spans="1:4" ht="15.75" customHeight="1">
      <c r="A154" s="350">
        <f t="shared" si="2"/>
        <v>142</v>
      </c>
      <c r="B154" s="701"/>
      <c r="D154" s="610"/>
    </row>
    <row r="155" spans="1:4" ht="15.75" customHeight="1">
      <c r="A155" s="350">
        <f t="shared" si="2"/>
        <v>143</v>
      </c>
      <c r="B155" s="350"/>
      <c r="C155" s="361" t="s">
        <v>1136</v>
      </c>
      <c r="D155" s="610"/>
    </row>
    <row r="156" spans="1:4" ht="15.75" customHeight="1">
      <c r="A156" s="350">
        <f t="shared" si="2"/>
        <v>144</v>
      </c>
      <c r="B156" s="700">
        <v>9200</v>
      </c>
      <c r="C156" s="356" t="s">
        <v>778</v>
      </c>
      <c r="D156" s="650">
        <f>'C.2.2 B 09'!P97</f>
        <v>134097.63307528791</v>
      </c>
    </row>
    <row r="157" spans="1:4" ht="15.75" customHeight="1">
      <c r="A157" s="350">
        <f t="shared" si="2"/>
        <v>145</v>
      </c>
      <c r="B157" s="700">
        <v>9210</v>
      </c>
      <c r="C157" s="356" t="s">
        <v>779</v>
      </c>
      <c r="D157" s="611">
        <f>'C.2.2 B 09'!P98</f>
        <v>7609.9836462125641</v>
      </c>
    </row>
    <row r="158" spans="1:4" ht="15.75" customHeight="1">
      <c r="A158" s="350">
        <f t="shared" si="2"/>
        <v>146</v>
      </c>
      <c r="B158" s="700">
        <v>9220</v>
      </c>
      <c r="C158" s="356" t="s">
        <v>780</v>
      </c>
      <c r="D158" s="611">
        <f>'C.2.2 B 09'!P99</f>
        <v>13070219.117788246</v>
      </c>
    </row>
    <row r="159" spans="1:4" ht="15.75" customHeight="1">
      <c r="A159" s="350">
        <f t="shared" si="2"/>
        <v>147</v>
      </c>
      <c r="B159" s="700">
        <v>9230</v>
      </c>
      <c r="C159" s="356" t="s">
        <v>781</v>
      </c>
      <c r="D159" s="611">
        <f>'C.2.2 B 09'!P100</f>
        <v>201632.49667933921</v>
      </c>
    </row>
    <row r="160" spans="1:4" ht="15.75" customHeight="1">
      <c r="A160" s="350">
        <f t="shared" si="2"/>
        <v>148</v>
      </c>
      <c r="B160" s="700">
        <v>9240</v>
      </c>
      <c r="C160" s="356" t="s">
        <v>317</v>
      </c>
      <c r="D160" s="611">
        <f>'C.2.2 B 09'!P101</f>
        <v>84990.611116541942</v>
      </c>
    </row>
    <row r="161" spans="1:7" ht="15.75" customHeight="1">
      <c r="A161" s="350">
        <f t="shared" si="2"/>
        <v>149</v>
      </c>
      <c r="B161" s="700">
        <v>9250</v>
      </c>
      <c r="C161" s="356" t="s">
        <v>782</v>
      </c>
      <c r="D161" s="611">
        <f>'C.2.2 B 09'!P102</f>
        <v>232180.71802061409</v>
      </c>
    </row>
    <row r="162" spans="1:7" ht="15.75" customHeight="1">
      <c r="A162" s="350">
        <f t="shared" si="2"/>
        <v>150</v>
      </c>
      <c r="B162" s="700">
        <v>9260</v>
      </c>
      <c r="C162" s="356" t="s">
        <v>784</v>
      </c>
      <c r="D162" s="611">
        <f>'C.2.2 B 09'!P103</f>
        <v>2194043.9592287075</v>
      </c>
    </row>
    <row r="163" spans="1:7" ht="15.75" customHeight="1">
      <c r="A163" s="350">
        <f t="shared" si="2"/>
        <v>151</v>
      </c>
      <c r="B163" s="700">
        <v>9270</v>
      </c>
      <c r="C163" s="356" t="s">
        <v>318</v>
      </c>
      <c r="D163" s="611">
        <f>'C.2.2 B 09'!P104</f>
        <v>386.17244583493357</v>
      </c>
    </row>
    <row r="164" spans="1:7" ht="15.75" customHeight="1">
      <c r="A164" s="350">
        <f t="shared" si="2"/>
        <v>152</v>
      </c>
      <c r="B164" s="700">
        <v>9280</v>
      </c>
      <c r="C164" s="356" t="s">
        <v>785</v>
      </c>
      <c r="D164" s="611">
        <f>'C.2.2 B 09'!P105</f>
        <v>11737.380528926924</v>
      </c>
    </row>
    <row r="165" spans="1:7" ht="15.75" customHeight="1">
      <c r="A165" s="350">
        <f t="shared" si="2"/>
        <v>153</v>
      </c>
      <c r="B165" s="706">
        <v>930.2</v>
      </c>
      <c r="C165" s="356" t="s">
        <v>319</v>
      </c>
      <c r="D165" s="611">
        <f>'C.2.2 B 09'!P106</f>
        <v>42277.978065082491</v>
      </c>
    </row>
    <row r="166" spans="1:7" ht="15.75" customHeight="1">
      <c r="A166" s="350">
        <f t="shared" si="2"/>
        <v>154</v>
      </c>
      <c r="B166" s="700">
        <v>9310</v>
      </c>
      <c r="C166" s="356" t="s">
        <v>189</v>
      </c>
      <c r="D166" s="649">
        <f>'C.2.2 B 09'!P107</f>
        <v>13647.466015270216</v>
      </c>
    </row>
    <row r="167" spans="1:7" ht="15.75" customHeight="1">
      <c r="A167" s="350">
        <f t="shared" si="2"/>
        <v>155</v>
      </c>
      <c r="B167" s="350"/>
      <c r="C167" s="362" t="s">
        <v>777</v>
      </c>
      <c r="D167" s="439">
        <f>SUM(D156:D166)</f>
        <v>15992823.516610064</v>
      </c>
    </row>
    <row r="168" spans="1:7" ht="15.75" customHeight="1">
      <c r="A168" s="350">
        <f t="shared" si="2"/>
        <v>156</v>
      </c>
      <c r="B168" s="350"/>
      <c r="C168" s="354"/>
      <c r="D168" s="610"/>
    </row>
    <row r="169" spans="1:7" ht="15.75" customHeight="1">
      <c r="A169" s="350">
        <f t="shared" si="2"/>
        <v>157</v>
      </c>
      <c r="B169" s="350"/>
      <c r="C169" s="361" t="s">
        <v>788</v>
      </c>
      <c r="D169" s="610"/>
    </row>
    <row r="170" spans="1:7" ht="15.75" customHeight="1">
      <c r="A170" s="350">
        <f t="shared" si="2"/>
        <v>158</v>
      </c>
      <c r="B170" s="700">
        <v>9320</v>
      </c>
      <c r="C170" s="356" t="s">
        <v>876</v>
      </c>
      <c r="D170" s="649">
        <f>'C.2.2 B 09'!P108</f>
        <v>2010.2359013780328</v>
      </c>
    </row>
    <row r="171" spans="1:7" ht="15.75" customHeight="1">
      <c r="A171" s="350">
        <f t="shared" si="2"/>
        <v>159</v>
      </c>
      <c r="B171" s="350"/>
      <c r="C171" s="362" t="s">
        <v>749</v>
      </c>
      <c r="D171" s="651">
        <f>SUM(D170:D170)</f>
        <v>2010.2359013780328</v>
      </c>
    </row>
    <row r="172" spans="1:7" ht="15.75" customHeight="1">
      <c r="A172" s="350">
        <f t="shared" si="2"/>
        <v>160</v>
      </c>
      <c r="B172" s="701"/>
      <c r="D172" s="517"/>
    </row>
    <row r="173" spans="1:7" ht="15.75" customHeight="1">
      <c r="A173" s="350">
        <f t="shared" si="2"/>
        <v>161</v>
      </c>
      <c r="B173" s="350"/>
      <c r="C173" s="355" t="s">
        <v>338</v>
      </c>
      <c r="D173" s="652">
        <f>+D38+D42+D54+D64+D74+D82+D104+D119+D132+D139+D146+D153+D167+D171</f>
        <v>103680465.54658766</v>
      </c>
      <c r="G173" s="123"/>
    </row>
    <row r="174" spans="1:7" ht="15.75" customHeight="1">
      <c r="A174" s="350">
        <f t="shared" si="2"/>
        <v>162</v>
      </c>
      <c r="B174" s="701"/>
      <c r="D174" s="517"/>
    </row>
    <row r="175" spans="1:7" ht="15.75" customHeight="1">
      <c r="A175" s="350">
        <f t="shared" si="2"/>
        <v>163</v>
      </c>
      <c r="B175" s="350" t="s">
        <v>320</v>
      </c>
      <c r="C175" s="351" t="s">
        <v>685</v>
      </c>
      <c r="D175" s="651">
        <f>SUM('C.2.2 B 09'!P14:P15)</f>
        <v>18252729.938099388</v>
      </c>
    </row>
    <row r="176" spans="1:7" ht="15.75" customHeight="1">
      <c r="A176" s="350">
        <f t="shared" si="2"/>
        <v>164</v>
      </c>
      <c r="B176" s="700">
        <v>4081</v>
      </c>
      <c r="C176" s="351" t="s">
        <v>686</v>
      </c>
      <c r="D176" s="611">
        <f>'C.2.2 B 09'!P16</f>
        <v>6437544.724313166</v>
      </c>
    </row>
    <row r="177" spans="1:7" ht="15.75" customHeight="1">
      <c r="A177" s="350">
        <f t="shared" si="2"/>
        <v>165</v>
      </c>
      <c r="B177" s="700" t="s">
        <v>750</v>
      </c>
      <c r="C177" s="351" t="s">
        <v>684</v>
      </c>
      <c r="D177" s="453">
        <f>+E!E23</f>
        <v>9464192.1453126315</v>
      </c>
      <c r="F177" s="780"/>
      <c r="G177" s="780"/>
    </row>
    <row r="178" spans="1:7" ht="15.75" customHeight="1">
      <c r="A178" s="350">
        <f t="shared" si="2"/>
        <v>166</v>
      </c>
      <c r="B178" s="701"/>
      <c r="D178" s="517"/>
    </row>
    <row r="179" spans="1:7" ht="15.75" customHeight="1">
      <c r="A179" s="350">
        <f t="shared" si="2"/>
        <v>167</v>
      </c>
      <c r="B179" s="357"/>
      <c r="C179" s="351" t="s">
        <v>342</v>
      </c>
      <c r="D179" s="649">
        <f>+D173+SUM(D175:D177)</f>
        <v>137834932.35431284</v>
      </c>
    </row>
    <row r="180" spans="1:7" ht="15.75" customHeight="1">
      <c r="A180" s="350">
        <f t="shared" si="2"/>
        <v>168</v>
      </c>
      <c r="B180" s="358"/>
      <c r="D180" s="517"/>
    </row>
    <row r="181" spans="1:7" ht="15.75" customHeight="1" thickBot="1">
      <c r="A181" s="350">
        <f t="shared" si="2"/>
        <v>169</v>
      </c>
      <c r="B181" s="357"/>
      <c r="C181" s="351" t="s">
        <v>343</v>
      </c>
      <c r="D181" s="894">
        <f>D32-D179</f>
        <v>22036967.297723532</v>
      </c>
    </row>
    <row r="182" spans="1:7" ht="15.75" customHeight="1" thickTop="1">
      <c r="B182" s="365"/>
    </row>
    <row r="183" spans="1:7" ht="15.75" customHeight="1">
      <c r="A183" s="354"/>
      <c r="B183" s="365"/>
    </row>
    <row r="184" spans="1:7" ht="15.75" customHeight="1">
      <c r="B184" s="365"/>
    </row>
    <row r="185" spans="1:7" ht="15.75" customHeight="1">
      <c r="B185" s="365"/>
    </row>
    <row r="186" spans="1:7" ht="15.75" customHeight="1">
      <c r="B186" s="365"/>
    </row>
    <row r="187" spans="1:7" ht="15.75" customHeight="1">
      <c r="B187" s="365"/>
    </row>
    <row r="188" spans="1:7" ht="15.75" customHeight="1">
      <c r="B188" s="365"/>
    </row>
    <row r="189" spans="1:7" ht="15.75" customHeight="1">
      <c r="B189" s="365"/>
    </row>
    <row r="190" spans="1:7" ht="15.75" customHeight="1">
      <c r="B190" s="365"/>
    </row>
    <row r="191" spans="1:7" ht="15.75" customHeight="1">
      <c r="B191" s="358"/>
    </row>
    <row r="192" spans="1:7" ht="15.75" customHeight="1">
      <c r="B192" s="358"/>
    </row>
    <row r="193" spans="2:2" ht="15.75" customHeight="1">
      <c r="B193" s="358"/>
    </row>
    <row r="194" spans="2:2" ht="15.75" customHeight="1">
      <c r="B194" s="358"/>
    </row>
    <row r="195" spans="2:2" ht="15.75" customHeight="1">
      <c r="B195" s="358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pageSetUpPr fitToPage="1"/>
  </sheetPr>
  <dimension ref="A1:J188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4.77734375" style="60" customWidth="1"/>
    <col min="2" max="2" width="11.88671875" style="60" customWidth="1"/>
    <col min="3" max="3" width="45.77734375" style="60" customWidth="1"/>
    <col min="4" max="4" width="13.109375" style="60" customWidth="1"/>
    <col min="5" max="5" width="3.77734375" style="60" customWidth="1"/>
    <col min="6" max="6" width="14" style="60" customWidth="1"/>
    <col min="7" max="7" width="11.109375" style="60" customWidth="1"/>
    <col min="8" max="8" width="10.88671875" style="60" customWidth="1"/>
    <col min="9" max="16384" width="8.44140625" style="60"/>
  </cols>
  <sheetData>
    <row r="1" spans="1:8" s="1" customFormat="1">
      <c r="A1" s="1268" t="str">
        <f>'Table of Contents'!A1:C1</f>
        <v>Atmos Energy Corporation, Kentucky/Mid-States Division</v>
      </c>
      <c r="B1" s="1268"/>
      <c r="C1" s="1268"/>
      <c r="D1" s="1268"/>
      <c r="E1" s="778"/>
    </row>
    <row r="2" spans="1:8" s="1" customFormat="1">
      <c r="A2" s="1268" t="str">
        <f>'Table of Contents'!A2:C2</f>
        <v>Kentucky Jurisdiction Case No. 2015-00343</v>
      </c>
      <c r="B2" s="1268"/>
      <c r="C2" s="1268"/>
      <c r="D2" s="1268"/>
      <c r="E2" s="778"/>
    </row>
    <row r="3" spans="1:8" s="1" customFormat="1">
      <c r="A3" s="1268" t="s">
        <v>290</v>
      </c>
      <c r="B3" s="1268"/>
      <c r="C3" s="1268"/>
      <c r="D3" s="1268"/>
      <c r="E3" s="778"/>
    </row>
    <row r="4" spans="1:8">
      <c r="A4" s="1268" t="str">
        <f>'Table of Contents'!A4:C4</f>
        <v>Forecasted Test Period: Twelve Months Ended May 31, 2017</v>
      </c>
      <c r="B4" s="1268"/>
      <c r="C4" s="1268"/>
      <c r="D4" s="1268"/>
      <c r="E4" s="778"/>
    </row>
    <row r="5" spans="1:8">
      <c r="A5" s="256"/>
      <c r="B5" s="256"/>
      <c r="C5" s="40"/>
      <c r="D5" s="40"/>
      <c r="E5" s="40"/>
    </row>
    <row r="6" spans="1:8">
      <c r="A6" s="245" t="s">
        <v>1084</v>
      </c>
      <c r="D6" s="653" t="s">
        <v>1523</v>
      </c>
      <c r="E6" s="653"/>
    </row>
    <row r="7" spans="1:8">
      <c r="A7" s="4" t="str">
        <f>'C.2.1 B'!A7</f>
        <v>Type of Filing:___X____Original________Updated ________Revised</v>
      </c>
      <c r="D7" s="654" t="s">
        <v>728</v>
      </c>
      <c r="E7" s="654"/>
    </row>
    <row r="8" spans="1:8">
      <c r="A8" s="275" t="s">
        <v>375</v>
      </c>
      <c r="B8" s="260"/>
      <c r="C8" s="260"/>
      <c r="D8" s="656" t="str">
        <f>C.1!J9</f>
        <v>Witness: Waller, Smith</v>
      </c>
      <c r="E8" s="781"/>
    </row>
    <row r="9" spans="1:8">
      <c r="D9" s="278"/>
      <c r="E9" s="278"/>
    </row>
    <row r="10" spans="1:8">
      <c r="A10" s="277" t="s">
        <v>98</v>
      </c>
      <c r="B10" s="278" t="s">
        <v>347</v>
      </c>
      <c r="C10" s="277" t="s">
        <v>347</v>
      </c>
      <c r="D10" s="278" t="s">
        <v>1005</v>
      </c>
      <c r="E10" s="278"/>
    </row>
    <row r="11" spans="1:8">
      <c r="A11" s="279" t="s">
        <v>104</v>
      </c>
      <c r="B11" s="329" t="s">
        <v>1347</v>
      </c>
      <c r="C11" s="279" t="s">
        <v>222</v>
      </c>
      <c r="D11" s="329" t="s">
        <v>322</v>
      </c>
      <c r="E11" s="782"/>
    </row>
    <row r="12" spans="1:8">
      <c r="D12" s="278" t="s">
        <v>1112</v>
      </c>
      <c r="E12" s="278"/>
    </row>
    <row r="13" spans="1:8">
      <c r="A13" s="278">
        <v>1</v>
      </c>
      <c r="B13" s="295"/>
      <c r="C13" s="61" t="s">
        <v>70</v>
      </c>
    </row>
    <row r="14" spans="1:8">
      <c r="A14" s="278">
        <f>A13+1</f>
        <v>2</v>
      </c>
      <c r="B14" s="278"/>
      <c r="C14" s="61" t="s">
        <v>140</v>
      </c>
      <c r="G14" s="261"/>
      <c r="H14" s="755"/>
    </row>
    <row r="15" spans="1:8">
      <c r="A15" s="278">
        <f t="shared" ref="A15:A81" si="0">A14+1</f>
        <v>3</v>
      </c>
      <c r="B15" s="707">
        <v>4800</v>
      </c>
      <c r="C15" s="366" t="s">
        <v>135</v>
      </c>
      <c r="D15" s="657">
        <f>-'C.2.2-F 09'!P17</f>
        <v>95823029.825353429</v>
      </c>
      <c r="E15" s="657"/>
      <c r="G15" s="261"/>
      <c r="H15" s="261"/>
    </row>
    <row r="16" spans="1:8">
      <c r="A16" s="278">
        <f t="shared" si="0"/>
        <v>4</v>
      </c>
      <c r="B16" s="707">
        <v>4811</v>
      </c>
      <c r="C16" s="366" t="s">
        <v>136</v>
      </c>
      <c r="D16" s="475">
        <f>-'C.2.2-F 09'!P19</f>
        <v>39862445.220677249</v>
      </c>
      <c r="E16" s="475"/>
      <c r="G16" s="261"/>
      <c r="H16" s="261"/>
    </row>
    <row r="17" spans="1:8">
      <c r="A17" s="278">
        <f t="shared" si="0"/>
        <v>5</v>
      </c>
      <c r="B17" s="707">
        <v>4812</v>
      </c>
      <c r="C17" s="366" t="s">
        <v>137</v>
      </c>
      <c r="D17" s="475">
        <f>-'C.2.2-F 09'!P20</f>
        <v>4880527.2397751613</v>
      </c>
      <c r="E17" s="475"/>
      <c r="F17" s="768"/>
      <c r="G17" s="957"/>
      <c r="H17" s="261"/>
    </row>
    <row r="18" spans="1:8">
      <c r="A18" s="278">
        <f t="shared" si="0"/>
        <v>6</v>
      </c>
      <c r="B18" s="707">
        <v>4820</v>
      </c>
      <c r="C18" s="366" t="s">
        <v>795</v>
      </c>
      <c r="D18" s="389">
        <f>-'C.2.2-F 09'!P23</f>
        <v>7189609.0439688396</v>
      </c>
      <c r="E18" s="475"/>
      <c r="F18" s="768"/>
      <c r="G18" s="957"/>
      <c r="H18" s="261"/>
    </row>
    <row r="19" spans="1:8">
      <c r="A19" s="278">
        <f t="shared" si="0"/>
        <v>7</v>
      </c>
      <c r="B19" s="278"/>
      <c r="C19" s="277" t="s">
        <v>1176</v>
      </c>
      <c r="D19" s="383">
        <f>SUM(D15:D18)</f>
        <v>147755611.32977465</v>
      </c>
      <c r="E19" s="383"/>
      <c r="F19" s="768"/>
      <c r="G19" s="957"/>
      <c r="H19" s="261"/>
    </row>
    <row r="20" spans="1:8">
      <c r="A20" s="278">
        <f t="shared" si="0"/>
        <v>8</v>
      </c>
      <c r="B20" s="104"/>
      <c r="D20" s="266"/>
      <c r="E20" s="266"/>
      <c r="F20" s="768"/>
      <c r="G20" s="957"/>
      <c r="H20" s="261"/>
    </row>
    <row r="21" spans="1:8">
      <c r="A21" s="278">
        <f t="shared" si="0"/>
        <v>9</v>
      </c>
      <c r="B21" s="104"/>
      <c r="C21" s="61" t="s">
        <v>69</v>
      </c>
      <c r="D21" s="334"/>
      <c r="E21" s="334"/>
      <c r="F21" s="768"/>
      <c r="G21" s="957"/>
      <c r="H21" s="261"/>
    </row>
    <row r="22" spans="1:8">
      <c r="A22" s="278">
        <f t="shared" si="0"/>
        <v>10</v>
      </c>
      <c r="B22" s="707">
        <v>4870</v>
      </c>
      <c r="C22" s="366" t="s">
        <v>1032</v>
      </c>
      <c r="D22" s="657">
        <f>-'C.2.2-F 09'!P25</f>
        <v>1140887.1789956738</v>
      </c>
      <c r="E22" s="657"/>
      <c r="F22" s="768"/>
      <c r="G22" s="957"/>
      <c r="H22" s="261"/>
    </row>
    <row r="23" spans="1:8">
      <c r="A23" s="278">
        <f t="shared" si="0"/>
        <v>11</v>
      </c>
      <c r="B23" s="707">
        <v>4880</v>
      </c>
      <c r="C23" s="366" t="s">
        <v>1033</v>
      </c>
      <c r="D23" s="475">
        <f>-'C.2.2-F 09'!P26</f>
        <v>795825</v>
      </c>
      <c r="E23" s="475"/>
      <c r="F23" s="768"/>
      <c r="G23" s="957"/>
      <c r="H23" s="261"/>
    </row>
    <row r="24" spans="1:8">
      <c r="A24" s="278">
        <f t="shared" si="0"/>
        <v>12</v>
      </c>
      <c r="B24" s="708" t="s">
        <v>1235</v>
      </c>
      <c r="C24" s="368" t="s">
        <v>68</v>
      </c>
      <c r="D24" s="475">
        <f>-'C.2.2-F 09'!P27</f>
        <v>14493603.90615</v>
      </c>
      <c r="E24" s="475"/>
      <c r="F24" s="768"/>
      <c r="G24" s="768"/>
      <c r="H24" s="261"/>
    </row>
    <row r="25" spans="1:8">
      <c r="A25" s="278">
        <f t="shared" si="0"/>
        <v>13</v>
      </c>
      <c r="B25" s="707">
        <v>4950</v>
      </c>
      <c r="C25" s="366" t="s">
        <v>678</v>
      </c>
      <c r="D25" s="475">
        <f>-'C.2.2-F 09'!P28</f>
        <v>2618728.0574999996</v>
      </c>
      <c r="E25" s="475"/>
      <c r="F25" s="768"/>
      <c r="G25" s="768"/>
      <c r="H25" s="261"/>
    </row>
    <row r="26" spans="1:8">
      <c r="A26" s="278">
        <f t="shared" si="0"/>
        <v>14</v>
      </c>
      <c r="B26" s="104"/>
      <c r="C26" s="277" t="s">
        <v>1177</v>
      </c>
      <c r="D26" s="891">
        <f>SUM(D22:D25)</f>
        <v>19049044.142645676</v>
      </c>
      <c r="E26" s="383"/>
      <c r="F26" s="768"/>
      <c r="G26" s="957"/>
      <c r="H26" s="261"/>
    </row>
    <row r="27" spans="1:8">
      <c r="A27" s="278">
        <f t="shared" si="0"/>
        <v>15</v>
      </c>
      <c r="B27" s="104"/>
      <c r="D27" s="334"/>
      <c r="E27" s="334"/>
      <c r="F27" s="768"/>
      <c r="G27" s="768"/>
      <c r="H27" s="261"/>
    </row>
    <row r="28" spans="1:8">
      <c r="A28" s="278">
        <f t="shared" si="0"/>
        <v>16</v>
      </c>
      <c r="B28" s="278"/>
      <c r="C28" s="277" t="s">
        <v>71</v>
      </c>
      <c r="D28" s="382">
        <f>D26+D19</f>
        <v>166804655.47242033</v>
      </c>
      <c r="E28" s="382"/>
      <c r="F28" s="768"/>
      <c r="G28" s="957"/>
      <c r="H28" s="261"/>
    </row>
    <row r="29" spans="1:8">
      <c r="A29" s="278">
        <f t="shared" si="0"/>
        <v>17</v>
      </c>
      <c r="B29" s="104"/>
      <c r="D29" s="334"/>
      <c r="E29" s="334"/>
    </row>
    <row r="30" spans="1:8">
      <c r="A30" s="278">
        <f t="shared" si="0"/>
        <v>18</v>
      </c>
      <c r="B30" s="104"/>
      <c r="C30" s="61" t="s">
        <v>310</v>
      </c>
      <c r="D30" s="334"/>
      <c r="E30" s="334"/>
    </row>
    <row r="31" spans="1:8">
      <c r="A31" s="278">
        <f t="shared" si="0"/>
        <v>19</v>
      </c>
      <c r="B31" s="104"/>
      <c r="C31" s="369" t="s">
        <v>677</v>
      </c>
      <c r="D31" s="266"/>
      <c r="E31" s="266"/>
    </row>
    <row r="32" spans="1:8">
      <c r="A32" s="278">
        <f t="shared" si="0"/>
        <v>20</v>
      </c>
      <c r="B32" s="709">
        <v>7560</v>
      </c>
      <c r="C32" s="366" t="s">
        <v>335</v>
      </c>
      <c r="D32" s="475">
        <f>'C.2.2-F 09'!P29</f>
        <v>103.72113051435586</v>
      </c>
      <c r="E32" s="475"/>
    </row>
    <row r="33" spans="1:10">
      <c r="A33" s="278">
        <f t="shared" si="0"/>
        <v>21</v>
      </c>
      <c r="B33" s="703">
        <v>7590</v>
      </c>
      <c r="C33" s="356" t="s">
        <v>1401</v>
      </c>
      <c r="D33" s="768">
        <f>'C.2.2-F 09'!P30</f>
        <v>0</v>
      </c>
      <c r="E33" s="475"/>
    </row>
    <row r="34" spans="1:10">
      <c r="A34" s="278">
        <f t="shared" si="0"/>
        <v>22</v>
      </c>
      <c r="B34" s="104"/>
      <c r="C34" s="336" t="s">
        <v>450</v>
      </c>
      <c r="D34" s="891">
        <f>SUM(D32:D33)</f>
        <v>103.72113051435586</v>
      </c>
      <c r="E34" s="383"/>
      <c r="F34" s="768"/>
      <c r="G34" s="957"/>
    </row>
    <row r="35" spans="1:10">
      <c r="A35" s="278">
        <f t="shared" si="0"/>
        <v>23</v>
      </c>
      <c r="B35" s="104"/>
      <c r="C35" s="245"/>
      <c r="D35" s="388"/>
      <c r="E35" s="388"/>
    </row>
    <row r="36" spans="1:10">
      <c r="A36" s="278">
        <f t="shared" si="0"/>
        <v>24</v>
      </c>
      <c r="B36" s="104"/>
      <c r="C36" s="369" t="s">
        <v>1160</v>
      </c>
      <c r="D36" s="388"/>
      <c r="E36" s="388"/>
    </row>
    <row r="37" spans="1:10">
      <c r="A37" s="278">
        <f t="shared" si="0"/>
        <v>25</v>
      </c>
      <c r="B37" s="709">
        <v>7610</v>
      </c>
      <c r="C37" s="366" t="s">
        <v>1162</v>
      </c>
      <c r="D37" s="658">
        <v>0</v>
      </c>
      <c r="E37" s="657"/>
    </row>
    <row r="38" spans="1:10">
      <c r="A38" s="278">
        <f t="shared" si="0"/>
        <v>26</v>
      </c>
      <c r="B38" s="104"/>
      <c r="C38" s="245"/>
      <c r="D38" s="383">
        <f>SUM(D37)</f>
        <v>0</v>
      </c>
      <c r="E38" s="383"/>
    </row>
    <row r="39" spans="1:10">
      <c r="A39" s="278">
        <f t="shared" si="0"/>
        <v>27</v>
      </c>
      <c r="B39" s="104"/>
      <c r="C39" s="369" t="s">
        <v>1044</v>
      </c>
      <c r="D39" s="266"/>
      <c r="E39" s="266"/>
    </row>
    <row r="40" spans="1:10">
      <c r="A40" s="278">
        <f t="shared" si="0"/>
        <v>28</v>
      </c>
      <c r="B40" s="709">
        <v>8140</v>
      </c>
      <c r="C40" s="366" t="s">
        <v>687</v>
      </c>
      <c r="D40" s="657">
        <f>'C.2.2-F 09'!P46</f>
        <v>-73.411813745234497</v>
      </c>
      <c r="E40" s="657"/>
      <c r="J40" s="931"/>
    </row>
    <row r="41" spans="1:10">
      <c r="A41" s="278">
        <f t="shared" si="0"/>
        <v>29</v>
      </c>
      <c r="B41" s="709">
        <v>8150</v>
      </c>
      <c r="C41" s="366" t="s">
        <v>302</v>
      </c>
      <c r="D41" s="475">
        <v>0</v>
      </c>
      <c r="E41" s="265"/>
    </row>
    <row r="42" spans="1:10">
      <c r="A42" s="278">
        <f t="shared" si="0"/>
        <v>30</v>
      </c>
      <c r="B42" s="709">
        <v>8160</v>
      </c>
      <c r="C42" s="366" t="s">
        <v>522</v>
      </c>
      <c r="D42" s="475">
        <f>'C.2.2-F 09'!P47</f>
        <v>92006.908220302023</v>
      </c>
      <c r="E42" s="265"/>
      <c r="J42" s="931"/>
    </row>
    <row r="43" spans="1:10">
      <c r="A43" s="278">
        <f t="shared" si="0"/>
        <v>31</v>
      </c>
      <c r="B43" s="709">
        <v>8170</v>
      </c>
      <c r="C43" s="366" t="s">
        <v>523</v>
      </c>
      <c r="D43" s="475">
        <f>'C.2.2-F 09'!P48</f>
        <v>36434.826208633858</v>
      </c>
      <c r="E43" s="265"/>
      <c r="J43" s="931"/>
    </row>
    <row r="44" spans="1:10">
      <c r="A44" s="278">
        <f t="shared" si="0"/>
        <v>32</v>
      </c>
      <c r="B44" s="709">
        <v>8180</v>
      </c>
      <c r="C44" s="366" t="s">
        <v>149</v>
      </c>
      <c r="D44" s="475">
        <f>'C.2.2-F 09'!P49</f>
        <v>26327.414943322936</v>
      </c>
      <c r="E44" s="265"/>
      <c r="J44" s="931"/>
    </row>
    <row r="45" spans="1:10">
      <c r="A45" s="278">
        <f t="shared" si="0"/>
        <v>33</v>
      </c>
      <c r="B45" s="710">
        <v>8190</v>
      </c>
      <c r="C45" s="320" t="s">
        <v>150</v>
      </c>
      <c r="D45" s="475">
        <f>'C.2.2-F 09'!P50</f>
        <v>696.66560730043182</v>
      </c>
      <c r="E45" s="265"/>
      <c r="J45" s="931"/>
    </row>
    <row r="46" spans="1:10">
      <c r="A46" s="278">
        <f t="shared" si="0"/>
        <v>34</v>
      </c>
      <c r="B46" s="710">
        <v>8200</v>
      </c>
      <c r="C46" s="320" t="s">
        <v>490</v>
      </c>
      <c r="D46" s="475">
        <f>'C.2.2-F 09'!P51</f>
        <v>2739.864372868532</v>
      </c>
      <c r="E46" s="265"/>
      <c r="J46" s="931"/>
    </row>
    <row r="47" spans="1:10">
      <c r="A47" s="278">
        <f t="shared" si="0"/>
        <v>35</v>
      </c>
      <c r="B47" s="710">
        <v>8210</v>
      </c>
      <c r="C47" s="320" t="s">
        <v>491</v>
      </c>
      <c r="D47" s="475">
        <f>'C.2.2-F 09'!P52</f>
        <v>46479.654188193097</v>
      </c>
      <c r="E47" s="265"/>
      <c r="J47" s="931"/>
    </row>
    <row r="48" spans="1:10">
      <c r="A48" s="278">
        <f t="shared" si="0"/>
        <v>36</v>
      </c>
      <c r="B48" s="710">
        <v>8240</v>
      </c>
      <c r="C48" s="320" t="s">
        <v>600</v>
      </c>
      <c r="D48" s="475">
        <f>'C.2.2-F 09'!P53</f>
        <v>1278.0995125652898</v>
      </c>
      <c r="E48" s="265"/>
      <c r="J48" s="931"/>
    </row>
    <row r="49" spans="1:10">
      <c r="A49" s="278">
        <f t="shared" si="0"/>
        <v>37</v>
      </c>
      <c r="B49" s="710">
        <v>8250</v>
      </c>
      <c r="C49" s="320" t="s">
        <v>653</v>
      </c>
      <c r="D49" s="475">
        <f>'C.2.2-F 09'!P54</f>
        <v>7367.963346891197</v>
      </c>
      <c r="E49" s="265"/>
      <c r="J49" s="931"/>
    </row>
    <row r="50" spans="1:10">
      <c r="A50" s="278">
        <f t="shared" si="0"/>
        <v>38</v>
      </c>
      <c r="B50" s="104"/>
      <c r="C50" s="336" t="s">
        <v>1045</v>
      </c>
      <c r="D50" s="891">
        <f>SUM(D40:D49)</f>
        <v>213257.98458633214</v>
      </c>
      <c r="E50" s="383"/>
      <c r="F50" s="768"/>
      <c r="G50" s="957"/>
    </row>
    <row r="51" spans="1:10">
      <c r="A51" s="278">
        <f t="shared" si="0"/>
        <v>39</v>
      </c>
      <c r="B51" s="104"/>
      <c r="C51" s="245"/>
      <c r="D51" s="298"/>
      <c r="E51" s="298"/>
    </row>
    <row r="52" spans="1:10">
      <c r="A52" s="278">
        <f t="shared" si="0"/>
        <v>40</v>
      </c>
      <c r="B52" s="104"/>
      <c r="C52" s="369" t="s">
        <v>1031</v>
      </c>
      <c r="D52" s="298"/>
      <c r="E52" s="298"/>
    </row>
    <row r="53" spans="1:10">
      <c r="A53" s="278">
        <f t="shared" si="0"/>
        <v>41</v>
      </c>
      <c r="B53" s="710">
        <v>8310</v>
      </c>
      <c r="C53" s="320" t="s">
        <v>654</v>
      </c>
      <c r="D53" s="657">
        <f>'C.2.2-F 09'!P55</f>
        <v>3834.223441099195</v>
      </c>
      <c r="E53" s="657"/>
      <c r="J53" s="931"/>
    </row>
    <row r="54" spans="1:10">
      <c r="A54" s="278">
        <f t="shared" si="0"/>
        <v>42</v>
      </c>
      <c r="B54" s="710">
        <v>8320</v>
      </c>
      <c r="C54" s="320" t="s">
        <v>655</v>
      </c>
      <c r="D54" s="475">
        <v>0</v>
      </c>
      <c r="E54" s="265"/>
    </row>
    <row r="55" spans="1:10">
      <c r="A55" s="278">
        <f t="shared" si="0"/>
        <v>43</v>
      </c>
      <c r="B55" s="710">
        <v>8340</v>
      </c>
      <c r="C55" s="320" t="s">
        <v>656</v>
      </c>
      <c r="D55" s="475">
        <f>'C.2.2-F 09'!P56</f>
        <v>3106.0895408107194</v>
      </c>
      <c r="E55" s="265"/>
      <c r="J55" s="931"/>
    </row>
    <row r="56" spans="1:10">
      <c r="A56" s="278">
        <f t="shared" si="0"/>
        <v>44</v>
      </c>
      <c r="B56" s="710">
        <v>8350</v>
      </c>
      <c r="C56" s="320" t="s">
        <v>657</v>
      </c>
      <c r="D56" s="475">
        <f>'C.2.2-F 09'!P57</f>
        <v>2423.8288034980792</v>
      </c>
      <c r="E56" s="265"/>
      <c r="J56" s="931"/>
    </row>
    <row r="57" spans="1:10">
      <c r="A57" s="278">
        <f t="shared" si="0"/>
        <v>45</v>
      </c>
      <c r="B57" s="710">
        <v>8360</v>
      </c>
      <c r="C57" s="320" t="s">
        <v>1060</v>
      </c>
      <c r="D57" s="475">
        <f>'C.2.2-F 09'!P58</f>
        <v>247.85940069986549</v>
      </c>
      <c r="E57" s="265"/>
      <c r="J57" s="931"/>
    </row>
    <row r="58" spans="1:10">
      <c r="A58" s="278">
        <f t="shared" si="0"/>
        <v>46</v>
      </c>
      <c r="B58" s="710">
        <v>8370</v>
      </c>
      <c r="C58" s="320" t="s">
        <v>1386</v>
      </c>
      <c r="D58" s="475">
        <f>'C.2.2-F 09'!P59</f>
        <v>0</v>
      </c>
      <c r="E58" s="265"/>
      <c r="J58" s="931"/>
    </row>
    <row r="59" spans="1:10">
      <c r="A59" s="278">
        <f t="shared" si="0"/>
        <v>47</v>
      </c>
      <c r="B59" s="711" t="s">
        <v>460</v>
      </c>
      <c r="C59" s="320" t="s">
        <v>461</v>
      </c>
      <c r="D59" s="475">
        <f>'C.2.2-F 09'!P60</f>
        <v>129336.15020381426</v>
      </c>
      <c r="E59" s="265"/>
    </row>
    <row r="60" spans="1:10">
      <c r="A60" s="278">
        <f t="shared" si="0"/>
        <v>48</v>
      </c>
      <c r="B60" s="104"/>
      <c r="C60" s="336" t="s">
        <v>1046</v>
      </c>
      <c r="D60" s="891">
        <f>SUM(D53:D59)</f>
        <v>138948.15138992213</v>
      </c>
      <c r="E60" s="657"/>
      <c r="F60" s="768"/>
      <c r="G60" s="957"/>
    </row>
    <row r="61" spans="1:10">
      <c r="A61" s="278">
        <f t="shared" si="0"/>
        <v>49</v>
      </c>
      <c r="B61" s="104"/>
      <c r="C61" s="245"/>
      <c r="D61" s="298"/>
      <c r="E61" s="298"/>
    </row>
    <row r="62" spans="1:10">
      <c r="A62" s="278">
        <f t="shared" si="0"/>
        <v>50</v>
      </c>
      <c r="B62" s="104"/>
      <c r="C62" s="369" t="s">
        <v>1047</v>
      </c>
      <c r="D62" s="298"/>
      <c r="E62" s="298"/>
    </row>
    <row r="63" spans="1:10">
      <c r="A63" s="278">
        <f t="shared" si="0"/>
        <v>51</v>
      </c>
      <c r="B63" s="710">
        <v>8500</v>
      </c>
      <c r="C63" s="320" t="s">
        <v>687</v>
      </c>
      <c r="D63" s="657">
        <v>0</v>
      </c>
      <c r="E63" s="657"/>
      <c r="J63" s="931"/>
    </row>
    <row r="64" spans="1:10">
      <c r="A64" s="278">
        <f t="shared" si="0"/>
        <v>52</v>
      </c>
      <c r="B64" s="710">
        <v>8520</v>
      </c>
      <c r="C64" s="363" t="s">
        <v>1387</v>
      </c>
      <c r="D64" s="475">
        <f>'C.2.2-F 09'!P61</f>
        <v>0</v>
      </c>
      <c r="E64" s="657"/>
      <c r="J64" s="931"/>
    </row>
    <row r="65" spans="1:10">
      <c r="A65" s="278">
        <f t="shared" si="0"/>
        <v>53</v>
      </c>
      <c r="B65" s="710">
        <v>8550</v>
      </c>
      <c r="C65" s="363" t="s">
        <v>1465</v>
      </c>
      <c r="D65" s="475">
        <f>'C.2.2-F 09'!P62</f>
        <v>50.244184785773342</v>
      </c>
      <c r="E65" s="657"/>
      <c r="J65" s="931"/>
    </row>
    <row r="66" spans="1:10">
      <c r="A66" s="278">
        <f t="shared" si="0"/>
        <v>54</v>
      </c>
      <c r="B66" s="710">
        <v>8560</v>
      </c>
      <c r="C66" s="320" t="s">
        <v>658</v>
      </c>
      <c r="D66" s="475">
        <f>'C.2.2-F 09'!P63</f>
        <v>307841.17609223054</v>
      </c>
      <c r="E66" s="265"/>
      <c r="J66" s="931"/>
    </row>
    <row r="67" spans="1:10">
      <c r="A67" s="278">
        <f t="shared" si="0"/>
        <v>55</v>
      </c>
      <c r="B67" s="710">
        <v>8570</v>
      </c>
      <c r="C67" s="320" t="s">
        <v>659</v>
      </c>
      <c r="D67" s="475">
        <f>'C.2.2-F 09'!P64</f>
        <v>33551.585374407099</v>
      </c>
      <c r="E67" s="265"/>
      <c r="J67" s="931"/>
    </row>
    <row r="68" spans="1:10">
      <c r="A68" s="278">
        <f t="shared" si="0"/>
        <v>56</v>
      </c>
      <c r="B68" s="710">
        <v>8590</v>
      </c>
      <c r="C68" s="320" t="s">
        <v>662</v>
      </c>
      <c r="D68" s="265">
        <v>0</v>
      </c>
      <c r="E68" s="265"/>
    </row>
    <row r="69" spans="1:10">
      <c r="A69" s="278">
        <f t="shared" si="0"/>
        <v>57</v>
      </c>
      <c r="B69" s="710">
        <v>8600</v>
      </c>
      <c r="C69" s="320" t="s">
        <v>786</v>
      </c>
      <c r="D69" s="306">
        <v>0</v>
      </c>
      <c r="E69" s="265"/>
    </row>
    <row r="70" spans="1:10">
      <c r="A70" s="278">
        <f t="shared" si="0"/>
        <v>58</v>
      </c>
      <c r="B70" s="104"/>
      <c r="C70" s="336" t="s">
        <v>1023</v>
      </c>
      <c r="D70" s="383">
        <f>SUM(D63:D69)</f>
        <v>341443.00565142342</v>
      </c>
      <c r="E70" s="383"/>
      <c r="F70" s="768"/>
      <c r="G70" s="957"/>
    </row>
    <row r="71" spans="1:10">
      <c r="A71" s="278">
        <f t="shared" si="0"/>
        <v>59</v>
      </c>
      <c r="B71" s="104"/>
      <c r="C71" s="245"/>
      <c r="D71" s="298"/>
      <c r="E71" s="298"/>
    </row>
    <row r="72" spans="1:10">
      <c r="A72" s="278">
        <f t="shared" si="0"/>
        <v>60</v>
      </c>
      <c r="B72" s="104"/>
      <c r="C72" s="369" t="s">
        <v>1024</v>
      </c>
      <c r="D72" s="298"/>
      <c r="E72" s="298"/>
    </row>
    <row r="73" spans="1:10">
      <c r="A73" s="278">
        <f t="shared" si="0"/>
        <v>61</v>
      </c>
      <c r="B73" s="710">
        <v>8620</v>
      </c>
      <c r="C73" s="320" t="s">
        <v>988</v>
      </c>
      <c r="D73" s="657">
        <v>0</v>
      </c>
      <c r="E73" s="657"/>
    </row>
    <row r="74" spans="1:10">
      <c r="A74" s="278">
        <f t="shared" si="0"/>
        <v>62</v>
      </c>
      <c r="B74" s="710">
        <v>8630</v>
      </c>
      <c r="C74" s="320" t="s">
        <v>521</v>
      </c>
      <c r="D74" s="475">
        <f>'C.2.2-F 09'!P65</f>
        <v>5909.9643315109106</v>
      </c>
      <c r="E74" s="265"/>
      <c r="J74" s="931"/>
    </row>
    <row r="75" spans="1:10">
      <c r="A75" s="278">
        <f t="shared" si="0"/>
        <v>63</v>
      </c>
      <c r="B75" s="710">
        <v>8640</v>
      </c>
      <c r="C75" s="320" t="s">
        <v>607</v>
      </c>
      <c r="D75" s="475">
        <f>'C.2.2-F 09'!P66</f>
        <v>0</v>
      </c>
      <c r="E75" s="265"/>
    </row>
    <row r="76" spans="1:10">
      <c r="A76" s="278">
        <f t="shared" si="0"/>
        <v>64</v>
      </c>
      <c r="B76" s="710">
        <v>8650</v>
      </c>
      <c r="C76" s="320" t="s">
        <v>660</v>
      </c>
      <c r="D76" s="475">
        <f>'C.2.2-F 09'!P67</f>
        <v>5801.7154221800774</v>
      </c>
      <c r="E76" s="265"/>
      <c r="J76" s="931"/>
    </row>
    <row r="77" spans="1:10">
      <c r="A77" s="278">
        <f t="shared" si="0"/>
        <v>65</v>
      </c>
      <c r="B77" s="710">
        <v>8670</v>
      </c>
      <c r="C77" s="320" t="s">
        <v>661</v>
      </c>
      <c r="D77" s="475">
        <v>0</v>
      </c>
      <c r="E77" s="265"/>
      <c r="J77" s="931"/>
    </row>
    <row r="78" spans="1:10">
      <c r="A78" s="278">
        <f t="shared" si="0"/>
        <v>66</v>
      </c>
      <c r="B78" s="104"/>
      <c r="C78" s="336" t="s">
        <v>1025</v>
      </c>
      <c r="D78" s="891">
        <f>SUM(D73:D77)</f>
        <v>11711.679753690987</v>
      </c>
      <c r="E78" s="383"/>
      <c r="F78" s="768"/>
      <c r="G78" s="957"/>
    </row>
    <row r="79" spans="1:10">
      <c r="A79" s="278">
        <f t="shared" si="0"/>
        <v>67</v>
      </c>
      <c r="B79" s="104"/>
      <c r="C79" s="245"/>
      <c r="D79" s="298"/>
      <c r="E79" s="298"/>
    </row>
    <row r="80" spans="1:10">
      <c r="A80" s="278">
        <f t="shared" si="0"/>
        <v>68</v>
      </c>
      <c r="B80" s="104"/>
      <c r="C80" s="369" t="s">
        <v>336</v>
      </c>
      <c r="D80" s="334"/>
      <c r="E80" s="334"/>
    </row>
    <row r="81" spans="1:6">
      <c r="A81" s="278">
        <f t="shared" si="0"/>
        <v>69</v>
      </c>
      <c r="B81" s="700">
        <v>8001</v>
      </c>
      <c r="C81" s="356" t="s">
        <v>885</v>
      </c>
      <c r="D81" s="657">
        <f>'C.2.2-F 09'!P31</f>
        <v>1309084.3388093805</v>
      </c>
      <c r="E81" s="657"/>
    </row>
    <row r="82" spans="1:6">
      <c r="A82" s="278">
        <f t="shared" ref="A82:A145" si="1">A81+1</f>
        <v>70</v>
      </c>
      <c r="B82" s="700">
        <v>8010</v>
      </c>
      <c r="C82" s="119" t="s">
        <v>1233</v>
      </c>
      <c r="D82" s="265">
        <f>'C.2.2-F 09'!P32</f>
        <v>81989.854458805363</v>
      </c>
      <c r="E82" s="657"/>
    </row>
    <row r="83" spans="1:6">
      <c r="A83" s="278">
        <f t="shared" si="1"/>
        <v>71</v>
      </c>
      <c r="B83" s="707">
        <v>8040</v>
      </c>
      <c r="C83" s="277" t="s">
        <v>311</v>
      </c>
      <c r="D83" s="265">
        <f>'C.2.2-F 09'!P33</f>
        <v>54630685.565620363</v>
      </c>
      <c r="E83" s="265"/>
      <c r="F83" s="265"/>
    </row>
    <row r="84" spans="1:6">
      <c r="A84" s="278">
        <f t="shared" si="1"/>
        <v>72</v>
      </c>
      <c r="B84" s="707">
        <v>8045</v>
      </c>
      <c r="C84" s="277" t="s">
        <v>1158</v>
      </c>
      <c r="D84" s="265">
        <v>0</v>
      </c>
      <c r="E84" s="265"/>
      <c r="F84" s="265"/>
    </row>
    <row r="85" spans="1:6">
      <c r="A85" s="278">
        <f t="shared" si="1"/>
        <v>73</v>
      </c>
      <c r="B85" s="700">
        <v>8050</v>
      </c>
      <c r="C85" s="356" t="s">
        <v>927</v>
      </c>
      <c r="D85" s="265">
        <f>'C.2.2-F 09'!P34</f>
        <v>16638.113422500668</v>
      </c>
      <c r="E85" s="265"/>
      <c r="F85" s="265"/>
    </row>
    <row r="86" spans="1:6">
      <c r="A86" s="278">
        <f t="shared" si="1"/>
        <v>74</v>
      </c>
      <c r="B86" s="707">
        <v>8051</v>
      </c>
      <c r="C86" s="277" t="s">
        <v>828</v>
      </c>
      <c r="D86" s="265">
        <f>'C.2.2-F 09'!P35</f>
        <v>50026638.460275397</v>
      </c>
      <c r="E86" s="265"/>
      <c r="F86" s="265"/>
    </row>
    <row r="87" spans="1:6">
      <c r="A87" s="278">
        <f t="shared" si="1"/>
        <v>75</v>
      </c>
      <c r="B87" s="707">
        <v>8052</v>
      </c>
      <c r="C87" s="277" t="s">
        <v>435</v>
      </c>
      <c r="D87" s="265">
        <f>'C.2.2-F 09'!P36</f>
        <v>24814110.4430135</v>
      </c>
      <c r="E87" s="265"/>
      <c r="F87" s="265"/>
    </row>
    <row r="88" spans="1:6">
      <c r="A88" s="278">
        <f t="shared" si="1"/>
        <v>76</v>
      </c>
      <c r="B88" s="707">
        <v>8053</v>
      </c>
      <c r="C88" s="277" t="s">
        <v>852</v>
      </c>
      <c r="D88" s="265">
        <f>'C.2.2-F 09'!P37</f>
        <v>4715343.3058455419</v>
      </c>
      <c r="E88" s="265"/>
      <c r="F88" s="265"/>
    </row>
    <row r="89" spans="1:6">
      <c r="A89" s="278">
        <f t="shared" si="1"/>
        <v>77</v>
      </c>
      <c r="B89" s="707">
        <v>8054</v>
      </c>
      <c r="C89" s="277" t="s">
        <v>853</v>
      </c>
      <c r="D89" s="265">
        <f>'C.2.2-F 09'!P38</f>
        <v>5349099.1036434416</v>
      </c>
      <c r="E89" s="265"/>
      <c r="F89" s="265"/>
    </row>
    <row r="90" spans="1:6">
      <c r="A90" s="278">
        <f t="shared" si="1"/>
        <v>78</v>
      </c>
      <c r="B90" s="707">
        <v>8057</v>
      </c>
      <c r="C90" s="277" t="s">
        <v>286</v>
      </c>
      <c r="D90" s="265">
        <v>0</v>
      </c>
      <c r="E90" s="265"/>
      <c r="F90" s="265"/>
    </row>
    <row r="91" spans="1:6">
      <c r="A91" s="278">
        <f t="shared" si="1"/>
        <v>79</v>
      </c>
      <c r="B91" s="707">
        <v>8058</v>
      </c>
      <c r="C91" s="277" t="s">
        <v>287</v>
      </c>
      <c r="D91" s="265">
        <f>'C.2.2-F 09'!P39</f>
        <v>-5516158.570744819</v>
      </c>
      <c r="E91" s="265"/>
      <c r="F91" s="265"/>
    </row>
    <row r="92" spans="1:6">
      <c r="A92" s="278">
        <f t="shared" si="1"/>
        <v>80</v>
      </c>
      <c r="B92" s="707">
        <v>8059</v>
      </c>
      <c r="C92" s="277" t="s">
        <v>288</v>
      </c>
      <c r="D92" s="265">
        <f>'C.2.2-F 09'!P40</f>
        <v>-80142158.203396305</v>
      </c>
      <c r="E92" s="265"/>
      <c r="F92" s="265"/>
    </row>
    <row r="93" spans="1:6">
      <c r="A93" s="278">
        <f t="shared" si="1"/>
        <v>81</v>
      </c>
      <c r="B93" s="707">
        <v>8060</v>
      </c>
      <c r="C93" s="277" t="s">
        <v>1026</v>
      </c>
      <c r="D93" s="265">
        <f>'C.2.2-F 09'!P41</f>
        <v>-1334672.4285446138</v>
      </c>
      <c r="E93" s="265"/>
      <c r="F93" s="265"/>
    </row>
    <row r="94" spans="1:6">
      <c r="A94" s="278">
        <f t="shared" si="1"/>
        <v>82</v>
      </c>
      <c r="B94" s="707">
        <v>8081</v>
      </c>
      <c r="C94" s="277" t="s">
        <v>289</v>
      </c>
      <c r="D94" s="265">
        <f>'C.2.2-F 09'!P42</f>
        <v>20002882.697330352</v>
      </c>
      <c r="E94" s="265"/>
      <c r="F94" s="265"/>
    </row>
    <row r="95" spans="1:6">
      <c r="A95" s="278">
        <f t="shared" si="1"/>
        <v>83</v>
      </c>
      <c r="B95" s="707">
        <v>8082</v>
      </c>
      <c r="C95" s="277" t="s">
        <v>72</v>
      </c>
      <c r="D95" s="265">
        <f>'C.2.2-F 09'!P43</f>
        <v>-16514585.049590139</v>
      </c>
      <c r="E95" s="265"/>
      <c r="F95" s="265"/>
    </row>
    <row r="96" spans="1:6">
      <c r="A96" s="278">
        <f t="shared" si="1"/>
        <v>84</v>
      </c>
      <c r="B96" s="700">
        <v>8110</v>
      </c>
      <c r="C96" s="351" t="s">
        <v>1234</v>
      </c>
      <c r="D96" s="265">
        <v>0</v>
      </c>
      <c r="E96" s="265"/>
      <c r="F96" s="265"/>
    </row>
    <row r="97" spans="1:10">
      <c r="A97" s="278">
        <f t="shared" si="1"/>
        <v>85</v>
      </c>
      <c r="B97" s="707">
        <v>8120</v>
      </c>
      <c r="C97" s="277" t="s">
        <v>1042</v>
      </c>
      <c r="D97" s="265">
        <f>'C.2.2-F 09'!P44</f>
        <v>-10856.051578414428</v>
      </c>
      <c r="E97" s="265"/>
      <c r="F97" s="265"/>
    </row>
    <row r="98" spans="1:10">
      <c r="A98" s="278">
        <f t="shared" si="1"/>
        <v>86</v>
      </c>
      <c r="B98" s="707">
        <v>8130</v>
      </c>
      <c r="C98" s="277" t="s">
        <v>74</v>
      </c>
      <c r="D98" s="265">
        <v>0</v>
      </c>
      <c r="E98" s="265"/>
      <c r="F98" s="265"/>
    </row>
    <row r="99" spans="1:10">
      <c r="A99" s="278">
        <f t="shared" si="1"/>
        <v>87</v>
      </c>
      <c r="B99" s="700">
        <v>8580</v>
      </c>
      <c r="C99" s="351" t="s">
        <v>1232</v>
      </c>
      <c r="D99" s="265">
        <f>'C.2.2-F 09'!P45</f>
        <v>21950135.111889657</v>
      </c>
      <c r="E99" s="265"/>
    </row>
    <row r="100" spans="1:10">
      <c r="A100" s="278">
        <f t="shared" si="1"/>
        <v>88</v>
      </c>
      <c r="B100" s="104"/>
      <c r="C100" s="890" t="s">
        <v>1043</v>
      </c>
      <c r="D100" s="891">
        <f>SUM(D81:D99)</f>
        <v>79378176.690454662</v>
      </c>
      <c r="E100" s="383"/>
      <c r="F100" s="768"/>
      <c r="G100" s="957"/>
    </row>
    <row r="101" spans="1:10">
      <c r="A101" s="278">
        <f t="shared" si="1"/>
        <v>89</v>
      </c>
      <c r="B101" s="104"/>
      <c r="D101" s="266"/>
      <c r="E101" s="266"/>
    </row>
    <row r="102" spans="1:10">
      <c r="A102" s="278">
        <f t="shared" si="1"/>
        <v>90</v>
      </c>
      <c r="B102" s="104"/>
      <c r="C102" s="369" t="s">
        <v>1070</v>
      </c>
      <c r="D102" s="266"/>
      <c r="E102" s="266"/>
    </row>
    <row r="103" spans="1:10">
      <c r="A103" s="278">
        <f t="shared" si="1"/>
        <v>91</v>
      </c>
      <c r="B103" s="707">
        <v>8700</v>
      </c>
      <c r="C103" s="366" t="s">
        <v>663</v>
      </c>
      <c r="D103" s="657">
        <f>'C.2.2-F 09'!P68</f>
        <v>1066339.993609379</v>
      </c>
      <c r="E103" s="657"/>
      <c r="J103" s="931"/>
    </row>
    <row r="104" spans="1:10">
      <c r="A104" s="278">
        <f t="shared" si="1"/>
        <v>92</v>
      </c>
      <c r="B104" s="707">
        <v>8710</v>
      </c>
      <c r="C104" s="366" t="s">
        <v>664</v>
      </c>
      <c r="D104" s="265">
        <f>'C.2.2-F 09'!P69</f>
        <v>1775.3449244682231</v>
      </c>
      <c r="E104" s="265"/>
      <c r="J104" s="931"/>
    </row>
    <row r="105" spans="1:10">
      <c r="A105" s="278">
        <f t="shared" si="1"/>
        <v>93</v>
      </c>
      <c r="B105" s="707">
        <v>8711</v>
      </c>
      <c r="C105" s="277" t="s">
        <v>354</v>
      </c>
      <c r="D105" s="265">
        <f>'C.2.2-F 09'!P70</f>
        <v>9754.2475563403532</v>
      </c>
      <c r="E105" s="265"/>
      <c r="J105" s="931"/>
    </row>
    <row r="106" spans="1:10">
      <c r="A106" s="278">
        <f t="shared" si="1"/>
        <v>94</v>
      </c>
      <c r="B106" s="707">
        <v>8720</v>
      </c>
      <c r="C106" s="366" t="s">
        <v>980</v>
      </c>
      <c r="D106" s="265">
        <f>'C.2.2-F 09'!P71</f>
        <v>0</v>
      </c>
      <c r="E106" s="265"/>
    </row>
    <row r="107" spans="1:10">
      <c r="A107" s="278">
        <f t="shared" si="1"/>
        <v>95</v>
      </c>
      <c r="B107" s="707">
        <v>8740</v>
      </c>
      <c r="C107" s="366" t="s">
        <v>981</v>
      </c>
      <c r="D107" s="265">
        <f>'C.2.2-F 09'!P72</f>
        <v>3653349.5677708811</v>
      </c>
      <c r="E107" s="265"/>
      <c r="J107" s="931"/>
    </row>
    <row r="108" spans="1:10">
      <c r="A108" s="278">
        <f t="shared" si="1"/>
        <v>96</v>
      </c>
      <c r="B108" s="707">
        <v>8750</v>
      </c>
      <c r="C108" s="366" t="s">
        <v>985</v>
      </c>
      <c r="D108" s="265">
        <f>'C.2.2-F 09'!P73</f>
        <v>393588.37119690882</v>
      </c>
      <c r="E108" s="265"/>
      <c r="J108" s="931"/>
    </row>
    <row r="109" spans="1:10">
      <c r="A109" s="278">
        <f t="shared" si="1"/>
        <v>97</v>
      </c>
      <c r="B109" s="707">
        <v>8760</v>
      </c>
      <c r="C109" s="366" t="s">
        <v>986</v>
      </c>
      <c r="D109" s="265">
        <f>'C.2.2-F 09'!P74</f>
        <v>32536.462809747987</v>
      </c>
      <c r="E109" s="265"/>
      <c r="J109" s="931"/>
    </row>
    <row r="110" spans="1:10">
      <c r="A110" s="278">
        <f t="shared" si="1"/>
        <v>98</v>
      </c>
      <c r="B110" s="707">
        <v>8770</v>
      </c>
      <c r="C110" s="366" t="s">
        <v>987</v>
      </c>
      <c r="D110" s="265">
        <f>'C.2.2-F 09'!P75</f>
        <v>114995.55931441962</v>
      </c>
      <c r="E110" s="265"/>
      <c r="J110" s="931"/>
    </row>
    <row r="111" spans="1:10">
      <c r="A111" s="278">
        <f t="shared" si="1"/>
        <v>99</v>
      </c>
      <c r="B111" s="707">
        <v>8780</v>
      </c>
      <c r="C111" s="366" t="s">
        <v>982</v>
      </c>
      <c r="D111" s="265">
        <f>'C.2.2-F 09'!P76</f>
        <v>884899.99392058305</v>
      </c>
      <c r="E111" s="265"/>
      <c r="J111" s="931"/>
    </row>
    <row r="112" spans="1:10">
      <c r="A112" s="278">
        <f t="shared" si="1"/>
        <v>100</v>
      </c>
      <c r="B112" s="707">
        <v>8790</v>
      </c>
      <c r="C112" s="366" t="s">
        <v>983</v>
      </c>
      <c r="D112" s="265">
        <f>'C.2.2-F 09'!P77</f>
        <v>688.93579609909511</v>
      </c>
      <c r="E112" s="265"/>
      <c r="J112" s="931"/>
    </row>
    <row r="113" spans="1:10">
      <c r="A113" s="278">
        <f t="shared" si="1"/>
        <v>101</v>
      </c>
      <c r="B113" s="707">
        <v>8800</v>
      </c>
      <c r="C113" s="366" t="s">
        <v>984</v>
      </c>
      <c r="D113" s="265">
        <f>'C.2.2-F 09'!P78</f>
        <v>207678.38801365125</v>
      </c>
      <c r="E113" s="265"/>
      <c r="J113" s="931"/>
    </row>
    <row r="114" spans="1:10">
      <c r="A114" s="278">
        <f t="shared" si="1"/>
        <v>102</v>
      </c>
      <c r="B114" s="707">
        <v>8810</v>
      </c>
      <c r="C114" s="366" t="s">
        <v>786</v>
      </c>
      <c r="D114" s="265">
        <f>'C.2.2-F 09'!P79</f>
        <v>404666.9380969255</v>
      </c>
      <c r="E114" s="265"/>
      <c r="J114" s="931"/>
    </row>
    <row r="115" spans="1:10">
      <c r="A115" s="278">
        <f t="shared" si="1"/>
        <v>103</v>
      </c>
      <c r="B115" s="104"/>
      <c r="C115" s="336" t="s">
        <v>675</v>
      </c>
      <c r="D115" s="891">
        <f>SUM(D103:D114)</f>
        <v>6770273.8030094048</v>
      </c>
      <c r="E115" s="383"/>
      <c r="F115" s="768"/>
      <c r="G115" s="957"/>
    </row>
    <row r="116" spans="1:10">
      <c r="A116" s="278">
        <f t="shared" si="1"/>
        <v>104</v>
      </c>
      <c r="B116" s="104"/>
      <c r="D116" s="266"/>
      <c r="E116" s="266"/>
    </row>
    <row r="117" spans="1:10">
      <c r="A117" s="278">
        <f t="shared" si="1"/>
        <v>105</v>
      </c>
      <c r="B117" s="278"/>
      <c r="C117" s="369" t="s">
        <v>676</v>
      </c>
      <c r="D117" s="334"/>
      <c r="E117" s="334"/>
    </row>
    <row r="118" spans="1:10">
      <c r="A118" s="278">
        <f t="shared" si="1"/>
        <v>106</v>
      </c>
      <c r="B118" s="707">
        <v>8850</v>
      </c>
      <c r="C118" s="366" t="s">
        <v>663</v>
      </c>
      <c r="D118" s="657">
        <f>'C.2.2-F 09'!P80</f>
        <v>2199.7257032294769</v>
      </c>
      <c r="E118" s="657"/>
      <c r="H118" s="931"/>
      <c r="J118" s="931"/>
    </row>
    <row r="119" spans="1:10">
      <c r="A119" s="278">
        <f t="shared" si="1"/>
        <v>107</v>
      </c>
      <c r="B119" s="707">
        <v>8860</v>
      </c>
      <c r="C119" s="366" t="s">
        <v>988</v>
      </c>
      <c r="D119" s="265">
        <f>'C.2.2-F 09'!P81</f>
        <v>21233.988737328007</v>
      </c>
      <c r="E119" s="265"/>
      <c r="H119" s="931"/>
      <c r="J119" s="931"/>
    </row>
    <row r="120" spans="1:10">
      <c r="A120" s="278">
        <f t="shared" si="1"/>
        <v>108</v>
      </c>
      <c r="B120" s="707">
        <v>8870</v>
      </c>
      <c r="C120" s="366" t="s">
        <v>521</v>
      </c>
      <c r="D120" s="265">
        <f>'C.2.2-F 09'!P82</f>
        <v>42537.548027511199</v>
      </c>
      <c r="E120" s="265"/>
      <c r="H120" s="931"/>
      <c r="J120" s="931"/>
    </row>
    <row r="121" spans="1:10">
      <c r="A121" s="278">
        <f t="shared" si="1"/>
        <v>109</v>
      </c>
      <c r="B121" s="707">
        <v>8890</v>
      </c>
      <c r="C121" s="366" t="s">
        <v>985</v>
      </c>
      <c r="D121" s="265">
        <f>'C.2.2-F 09'!P83</f>
        <v>6135.2406713397404</v>
      </c>
      <c r="E121" s="265"/>
      <c r="H121" s="931"/>
      <c r="J121" s="931"/>
    </row>
    <row r="122" spans="1:10">
      <c r="A122" s="278">
        <f t="shared" si="1"/>
        <v>110</v>
      </c>
      <c r="B122" s="707">
        <v>8900</v>
      </c>
      <c r="C122" s="366" t="s">
        <v>986</v>
      </c>
      <c r="D122" s="265">
        <f>'C.2.2-F 09'!P84</f>
        <v>9732.5747097342755</v>
      </c>
      <c r="E122" s="265"/>
      <c r="H122" s="931"/>
      <c r="J122" s="931"/>
    </row>
    <row r="123" spans="1:10">
      <c r="A123" s="278">
        <f t="shared" si="1"/>
        <v>111</v>
      </c>
      <c r="B123" s="707">
        <v>8910</v>
      </c>
      <c r="C123" s="366" t="s">
        <v>987</v>
      </c>
      <c r="D123" s="265">
        <f>'C.2.2-F 09'!P85</f>
        <v>23795.426438791441</v>
      </c>
      <c r="E123" s="265"/>
      <c r="H123" s="931"/>
      <c r="J123" s="931"/>
    </row>
    <row r="124" spans="1:10">
      <c r="A124" s="278">
        <f t="shared" si="1"/>
        <v>112</v>
      </c>
      <c r="B124" s="707">
        <v>8920</v>
      </c>
      <c r="C124" s="366" t="s">
        <v>1072</v>
      </c>
      <c r="D124" s="265">
        <f>'C.2.2-F 09'!P86</f>
        <v>3522.4239533994196</v>
      </c>
      <c r="E124" s="265"/>
      <c r="H124" s="931"/>
      <c r="J124" s="931"/>
    </row>
    <row r="125" spans="1:10">
      <c r="A125" s="278">
        <f t="shared" si="1"/>
        <v>113</v>
      </c>
      <c r="B125" s="707">
        <v>8930</v>
      </c>
      <c r="C125" s="366" t="s">
        <v>989</v>
      </c>
      <c r="D125" s="265">
        <f>'C.2.2-F 09'!P87</f>
        <v>105291.66026953013</v>
      </c>
      <c r="E125" s="265"/>
      <c r="H125" s="931"/>
      <c r="J125" s="931"/>
    </row>
    <row r="126" spans="1:10">
      <c r="A126" s="278">
        <f t="shared" si="1"/>
        <v>114</v>
      </c>
      <c r="B126" s="707">
        <v>8940</v>
      </c>
      <c r="C126" s="366" t="s">
        <v>661</v>
      </c>
      <c r="D126" s="265">
        <f>'C.2.2-F 09'!P88</f>
        <v>69008.521048641822</v>
      </c>
      <c r="E126" s="265"/>
      <c r="H126" s="931"/>
      <c r="J126" s="931"/>
    </row>
    <row r="127" spans="1:10">
      <c r="A127" s="278">
        <f t="shared" si="1"/>
        <v>115</v>
      </c>
      <c r="B127" s="712" t="s">
        <v>798</v>
      </c>
      <c r="C127" s="366" t="s">
        <v>301</v>
      </c>
      <c r="D127" s="306">
        <v>0</v>
      </c>
      <c r="E127" s="265"/>
      <c r="H127" s="931"/>
    </row>
    <row r="128" spans="1:10">
      <c r="A128" s="278">
        <f t="shared" si="1"/>
        <v>116</v>
      </c>
      <c r="B128" s="104"/>
      <c r="C128" s="336" t="s">
        <v>436</v>
      </c>
      <c r="D128" s="383">
        <f>SUM(D118:D127)</f>
        <v>283457.10955950548</v>
      </c>
      <c r="E128" s="383"/>
      <c r="F128" s="768"/>
      <c r="G128" s="957"/>
    </row>
    <row r="129" spans="1:10">
      <c r="A129" s="278">
        <f t="shared" si="1"/>
        <v>117</v>
      </c>
      <c r="B129" s="104"/>
      <c r="C129" s="336"/>
      <c r="D129" s="298"/>
      <c r="E129" s="298"/>
    </row>
    <row r="130" spans="1:10">
      <c r="A130" s="278">
        <f t="shared" si="1"/>
        <v>118</v>
      </c>
      <c r="B130" s="278"/>
      <c r="C130" s="369" t="s">
        <v>437</v>
      </c>
      <c r="D130" s="334"/>
      <c r="E130" s="334"/>
    </row>
    <row r="131" spans="1:10">
      <c r="A131" s="278">
        <f t="shared" si="1"/>
        <v>119</v>
      </c>
      <c r="B131" s="707">
        <v>9010</v>
      </c>
      <c r="C131" s="366" t="s">
        <v>493</v>
      </c>
      <c r="D131" s="657">
        <v>0</v>
      </c>
      <c r="E131" s="657"/>
      <c r="H131" s="931"/>
      <c r="J131" s="931"/>
    </row>
    <row r="132" spans="1:10">
      <c r="A132" s="278">
        <f t="shared" si="1"/>
        <v>120</v>
      </c>
      <c r="B132" s="707">
        <v>9020</v>
      </c>
      <c r="C132" s="366" t="s">
        <v>682</v>
      </c>
      <c r="D132" s="265">
        <f>'C.2.2-F 09'!P89</f>
        <v>1130015.49593935</v>
      </c>
      <c r="E132" s="265"/>
      <c r="H132" s="931"/>
      <c r="J132" s="931"/>
    </row>
    <row r="133" spans="1:10">
      <c r="A133" s="278">
        <f t="shared" si="1"/>
        <v>121</v>
      </c>
      <c r="B133" s="707">
        <v>9030</v>
      </c>
      <c r="C133" s="366" t="s">
        <v>990</v>
      </c>
      <c r="D133" s="265">
        <f>'C.2.2-F 09'!P90</f>
        <v>377023.73491864966</v>
      </c>
      <c r="E133" s="265"/>
      <c r="H133" s="931"/>
      <c r="J133" s="931"/>
    </row>
    <row r="134" spans="1:10">
      <c r="A134" s="278">
        <f t="shared" si="1"/>
        <v>122</v>
      </c>
      <c r="B134" s="707">
        <v>9040</v>
      </c>
      <c r="C134" s="366" t="s">
        <v>683</v>
      </c>
      <c r="D134" s="265">
        <f>'C.2.2-F 09'!P91</f>
        <v>313426.18041533593</v>
      </c>
      <c r="E134" s="265"/>
      <c r="H134" s="931"/>
      <c r="J134" s="931"/>
    </row>
    <row r="135" spans="1:10">
      <c r="A135" s="278">
        <f t="shared" si="1"/>
        <v>123</v>
      </c>
      <c r="B135" s="278"/>
      <c r="C135" s="336" t="s">
        <v>559</v>
      </c>
      <c r="D135" s="891">
        <f>SUM(D131:D134)</f>
        <v>1820465.4112733356</v>
      </c>
      <c r="E135" s="383"/>
      <c r="F135" s="768"/>
      <c r="G135" s="957"/>
      <c r="H135" s="931"/>
    </row>
    <row r="136" spans="1:10">
      <c r="A136" s="278">
        <f t="shared" si="1"/>
        <v>124</v>
      </c>
      <c r="B136" s="104"/>
      <c r="D136" s="266"/>
      <c r="E136" s="266"/>
    </row>
    <row r="137" spans="1:10">
      <c r="A137" s="278">
        <f t="shared" si="1"/>
        <v>125</v>
      </c>
      <c r="B137" s="104"/>
      <c r="C137" s="369" t="s">
        <v>560</v>
      </c>
      <c r="D137" s="266"/>
      <c r="E137" s="266"/>
    </row>
    <row r="138" spans="1:10">
      <c r="A138" s="278">
        <f t="shared" si="1"/>
        <v>126</v>
      </c>
      <c r="B138" s="707">
        <v>9070</v>
      </c>
      <c r="C138" s="366" t="s">
        <v>493</v>
      </c>
      <c r="D138" s="657">
        <v>0</v>
      </c>
      <c r="E138" s="657"/>
      <c r="H138" s="931"/>
      <c r="J138" s="931"/>
    </row>
    <row r="139" spans="1:10">
      <c r="A139" s="278">
        <f t="shared" si="1"/>
        <v>127</v>
      </c>
      <c r="B139" s="707">
        <v>9080</v>
      </c>
      <c r="C139" s="366" t="s">
        <v>681</v>
      </c>
      <c r="D139" s="265">
        <v>0</v>
      </c>
      <c r="E139" s="265"/>
      <c r="H139" s="931"/>
      <c r="J139" s="931"/>
    </row>
    <row r="140" spans="1:10">
      <c r="A140" s="278">
        <f t="shared" si="1"/>
        <v>128</v>
      </c>
      <c r="B140" s="707">
        <v>9090</v>
      </c>
      <c r="C140" s="366" t="s">
        <v>680</v>
      </c>
      <c r="D140" s="265">
        <f>'C.2.2-F 09'!P92</f>
        <v>122977.93644900681</v>
      </c>
      <c r="E140" s="265"/>
      <c r="H140" s="931"/>
      <c r="J140" s="931"/>
    </row>
    <row r="141" spans="1:10">
      <c r="A141" s="278">
        <f t="shared" si="1"/>
        <v>129</v>
      </c>
      <c r="B141" s="707">
        <v>9100</v>
      </c>
      <c r="C141" s="366" t="s">
        <v>466</v>
      </c>
      <c r="D141" s="265">
        <f>'C.2.2-F 09'!P93</f>
        <v>178.69074769292916</v>
      </c>
      <c r="E141" s="265"/>
      <c r="H141" s="931"/>
      <c r="J141" s="931"/>
    </row>
    <row r="142" spans="1:10">
      <c r="A142" s="278">
        <f t="shared" si="1"/>
        <v>130</v>
      </c>
      <c r="B142" s="278"/>
      <c r="C142" s="336" t="s">
        <v>873</v>
      </c>
      <c r="D142" s="891">
        <f>SUM(D138:D141)</f>
        <v>123156.62719669974</v>
      </c>
      <c r="E142" s="383"/>
      <c r="F142" s="768"/>
      <c r="G142" s="957"/>
    </row>
    <row r="143" spans="1:10">
      <c r="A143" s="278">
        <f t="shared" si="1"/>
        <v>131</v>
      </c>
      <c r="B143" s="278"/>
      <c r="C143" s="336"/>
      <c r="D143" s="298"/>
      <c r="E143" s="298"/>
    </row>
    <row r="144" spans="1:10">
      <c r="A144" s="278">
        <f t="shared" si="1"/>
        <v>132</v>
      </c>
      <c r="B144" s="278"/>
      <c r="C144" s="369" t="s">
        <v>509</v>
      </c>
      <c r="D144" s="334"/>
      <c r="E144" s="334"/>
    </row>
    <row r="145" spans="1:10">
      <c r="A145" s="278">
        <f t="shared" si="1"/>
        <v>133</v>
      </c>
      <c r="B145" s="707">
        <v>9110</v>
      </c>
      <c r="C145" s="366" t="s">
        <v>493</v>
      </c>
      <c r="D145" s="657">
        <f>'C.2.2-F 09'!P94</f>
        <v>252261.0435620413</v>
      </c>
      <c r="E145" s="657"/>
      <c r="H145" s="931"/>
      <c r="J145" s="931"/>
    </row>
    <row r="146" spans="1:10">
      <c r="A146" s="278">
        <f t="shared" ref="A146:A177" si="2">A145+1</f>
        <v>134</v>
      </c>
      <c r="B146" s="707">
        <v>9120</v>
      </c>
      <c r="C146" s="366" t="s">
        <v>787</v>
      </c>
      <c r="D146" s="265">
        <f>'C.2.2-F 09'!P95</f>
        <v>54617.941221711779</v>
      </c>
      <c r="E146" s="265"/>
      <c r="H146" s="931"/>
      <c r="J146" s="931"/>
    </row>
    <row r="147" spans="1:10">
      <c r="A147" s="278">
        <f t="shared" si="2"/>
        <v>135</v>
      </c>
      <c r="B147" s="707">
        <v>9130</v>
      </c>
      <c r="C147" s="366" t="s">
        <v>870</v>
      </c>
      <c r="D147" s="265">
        <f>'C.2.2-F 09'!P96</f>
        <v>22473.830225135178</v>
      </c>
      <c r="E147" s="265"/>
      <c r="H147" s="931"/>
      <c r="J147" s="931"/>
    </row>
    <row r="148" spans="1:10">
      <c r="A148" s="278">
        <f t="shared" si="2"/>
        <v>136</v>
      </c>
      <c r="B148" s="707">
        <v>9160</v>
      </c>
      <c r="C148" s="366" t="s">
        <v>854</v>
      </c>
      <c r="D148" s="265">
        <v>0</v>
      </c>
      <c r="E148" s="265"/>
      <c r="H148" s="931"/>
      <c r="J148" s="931"/>
    </row>
    <row r="149" spans="1:10">
      <c r="A149" s="278">
        <f t="shared" si="2"/>
        <v>137</v>
      </c>
      <c r="B149" s="278"/>
      <c r="C149" s="336" t="s">
        <v>1135</v>
      </c>
      <c r="D149" s="891">
        <f>SUM(D145:D148)</f>
        <v>329352.81500888825</v>
      </c>
      <c r="E149" s="383"/>
      <c r="F149" s="768"/>
      <c r="G149" s="957"/>
    </row>
    <row r="150" spans="1:10">
      <c r="A150" s="278">
        <f t="shared" si="2"/>
        <v>138</v>
      </c>
      <c r="B150" s="104"/>
      <c r="D150" s="334"/>
      <c r="E150" s="334"/>
    </row>
    <row r="151" spans="1:10">
      <c r="A151" s="278">
        <f t="shared" si="2"/>
        <v>139</v>
      </c>
      <c r="B151" s="278"/>
      <c r="C151" s="369" t="s">
        <v>1136</v>
      </c>
      <c r="D151" s="334"/>
      <c r="E151" s="334"/>
      <c r="H151" s="931"/>
    </row>
    <row r="152" spans="1:10">
      <c r="A152" s="278">
        <f t="shared" si="2"/>
        <v>140</v>
      </c>
      <c r="B152" s="707">
        <v>9200</v>
      </c>
      <c r="C152" s="366" t="s">
        <v>778</v>
      </c>
      <c r="D152" s="383">
        <f>'C.2.2-F 09'!P97</f>
        <v>134043.94718883245</v>
      </c>
      <c r="E152" s="657"/>
      <c r="H152" s="931"/>
      <c r="J152" s="931"/>
    </row>
    <row r="153" spans="1:10">
      <c r="A153" s="278">
        <f t="shared" si="2"/>
        <v>141</v>
      </c>
      <c r="B153" s="707">
        <v>9210</v>
      </c>
      <c r="C153" s="366" t="s">
        <v>779</v>
      </c>
      <c r="D153" s="265">
        <f>'C.2.2-F 09'!P98</f>
        <v>6848.4123874449897</v>
      </c>
      <c r="E153" s="265"/>
      <c r="H153" s="931"/>
      <c r="J153" s="931"/>
    </row>
    <row r="154" spans="1:10">
      <c r="A154" s="278">
        <f t="shared" si="2"/>
        <v>142</v>
      </c>
      <c r="B154" s="707">
        <v>9220</v>
      </c>
      <c r="C154" s="366" t="s">
        <v>780</v>
      </c>
      <c r="D154" s="265">
        <f>'C.2.2-F 09'!P99</f>
        <v>14025277.326675855</v>
      </c>
      <c r="E154" s="265"/>
      <c r="H154" s="931"/>
      <c r="J154" s="931"/>
    </row>
    <row r="155" spans="1:10">
      <c r="A155" s="278">
        <f t="shared" si="2"/>
        <v>143</v>
      </c>
      <c r="B155" s="707">
        <v>9230</v>
      </c>
      <c r="C155" s="366" t="s">
        <v>781</v>
      </c>
      <c r="D155" s="265">
        <f>'C.2.2-F 09'!P100</f>
        <v>186924.24905357341</v>
      </c>
      <c r="E155" s="265"/>
      <c r="H155" s="931"/>
      <c r="J155" s="931"/>
    </row>
    <row r="156" spans="1:10">
      <c r="A156" s="278">
        <f t="shared" si="2"/>
        <v>144</v>
      </c>
      <c r="B156" s="707">
        <v>9240</v>
      </c>
      <c r="C156" s="366" t="s">
        <v>317</v>
      </c>
      <c r="D156" s="265">
        <f>'C.2.2-F 09'!P101</f>
        <v>8157.2829559719648</v>
      </c>
      <c r="E156" s="265"/>
      <c r="H156" s="931"/>
      <c r="J156" s="931"/>
    </row>
    <row r="157" spans="1:10">
      <c r="A157" s="278">
        <f t="shared" si="2"/>
        <v>145</v>
      </c>
      <c r="B157" s="707">
        <v>9250</v>
      </c>
      <c r="C157" s="366" t="s">
        <v>782</v>
      </c>
      <c r="D157" s="265">
        <f>'C.2.2-F 09'!P102</f>
        <v>214468.94200588667</v>
      </c>
      <c r="E157" s="265"/>
      <c r="H157" s="931"/>
      <c r="J157" s="931"/>
    </row>
    <row r="158" spans="1:10">
      <c r="A158" s="278">
        <f t="shared" si="2"/>
        <v>146</v>
      </c>
      <c r="B158" s="707">
        <v>9260</v>
      </c>
      <c r="C158" s="366" t="s">
        <v>784</v>
      </c>
      <c r="D158" s="265">
        <f>'C.2.2-F 09'!P103</f>
        <v>2187598.6752288421</v>
      </c>
      <c r="E158" s="265"/>
      <c r="H158" s="931"/>
      <c r="J158" s="931"/>
    </row>
    <row r="159" spans="1:10">
      <c r="A159" s="278">
        <f t="shared" si="2"/>
        <v>147</v>
      </c>
      <c r="B159" s="707">
        <v>9270</v>
      </c>
      <c r="C159" s="366" t="s">
        <v>318</v>
      </c>
      <c r="D159" s="265">
        <f>'C.2.2-F 09'!P104</f>
        <v>82.597628258568534</v>
      </c>
      <c r="E159" s="265"/>
      <c r="H159" s="931"/>
      <c r="J159" s="931"/>
    </row>
    <row r="160" spans="1:10">
      <c r="A160" s="278">
        <f t="shared" si="2"/>
        <v>148</v>
      </c>
      <c r="B160" s="707">
        <v>9280</v>
      </c>
      <c r="C160" s="366" t="s">
        <v>785</v>
      </c>
      <c r="D160" s="265">
        <f>'C.2.2-F 09'!P105</f>
        <v>11105.924436332165</v>
      </c>
      <c r="E160" s="265"/>
      <c r="H160" s="931"/>
      <c r="J160" s="931"/>
    </row>
    <row r="161" spans="1:10">
      <c r="A161" s="278">
        <f t="shared" si="2"/>
        <v>149</v>
      </c>
      <c r="B161" s="713">
        <v>930.2</v>
      </c>
      <c r="C161" s="366" t="s">
        <v>319</v>
      </c>
      <c r="D161" s="265">
        <f>'C.2.2-F 09'!P106</f>
        <v>30750.483234346058</v>
      </c>
      <c r="E161" s="265"/>
      <c r="H161" s="931"/>
      <c r="J161" s="931"/>
    </row>
    <row r="162" spans="1:10">
      <c r="A162" s="278">
        <f t="shared" si="2"/>
        <v>150</v>
      </c>
      <c r="B162" s="700">
        <v>9310</v>
      </c>
      <c r="C162" s="356" t="s">
        <v>189</v>
      </c>
      <c r="D162" s="265">
        <f>'C.2.2-F 09'!P107</f>
        <v>12399.327451230149</v>
      </c>
      <c r="E162" s="265"/>
      <c r="H162" s="931"/>
      <c r="J162" s="931"/>
    </row>
    <row r="163" spans="1:10">
      <c r="A163" s="278">
        <f t="shared" si="2"/>
        <v>151</v>
      </c>
      <c r="B163" s="278"/>
      <c r="C163" s="336" t="s">
        <v>777</v>
      </c>
      <c r="D163" s="891">
        <f>SUM(D152:D162)</f>
        <v>16817657.168246571</v>
      </c>
      <c r="E163" s="383"/>
      <c r="F163" s="768"/>
      <c r="G163" s="957"/>
    </row>
    <row r="164" spans="1:10">
      <c r="A164" s="278">
        <f t="shared" si="2"/>
        <v>152</v>
      </c>
      <c r="B164" s="278"/>
      <c r="C164" s="295"/>
      <c r="D164" s="334"/>
      <c r="E164" s="334"/>
      <c r="H164" s="931"/>
    </row>
    <row r="165" spans="1:10">
      <c r="A165" s="278">
        <f t="shared" si="2"/>
        <v>153</v>
      </c>
      <c r="B165" s="278"/>
      <c r="C165" s="369" t="s">
        <v>788</v>
      </c>
      <c r="D165" s="334"/>
      <c r="E165" s="334"/>
      <c r="H165" s="931"/>
    </row>
    <row r="166" spans="1:10">
      <c r="A166" s="278">
        <f t="shared" si="2"/>
        <v>154</v>
      </c>
      <c r="B166" s="707">
        <v>9320</v>
      </c>
      <c r="C166" s="366" t="s">
        <v>789</v>
      </c>
      <c r="D166" s="306">
        <f>'C.2.2-F 09'!P108</f>
        <v>1458.3517059555129</v>
      </c>
      <c r="E166" s="265"/>
      <c r="H166" s="931"/>
    </row>
    <row r="167" spans="1:10">
      <c r="A167" s="278">
        <f t="shared" si="2"/>
        <v>155</v>
      </c>
      <c r="B167" s="278"/>
      <c r="C167" s="336" t="s">
        <v>749</v>
      </c>
      <c r="D167" s="659">
        <f>SUM(D166:D166)</f>
        <v>1458.3517059555129</v>
      </c>
      <c r="E167" s="659"/>
      <c r="H167" s="931"/>
    </row>
    <row r="168" spans="1:10">
      <c r="A168" s="278">
        <f t="shared" si="2"/>
        <v>156</v>
      </c>
      <c r="B168" s="104"/>
      <c r="D168" s="266"/>
      <c r="E168" s="266"/>
      <c r="H168" s="931"/>
    </row>
    <row r="169" spans="1:10">
      <c r="A169" s="278">
        <f t="shared" si="2"/>
        <v>157</v>
      </c>
      <c r="B169" s="278"/>
      <c r="C169" s="61" t="s">
        <v>338</v>
      </c>
      <c r="D169" s="383">
        <f>+D34+D50+D60+D70+D78+D100+D115+D128+D135+D142+D149+D163+D167</f>
        <v>106229462.5189669</v>
      </c>
      <c r="E169" s="383"/>
      <c r="H169" s="931"/>
      <c r="I169" s="89"/>
    </row>
    <row r="170" spans="1:10">
      <c r="A170" s="278">
        <f t="shared" si="2"/>
        <v>158</v>
      </c>
      <c r="B170" s="104"/>
      <c r="D170" s="266"/>
      <c r="E170" s="266"/>
      <c r="H170" s="931"/>
    </row>
    <row r="171" spans="1:10">
      <c r="A171" s="278">
        <f t="shared" si="2"/>
        <v>159</v>
      </c>
      <c r="B171" s="278" t="s">
        <v>320</v>
      </c>
      <c r="C171" s="277" t="s">
        <v>685</v>
      </c>
      <c r="D171" s="657">
        <f>'C.2.2-F 09'!P14+'C.2.2-F 09'!P15</f>
        <v>19425053.445990987</v>
      </c>
      <c r="E171" s="657"/>
      <c r="F171" s="768"/>
      <c r="G171" s="957"/>
      <c r="H171" s="931"/>
    </row>
    <row r="172" spans="1:10">
      <c r="A172" s="278">
        <f t="shared" si="2"/>
        <v>160</v>
      </c>
      <c r="B172" s="707">
        <v>4081</v>
      </c>
      <c r="C172" s="277" t="s">
        <v>686</v>
      </c>
      <c r="D172" s="265">
        <f>'C.2.2-F 09'!P16</f>
        <v>6100220.1526932763</v>
      </c>
      <c r="E172" s="265"/>
      <c r="F172" s="768"/>
      <c r="G172" s="957"/>
      <c r="H172" s="931"/>
    </row>
    <row r="173" spans="1:10">
      <c r="A173" s="278">
        <f t="shared" si="2"/>
        <v>161</v>
      </c>
      <c r="B173" s="707">
        <v>4091</v>
      </c>
      <c r="C173" s="277" t="s">
        <v>684</v>
      </c>
      <c r="D173" s="265">
        <f>'C.2.2-F 09'!P12</f>
        <v>10829154.99417536</v>
      </c>
      <c r="E173" s="265"/>
      <c r="F173" s="768"/>
      <c r="G173" s="957"/>
    </row>
    <row r="174" spans="1:10">
      <c r="A174" s="278">
        <f t="shared" si="2"/>
        <v>162</v>
      </c>
      <c r="B174" s="307"/>
      <c r="D174" s="266"/>
      <c r="E174" s="266"/>
    </row>
    <row r="175" spans="1:10">
      <c r="A175" s="278">
        <f t="shared" si="2"/>
        <v>163</v>
      </c>
      <c r="B175" s="367"/>
      <c r="C175" s="277" t="s">
        <v>337</v>
      </c>
      <c r="D175" s="658">
        <f>+D169+SUM(D171:D173)</f>
        <v>142583891.11182654</v>
      </c>
      <c r="E175" s="657"/>
    </row>
    <row r="176" spans="1:10">
      <c r="A176" s="278">
        <f t="shared" si="2"/>
        <v>164</v>
      </c>
      <c r="B176" s="307"/>
      <c r="D176" s="266"/>
      <c r="E176" s="266"/>
    </row>
    <row r="177" spans="1:5" ht="15.75" thickBot="1">
      <c r="A177" s="278">
        <f t="shared" si="2"/>
        <v>165</v>
      </c>
      <c r="B177" s="367"/>
      <c r="C177" s="277" t="s">
        <v>355</v>
      </c>
      <c r="D177" s="714">
        <f>(D28-D175)</f>
        <v>24220764.360593796</v>
      </c>
      <c r="E177" s="657"/>
    </row>
    <row r="178" spans="1:5" ht="15.75" thickTop="1">
      <c r="A178" s="261"/>
      <c r="B178" s="660"/>
      <c r="C178" s="261"/>
      <c r="D178" s="305"/>
      <c r="E178" s="305"/>
    </row>
    <row r="179" spans="1:5">
      <c r="A179" s="261"/>
      <c r="B179" s="661"/>
      <c r="C179" s="261"/>
      <c r="D179" s="261"/>
      <c r="E179" s="261"/>
    </row>
    <row r="180" spans="1:5">
      <c r="B180" s="371"/>
    </row>
    <row r="181" spans="1:5">
      <c r="B181" s="371"/>
    </row>
    <row r="182" spans="1:5">
      <c r="B182" s="371"/>
    </row>
    <row r="183" spans="1:5">
      <c r="B183" s="371"/>
    </row>
    <row r="184" spans="1:5">
      <c r="B184" s="307"/>
    </row>
    <row r="185" spans="1:5">
      <c r="B185" s="307"/>
    </row>
    <row r="186" spans="1:5">
      <c r="B186" s="307"/>
    </row>
    <row r="187" spans="1:5">
      <c r="B187" s="307"/>
    </row>
    <row r="188" spans="1:5">
      <c r="B188" s="307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1" right="0.7" top="0.71" bottom="0.94" header="0.5" footer="0.25"/>
  <pageSetup scale="98" fitToHeight="10" orientation="portrait" verticalDpi="300" r:id="rId1"/>
  <headerFooter alignWithMargins="0">
    <oddFooter>&amp;RSchedule &amp;A
Page &amp;P of &amp;N</oddFooter>
  </headerFooter>
  <rowBreaks count="3" manualBreakCount="3">
    <brk id="50" max="3" man="1"/>
    <brk id="100" max="3" man="1"/>
    <brk id="142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0"/>
  <sheetViews>
    <sheetView view="pageBreakPreview" zoomScale="60" zoomScaleNormal="70" workbookViewId="0">
      <pane xSplit="3" ySplit="10" topLeftCell="D11" activePane="bottomRight" state="frozen"/>
      <selection activeCell="E55" sqref="E55"/>
      <selection pane="topRight" activeCell="E55" sqref="E55"/>
      <selection pane="bottomLeft" activeCell="E55" sqref="E55"/>
      <selection pane="bottomRight" activeCell="D11" sqref="D1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  <c r="R1" s="1"/>
      <c r="S1" s="1"/>
    </row>
    <row r="2" spans="1:21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  <c r="R2" s="1"/>
      <c r="S2" s="1"/>
    </row>
    <row r="3" spans="1:21">
      <c r="A3" s="1266" t="s">
        <v>432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  <c r="R3" s="1"/>
      <c r="S3" s="1"/>
    </row>
    <row r="4" spans="1:21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"/>
      <c r="R4" s="60"/>
      <c r="S4" s="60"/>
    </row>
    <row r="5" spans="1:21" ht="15.75">
      <c r="A5" s="77"/>
      <c r="B5" s="77"/>
      <c r="C5" s="77"/>
      <c r="D5" s="261"/>
      <c r="F5" s="893"/>
      <c r="G5" s="77"/>
      <c r="H5" s="77"/>
      <c r="I5" s="77"/>
      <c r="K5" s="893"/>
      <c r="L5" s="77"/>
      <c r="M5" s="777"/>
      <c r="N5" s="777"/>
      <c r="O5" s="777"/>
      <c r="P5" s="77"/>
      <c r="Q5" s="1"/>
      <c r="R5" s="60"/>
      <c r="S5" s="60"/>
    </row>
    <row r="6" spans="1:21" ht="15.75">
      <c r="A6" s="245" t="str">
        <f>'C.2.1 B'!A6</f>
        <v>Data:___X____Base Period________Forecasted Period</v>
      </c>
      <c r="B6" s="60"/>
      <c r="C6" s="274"/>
      <c r="D6" s="261"/>
      <c r="E6" s="261"/>
      <c r="F6" s="893"/>
      <c r="G6" s="261"/>
      <c r="H6" s="261"/>
      <c r="I6" s="261"/>
      <c r="J6" s="261"/>
      <c r="L6" s="60"/>
      <c r="M6" s="60"/>
      <c r="N6" s="60"/>
      <c r="O6" s="777"/>
      <c r="P6" s="662" t="s">
        <v>1524</v>
      </c>
      <c r="Q6" s="1"/>
      <c r="R6" s="60"/>
      <c r="S6" s="60"/>
    </row>
    <row r="7" spans="1:21">
      <c r="A7" s="245" t="str">
        <f>'C.2.1 B'!A7</f>
        <v>Type of Filing:___X____Original________Updated ________Revised</v>
      </c>
      <c r="B7" s="60"/>
      <c r="C7" s="274"/>
      <c r="D7" s="261"/>
      <c r="E7" s="768"/>
      <c r="F7" s="60"/>
      <c r="G7" s="60"/>
      <c r="H7" s="60"/>
      <c r="I7" s="60"/>
      <c r="J7" s="60"/>
      <c r="K7" s="60"/>
      <c r="L7" s="60"/>
      <c r="M7" s="60"/>
      <c r="N7" s="60"/>
      <c r="O7" s="777"/>
      <c r="P7" s="663" t="s">
        <v>38</v>
      </c>
      <c r="Q7" s="60"/>
      <c r="R7" s="60"/>
      <c r="S7" s="60"/>
    </row>
    <row r="8" spans="1:21">
      <c r="A8" s="263" t="str">
        <f>'C.2.1 B'!A8</f>
        <v>Workpaper Reference No(s).____________________</v>
      </c>
      <c r="B8" s="60"/>
      <c r="C8" s="274"/>
      <c r="D8" s="86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394"/>
      <c r="P8" s="664" t="str">
        <f>C.1!J9</f>
        <v>Witness: Waller, Smith</v>
      </c>
      <c r="Q8" s="60"/>
      <c r="R8" s="60"/>
      <c r="S8" s="60"/>
    </row>
    <row r="9" spans="1:21">
      <c r="A9" s="665" t="s">
        <v>98</v>
      </c>
      <c r="B9" s="666" t="s">
        <v>105</v>
      </c>
      <c r="C9" s="667"/>
      <c r="D9" s="126" t="s">
        <v>112</v>
      </c>
      <c r="E9" s="126" t="s">
        <v>112</v>
      </c>
      <c r="F9" s="126" t="s">
        <v>112</v>
      </c>
      <c r="G9" s="126" t="s">
        <v>112</v>
      </c>
      <c r="H9" s="126" t="s">
        <v>112</v>
      </c>
      <c r="I9" s="126" t="s">
        <v>112</v>
      </c>
      <c r="J9" s="1011" t="s">
        <v>44</v>
      </c>
      <c r="K9" s="1046" t="s">
        <v>467</v>
      </c>
      <c r="L9" s="76" t="s">
        <v>467</v>
      </c>
      <c r="M9" s="76" t="s">
        <v>467</v>
      </c>
      <c r="N9" s="76" t="s">
        <v>467</v>
      </c>
      <c r="O9" s="76" t="s">
        <v>467</v>
      </c>
      <c r="P9" s="104"/>
      <c r="Q9" s="104"/>
      <c r="R9" s="104"/>
      <c r="S9" s="104"/>
    </row>
    <row r="10" spans="1:21">
      <c r="A10" s="668" t="s">
        <v>104</v>
      </c>
      <c r="B10" s="297" t="s">
        <v>104</v>
      </c>
      <c r="C10" s="669" t="s">
        <v>971</v>
      </c>
      <c r="D10" s="447">
        <v>42094</v>
      </c>
      <c r="E10" s="447">
        <v>42095</v>
      </c>
      <c r="F10" s="447">
        <v>42155</v>
      </c>
      <c r="G10" s="447">
        <v>42185</v>
      </c>
      <c r="H10" s="447">
        <v>42216</v>
      </c>
      <c r="I10" s="447">
        <v>42247</v>
      </c>
      <c r="J10" s="801">
        <v>42277</v>
      </c>
      <c r="K10" s="447">
        <v>42308</v>
      </c>
      <c r="L10" s="447">
        <v>42338</v>
      </c>
      <c r="M10" s="447">
        <v>42369</v>
      </c>
      <c r="N10" s="447">
        <v>42400</v>
      </c>
      <c r="O10" s="447">
        <v>42429</v>
      </c>
      <c r="P10" s="281" t="s">
        <v>101</v>
      </c>
      <c r="Q10" s="282"/>
      <c r="R10" s="104"/>
      <c r="S10" s="104"/>
    </row>
    <row r="11" spans="1:21">
      <c r="A11" s="60"/>
      <c r="B11" s="60"/>
      <c r="C11" s="60"/>
      <c r="D11" s="258" t="s">
        <v>151</v>
      </c>
      <c r="E11" s="258" t="s">
        <v>151</v>
      </c>
      <c r="F11" s="258" t="s">
        <v>151</v>
      </c>
      <c r="G11" s="258" t="s">
        <v>151</v>
      </c>
      <c r="H11" s="258" t="s">
        <v>151</v>
      </c>
      <c r="I11" s="258" t="s">
        <v>151</v>
      </c>
      <c r="J11" s="283" t="s">
        <v>151</v>
      </c>
      <c r="K11" s="258" t="s">
        <v>151</v>
      </c>
      <c r="L11" s="258" t="s">
        <v>151</v>
      </c>
      <c r="M11" s="258" t="s">
        <v>151</v>
      </c>
      <c r="N11" s="258" t="s">
        <v>151</v>
      </c>
      <c r="O11" s="283" t="s">
        <v>151</v>
      </c>
      <c r="P11" s="258" t="s">
        <v>151</v>
      </c>
      <c r="Q11" s="258"/>
      <c r="R11" s="60"/>
    </row>
    <row r="12" spans="1:21">
      <c r="A12" s="615">
        <v>1</v>
      </c>
      <c r="B12" s="1107" t="s">
        <v>750</v>
      </c>
      <c r="C12" s="130" t="s">
        <v>741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517">
        <f>E!$E$23/6</f>
        <v>1577365.3575521053</v>
      </c>
      <c r="K12" s="517">
        <f>E!$E$23/6</f>
        <v>1577365.3575521053</v>
      </c>
      <c r="L12" s="517">
        <f>E!$E$23/6</f>
        <v>1577365.3575521053</v>
      </c>
      <c r="M12" s="517">
        <f>E!$E$23/6</f>
        <v>1577365.3575521053</v>
      </c>
      <c r="N12" s="517">
        <f>E!$E$23/6</f>
        <v>1577365.3575521053</v>
      </c>
      <c r="O12" s="517">
        <f>E!$E$23/6</f>
        <v>1577365.3575521053</v>
      </c>
      <c r="P12" s="203">
        <f>SUM(D12:O12)</f>
        <v>9464192.1453126315</v>
      </c>
      <c r="Q12" s="768"/>
      <c r="R12" s="768"/>
      <c r="S12" s="768"/>
      <c r="U12" s="1057"/>
    </row>
    <row r="13" spans="1:21">
      <c r="A13" s="322">
        <f t="shared" ref="A13:A83" si="0">A12+1</f>
        <v>2</v>
      </c>
      <c r="B13" s="393"/>
      <c r="C13" s="6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203"/>
      <c r="R13" s="203"/>
      <c r="S13" s="203"/>
    </row>
    <row r="14" spans="1:21">
      <c r="A14" s="322">
        <f t="shared" si="0"/>
        <v>3</v>
      </c>
      <c r="B14" s="393">
        <v>4030</v>
      </c>
      <c r="C14" s="60" t="s">
        <v>96</v>
      </c>
      <c r="D14" s="779">
        <v>1500191.86</v>
      </c>
      <c r="E14" s="779">
        <v>1506918.1699999997</v>
      </c>
      <c r="F14" s="779">
        <v>1518671.0699999996</v>
      </c>
      <c r="G14" s="779">
        <v>1520812.2899999998</v>
      </c>
      <c r="H14" s="779">
        <v>1552385.67</v>
      </c>
      <c r="I14" s="779">
        <v>1579114.02</v>
      </c>
      <c r="J14" s="779">
        <v>1578172.95</v>
      </c>
      <c r="K14" s="779">
        <v>1712080.32903727</v>
      </c>
      <c r="L14" s="779">
        <v>1476587.50922046</v>
      </c>
      <c r="M14" s="779">
        <v>1258160.2353352001</v>
      </c>
      <c r="N14" s="779">
        <v>1503346.99055836</v>
      </c>
      <c r="O14" s="779">
        <v>1497842.4439481001</v>
      </c>
      <c r="P14" s="203">
        <f t="shared" ref="P14" si="1">SUM(D14:O14)</f>
        <v>18204283.53809939</v>
      </c>
      <c r="Q14" s="915"/>
      <c r="R14" s="284"/>
      <c r="S14" s="284"/>
    </row>
    <row r="15" spans="1:21">
      <c r="A15" s="322">
        <f t="shared" si="0"/>
        <v>4</v>
      </c>
      <c r="B15" s="393">
        <v>4060</v>
      </c>
      <c r="C15" s="203" t="s">
        <v>879</v>
      </c>
      <c r="D15" s="779">
        <v>4037.2</v>
      </c>
      <c r="E15" s="779">
        <v>4037.2</v>
      </c>
      <c r="F15" s="779">
        <v>4037.2</v>
      </c>
      <c r="G15" s="779">
        <v>4037.2</v>
      </c>
      <c r="H15" s="779">
        <v>4037.2</v>
      </c>
      <c r="I15" s="779">
        <v>4037.2</v>
      </c>
      <c r="J15" s="779">
        <f>I15</f>
        <v>4037.2</v>
      </c>
      <c r="K15" s="779">
        <f t="shared" ref="K15:O15" si="2">J15</f>
        <v>4037.2</v>
      </c>
      <c r="L15" s="779">
        <f t="shared" si="2"/>
        <v>4037.2</v>
      </c>
      <c r="M15" s="779">
        <f t="shared" si="2"/>
        <v>4037.2</v>
      </c>
      <c r="N15" s="779">
        <f t="shared" si="2"/>
        <v>4037.2</v>
      </c>
      <c r="O15" s="779">
        <f t="shared" si="2"/>
        <v>4037.2</v>
      </c>
      <c r="P15" s="203">
        <f t="shared" ref="P15:P64" si="3">SUM(D15:O15)</f>
        <v>48446.399999999994</v>
      </c>
      <c r="R15" s="768"/>
      <c r="S15" s="203"/>
    </row>
    <row r="16" spans="1:21">
      <c r="A16" s="322">
        <f t="shared" si="0"/>
        <v>5</v>
      </c>
      <c r="B16" s="393">
        <v>4081</v>
      </c>
      <c r="C16" s="284" t="s">
        <v>880</v>
      </c>
      <c r="D16" s="779">
        <v>455463.65</v>
      </c>
      <c r="E16" s="779">
        <v>551122.26000000013</v>
      </c>
      <c r="F16" s="779">
        <v>603830.34000000008</v>
      </c>
      <c r="G16" s="779">
        <v>554649.64000000013</v>
      </c>
      <c r="H16" s="779">
        <v>583075.11999999976</v>
      </c>
      <c r="I16" s="779">
        <v>562687.59999999974</v>
      </c>
      <c r="J16" s="779">
        <f>'C.2.3 B'!I24</f>
        <v>557509.30999999994</v>
      </c>
      <c r="K16" s="779">
        <f>'C.2.3 B'!J24</f>
        <v>532755.3608626331</v>
      </c>
      <c r="L16" s="779">
        <f>'C.2.3 B'!K24</f>
        <v>517484.36086263316</v>
      </c>
      <c r="M16" s="779">
        <f>'C.2.3 B'!L24</f>
        <v>483306.36086263316</v>
      </c>
      <c r="N16" s="779">
        <f>'C.2.3 B'!M24</f>
        <v>540899.3608626331</v>
      </c>
      <c r="O16" s="779">
        <f>'C.2.3 B'!N24</f>
        <v>494761.36086263316</v>
      </c>
      <c r="P16" s="203">
        <f>SUM(D16:O16)</f>
        <v>6437544.724313166</v>
      </c>
      <c r="Q16" s="768"/>
      <c r="R16" s="887"/>
      <c r="S16" s="768"/>
    </row>
    <row r="17" spans="1:25">
      <c r="A17" s="322">
        <f t="shared" si="0"/>
        <v>6</v>
      </c>
      <c r="B17" s="393">
        <v>4800</v>
      </c>
      <c r="C17" s="968" t="s">
        <v>881</v>
      </c>
      <c r="D17" s="779">
        <v>-17499149.710000001</v>
      </c>
      <c r="E17" s="779">
        <v>-8835751.8200000003</v>
      </c>
      <c r="F17" s="779">
        <v>-4807184.55</v>
      </c>
      <c r="G17" s="779">
        <v>-3947246.7099999995</v>
      </c>
      <c r="H17" s="779">
        <v>-3682775</v>
      </c>
      <c r="I17" s="779">
        <v>-3592522.5400000005</v>
      </c>
      <c r="J17" s="123">
        <v>-3769417.3919671541</v>
      </c>
      <c r="K17" s="123">
        <v>-4724297.1339690275</v>
      </c>
      <c r="L17" s="123">
        <v>-8123138.5437027179</v>
      </c>
      <c r="M17" s="123">
        <v>-12098616.986870199</v>
      </c>
      <c r="N17" s="123">
        <v>-13698809.21547522</v>
      </c>
      <c r="O17" s="123">
        <v>-13428215.027079664</v>
      </c>
      <c r="P17" s="284">
        <f t="shared" si="3"/>
        <v>-98207124.629063994</v>
      </c>
      <c r="Q17" s="203"/>
      <c r="R17" s="203"/>
      <c r="S17" s="203"/>
    </row>
    <row r="18" spans="1:25">
      <c r="A18" s="322">
        <f t="shared" si="0"/>
        <v>7</v>
      </c>
      <c r="B18" s="939">
        <v>4805</v>
      </c>
      <c r="C18" s="471" t="s">
        <v>1357</v>
      </c>
      <c r="D18" s="779">
        <v>2497143.59</v>
      </c>
      <c r="E18" s="779">
        <v>2805243</v>
      </c>
      <c r="F18" s="779">
        <v>1117326</v>
      </c>
      <c r="G18" s="779">
        <v>211816.98</v>
      </c>
      <c r="H18" s="779">
        <v>161218.25</v>
      </c>
      <c r="I18" s="779">
        <v>-5454.23</v>
      </c>
      <c r="J18" s="123"/>
      <c r="K18" s="123"/>
      <c r="L18" s="123"/>
      <c r="M18" s="123"/>
      <c r="N18" s="123"/>
      <c r="O18" s="123"/>
      <c r="P18" s="284">
        <f t="shared" si="3"/>
        <v>6787293.5899999999</v>
      </c>
      <c r="Q18" s="203"/>
      <c r="R18" s="203"/>
      <c r="S18" s="203"/>
    </row>
    <row r="19" spans="1:25">
      <c r="A19" s="322">
        <f t="shared" si="0"/>
        <v>8</v>
      </c>
      <c r="B19" s="393">
        <v>4811</v>
      </c>
      <c r="C19" s="968" t="s">
        <v>1446</v>
      </c>
      <c r="D19" s="779">
        <v>-7186235.0599999996</v>
      </c>
      <c r="E19" s="779">
        <v>-3658789.95</v>
      </c>
      <c r="F19" s="779">
        <v>-2042626.48</v>
      </c>
      <c r="G19" s="779">
        <v>-1726997.6099999999</v>
      </c>
      <c r="H19" s="779">
        <v>-1684522.5299999998</v>
      </c>
      <c r="I19" s="779">
        <v>-1618594.2600000002</v>
      </c>
      <c r="J19" s="123">
        <v>-1639454.8258469263</v>
      </c>
      <c r="K19" s="123">
        <v>-1992149.4207614509</v>
      </c>
      <c r="L19" s="123">
        <v>-3330415.8081927942</v>
      </c>
      <c r="M19" s="123">
        <v>-4916730.1715475917</v>
      </c>
      <c r="N19" s="123">
        <v>-5565913.3252026541</v>
      </c>
      <c r="O19" s="123">
        <v>-5588310.9527499313</v>
      </c>
      <c r="P19" s="284">
        <f t="shared" si="3"/>
        <v>-40950740.394301347</v>
      </c>
      <c r="Q19" s="203"/>
      <c r="R19" s="768"/>
      <c r="S19" s="203"/>
    </row>
    <row r="20" spans="1:25">
      <c r="A20" s="322">
        <f t="shared" si="0"/>
        <v>9</v>
      </c>
      <c r="B20" s="393">
        <v>4812</v>
      </c>
      <c r="C20" s="284" t="s">
        <v>1447</v>
      </c>
      <c r="D20" s="779">
        <v>-1197881.69</v>
      </c>
      <c r="E20" s="779">
        <v>-487790.35</v>
      </c>
      <c r="F20" s="779">
        <v>-362212.99</v>
      </c>
      <c r="G20" s="779">
        <v>-346989.15</v>
      </c>
      <c r="H20" s="779">
        <v>-238423.65999999997</v>
      </c>
      <c r="I20" s="779">
        <v>-291127.43</v>
      </c>
      <c r="J20" s="123">
        <v>-158299.5864816691</v>
      </c>
      <c r="K20" s="123">
        <v>-217207.52758358273</v>
      </c>
      <c r="L20" s="123">
        <v>-293533.56325164129</v>
      </c>
      <c r="M20" s="123">
        <v>-551760.90757530753</v>
      </c>
      <c r="N20" s="123">
        <v>-721443.24045955297</v>
      </c>
      <c r="O20" s="123">
        <v>-584655.65086196898</v>
      </c>
      <c r="P20" s="284">
        <f t="shared" si="3"/>
        <v>-5451325.746213723</v>
      </c>
      <c r="Q20" s="203"/>
      <c r="R20" s="768"/>
      <c r="S20" s="203"/>
    </row>
    <row r="21" spans="1:25">
      <c r="A21" s="322">
        <f t="shared" si="0"/>
        <v>10</v>
      </c>
      <c r="B21" s="393">
        <v>4815</v>
      </c>
      <c r="C21" s="284" t="s">
        <v>1358</v>
      </c>
      <c r="D21" s="779">
        <v>1346282.01</v>
      </c>
      <c r="E21" s="779">
        <v>1132848</v>
      </c>
      <c r="F21" s="779">
        <v>435895</v>
      </c>
      <c r="G21" s="779">
        <v>31310.63</v>
      </c>
      <c r="H21" s="779">
        <v>55324.13</v>
      </c>
      <c r="I21" s="779">
        <v>-29339.759999999995</v>
      </c>
      <c r="J21" s="123"/>
      <c r="K21" s="123"/>
      <c r="L21" s="123"/>
      <c r="M21" s="123"/>
      <c r="N21" s="123"/>
      <c r="O21" s="123"/>
      <c r="P21" s="284">
        <f t="shared" si="3"/>
        <v>2972320.01</v>
      </c>
      <c r="Q21" s="203"/>
      <c r="R21" s="768"/>
      <c r="S21" s="203"/>
    </row>
    <row r="22" spans="1:25">
      <c r="A22" s="322">
        <f t="shared" si="0"/>
        <v>11</v>
      </c>
      <c r="B22" s="393">
        <v>4816</v>
      </c>
      <c r="C22" s="284" t="s">
        <v>1390</v>
      </c>
      <c r="D22" s="779">
        <v>11983.32</v>
      </c>
      <c r="E22" s="779">
        <v>-3875.7599999999998</v>
      </c>
      <c r="F22" s="779">
        <v>-369.73</v>
      </c>
      <c r="G22" s="779">
        <v>27777.65</v>
      </c>
      <c r="H22" s="779">
        <v>16652.580000000002</v>
      </c>
      <c r="I22" s="779">
        <v>62629.25</v>
      </c>
      <c r="J22" s="123"/>
      <c r="K22" s="123"/>
      <c r="L22" s="123"/>
      <c r="M22" s="123"/>
      <c r="N22" s="123"/>
      <c r="O22" s="123"/>
      <c r="P22" s="284">
        <f t="shared" si="3"/>
        <v>114797.31</v>
      </c>
      <c r="R22" s="768"/>
      <c r="S22" s="203"/>
    </row>
    <row r="23" spans="1:25">
      <c r="A23" s="322">
        <f t="shared" si="0"/>
        <v>12</v>
      </c>
      <c r="B23" s="393">
        <v>4820</v>
      </c>
      <c r="C23" s="284" t="s">
        <v>882</v>
      </c>
      <c r="D23" s="779">
        <v>-1446421.2300000002</v>
      </c>
      <c r="E23" s="779">
        <v>-695366.92</v>
      </c>
      <c r="F23" s="779">
        <v>-390277.04</v>
      </c>
      <c r="G23" s="779">
        <v>-265750.75</v>
      </c>
      <c r="H23" s="779">
        <v>-234283.08000000002</v>
      </c>
      <c r="I23" s="779">
        <v>-225612.40000000002</v>
      </c>
      <c r="J23" s="123">
        <v>-228523.99519115966</v>
      </c>
      <c r="K23" s="123">
        <v>-317447.81714359624</v>
      </c>
      <c r="L23" s="123">
        <v>-616794.48648853321</v>
      </c>
      <c r="M23" s="123">
        <v>-958234.88781337603</v>
      </c>
      <c r="N23" s="123">
        <v>-1101190.0667949645</v>
      </c>
      <c r="O23" s="123">
        <v>-1073586.2062504529</v>
      </c>
      <c r="P23" s="284">
        <f t="shared" si="3"/>
        <v>-7553488.8796820827</v>
      </c>
      <c r="Q23" s="284"/>
      <c r="R23" s="768"/>
      <c r="S23" s="203"/>
    </row>
    <row r="24" spans="1:25">
      <c r="A24" s="322">
        <f t="shared" si="0"/>
        <v>13</v>
      </c>
      <c r="B24" s="393">
        <v>4825</v>
      </c>
      <c r="C24" s="284" t="s">
        <v>1359</v>
      </c>
      <c r="D24" s="779">
        <v>264396.38</v>
      </c>
      <c r="E24" s="779">
        <v>244216</v>
      </c>
      <c r="F24" s="779">
        <v>77237</v>
      </c>
      <c r="G24" s="779">
        <v>28967.09</v>
      </c>
      <c r="H24" s="779">
        <v>19607.62</v>
      </c>
      <c r="I24" s="779">
        <v>-5230.71</v>
      </c>
      <c r="J24" s="123"/>
      <c r="K24" s="123"/>
      <c r="L24" s="123"/>
      <c r="M24" s="123"/>
      <c r="N24" s="123"/>
      <c r="O24" s="123"/>
      <c r="P24" s="284">
        <f t="shared" si="3"/>
        <v>629193.38</v>
      </c>
      <c r="S24" s="203"/>
    </row>
    <row r="25" spans="1:25">
      <c r="A25" s="322">
        <f t="shared" si="0"/>
        <v>14</v>
      </c>
      <c r="B25" s="393">
        <v>4870</v>
      </c>
      <c r="C25" s="284" t="s">
        <v>235</v>
      </c>
      <c r="D25" s="779">
        <v>-201601.71</v>
      </c>
      <c r="E25" s="779">
        <v>-223761.32</v>
      </c>
      <c r="F25" s="779">
        <v>-89188.51</v>
      </c>
      <c r="G25" s="779">
        <v>-60407.39</v>
      </c>
      <c r="H25" s="779">
        <v>-59251.95</v>
      </c>
      <c r="I25" s="779">
        <v>-46947.86</v>
      </c>
      <c r="J25" s="123">
        <v>-44791.383644271991</v>
      </c>
      <c r="K25" s="123">
        <v>-45091.96811961769</v>
      </c>
      <c r="L25" s="123">
        <v>-56262.756654776204</v>
      </c>
      <c r="M25" s="123">
        <v>-96549.413802119583</v>
      </c>
      <c r="N25" s="123">
        <v>-143697.08057829188</v>
      </c>
      <c r="O25" s="123">
        <v>-162832.31072609653</v>
      </c>
      <c r="P25" s="284">
        <f t="shared" si="3"/>
        <v>-1230383.6535251739</v>
      </c>
      <c r="R25" s="203"/>
      <c r="S25" s="203"/>
    </row>
    <row r="26" spans="1:25">
      <c r="A26" s="322">
        <f t="shared" si="0"/>
        <v>15</v>
      </c>
      <c r="B26" s="393">
        <v>4880</v>
      </c>
      <c r="C26" s="284" t="s">
        <v>883</v>
      </c>
      <c r="D26" s="779">
        <v>-61994.87</v>
      </c>
      <c r="E26" s="779">
        <v>-55114</v>
      </c>
      <c r="F26" s="779">
        <v>-56775</v>
      </c>
      <c r="G26" s="779">
        <v>-53153</v>
      </c>
      <c r="H26" s="779">
        <v>-52376</v>
      </c>
      <c r="I26" s="779">
        <v>-49804.14</v>
      </c>
      <c r="J26" s="123">
        <v>-61445</v>
      </c>
      <c r="K26" s="123">
        <v>-120749</v>
      </c>
      <c r="L26" s="123">
        <v>-125695</v>
      </c>
      <c r="M26" s="123">
        <v>-56798</v>
      </c>
      <c r="N26" s="123">
        <v>-53861</v>
      </c>
      <c r="O26" s="123">
        <v>-48764</v>
      </c>
      <c r="P26" s="284">
        <f t="shared" si="3"/>
        <v>-796529.01</v>
      </c>
      <c r="R26" s="203"/>
      <c r="S26" s="203"/>
    </row>
    <row r="27" spans="1:25">
      <c r="A27" s="322">
        <f t="shared" si="0"/>
        <v>16</v>
      </c>
      <c r="B27" s="393">
        <v>4893</v>
      </c>
      <c r="C27" s="203" t="s">
        <v>1231</v>
      </c>
      <c r="D27" s="779">
        <v>-1391289.63</v>
      </c>
      <c r="E27" s="779">
        <v>-1208824.44</v>
      </c>
      <c r="F27" s="779">
        <v>-1170378.6300000001</v>
      </c>
      <c r="G27" s="779">
        <v>-1061614.27</v>
      </c>
      <c r="H27" s="779">
        <v>-1069176.8499999999</v>
      </c>
      <c r="I27" s="779">
        <v>-1130107.73</v>
      </c>
      <c r="J27" s="123">
        <v>-1050910.6894999999</v>
      </c>
      <c r="K27" s="123">
        <v>-1190909.3454499999</v>
      </c>
      <c r="L27" s="123">
        <v>-1319362.7035000001</v>
      </c>
      <c r="M27" s="123">
        <v>-1329060.5179000003</v>
      </c>
      <c r="N27" s="123">
        <v>-1473667.6765999999</v>
      </c>
      <c r="O27" s="123">
        <v>-1424542.7038</v>
      </c>
      <c r="P27" s="284">
        <f t="shared" ref="P27:P30" si="4">SUM(D27:O27)</f>
        <v>-14819845.18675</v>
      </c>
      <c r="Q27" s="1112"/>
      <c r="R27" s="106"/>
      <c r="S27" s="106"/>
      <c r="T27" s="106"/>
      <c r="U27" s="106"/>
      <c r="V27" s="106"/>
      <c r="W27" s="106"/>
      <c r="X27" s="106"/>
      <c r="Y27" s="106"/>
    </row>
    <row r="28" spans="1:25">
      <c r="A28" s="322">
        <f t="shared" si="0"/>
        <v>17</v>
      </c>
      <c r="B28" s="1049">
        <v>4950</v>
      </c>
      <c r="C28" s="107" t="s">
        <v>678</v>
      </c>
      <c r="D28" s="779"/>
      <c r="E28" s="779"/>
      <c r="F28" s="779"/>
      <c r="G28" s="779"/>
      <c r="H28" s="779"/>
      <c r="I28" s="779"/>
      <c r="J28" s="123">
        <v>-197356.58499999999</v>
      </c>
      <c r="K28" s="123">
        <v>-213502.51250000004</v>
      </c>
      <c r="L28" s="123">
        <v>-225558.07250000001</v>
      </c>
      <c r="M28" s="123">
        <v>-235550.01249999998</v>
      </c>
      <c r="N28" s="123">
        <v>-252288.6275</v>
      </c>
      <c r="O28" s="123">
        <v>-241810.63249999995</v>
      </c>
      <c r="P28" s="284">
        <f t="shared" si="4"/>
        <v>-1366066.4424999999</v>
      </c>
      <c r="Q28" s="963"/>
    </row>
    <row r="29" spans="1:25">
      <c r="A29" s="322">
        <f t="shared" si="0"/>
        <v>18</v>
      </c>
      <c r="B29" s="393">
        <v>7560</v>
      </c>
      <c r="C29" s="106" t="s">
        <v>1455</v>
      </c>
      <c r="D29" s="779">
        <v>46.94</v>
      </c>
      <c r="E29" s="779">
        <v>0</v>
      </c>
      <c r="F29" s="779">
        <v>0</v>
      </c>
      <c r="G29" s="779">
        <v>0</v>
      </c>
      <c r="H29" s="779">
        <v>0</v>
      </c>
      <c r="I29" s="779">
        <v>0</v>
      </c>
      <c r="J29" s="517">
        <v>8.915354938543171</v>
      </c>
      <c r="K29" s="517">
        <v>8.8377941224042225</v>
      </c>
      <c r="L29" s="517">
        <v>8.3011196961340818</v>
      </c>
      <c r="M29" s="517">
        <v>8.3669483782588046</v>
      </c>
      <c r="N29" s="517">
        <v>8.2476765586461607</v>
      </c>
      <c r="O29" s="517">
        <v>7.8998085451070725</v>
      </c>
      <c r="P29" s="284">
        <f t="shared" si="4"/>
        <v>97.508702239093509</v>
      </c>
      <c r="S29" s="203"/>
    </row>
    <row r="30" spans="1:25" s="1048" customFormat="1">
      <c r="A30" s="322">
        <f t="shared" si="0"/>
        <v>19</v>
      </c>
      <c r="B30" s="393">
        <v>7590</v>
      </c>
      <c r="C30" s="130" t="s">
        <v>1401</v>
      </c>
      <c r="D30" s="779"/>
      <c r="E30" s="779"/>
      <c r="F30" s="779"/>
      <c r="G30" s="779"/>
      <c r="H30" s="779"/>
      <c r="I30" s="779"/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284">
        <f t="shared" si="4"/>
        <v>0</v>
      </c>
      <c r="S30" s="203"/>
    </row>
    <row r="31" spans="1:25">
      <c r="A31" s="322">
        <f t="shared" si="0"/>
        <v>20</v>
      </c>
      <c r="B31" s="393">
        <v>8001</v>
      </c>
      <c r="C31" s="203" t="s">
        <v>885</v>
      </c>
      <c r="D31" s="779">
        <v>283919.86</v>
      </c>
      <c r="E31" s="779">
        <v>308563.48</v>
      </c>
      <c r="F31" s="779">
        <v>0</v>
      </c>
      <c r="G31" s="779">
        <v>0</v>
      </c>
      <c r="H31" s="779">
        <v>0</v>
      </c>
      <c r="I31" s="779">
        <v>0</v>
      </c>
      <c r="J31" s="123">
        <v>0</v>
      </c>
      <c r="K31" s="123">
        <v>0</v>
      </c>
      <c r="L31" s="123">
        <v>0</v>
      </c>
      <c r="M31" s="123">
        <v>139713.86778650412</v>
      </c>
      <c r="N31" s="123">
        <v>85207.997388707037</v>
      </c>
      <c r="O31" s="123">
        <v>389932.36753601005</v>
      </c>
      <c r="P31" s="284">
        <f t="shared" si="3"/>
        <v>1207337.5727112212</v>
      </c>
      <c r="Q31" s="768"/>
      <c r="R31" s="768"/>
      <c r="S31" s="203"/>
    </row>
    <row r="32" spans="1:25">
      <c r="A32" s="322">
        <f t="shared" si="0"/>
        <v>21</v>
      </c>
      <c r="B32" s="393">
        <v>8010</v>
      </c>
      <c r="C32" s="119" t="s">
        <v>1229</v>
      </c>
      <c r="D32" s="779">
        <v>12478.22</v>
      </c>
      <c r="E32" s="779">
        <v>9142.89</v>
      </c>
      <c r="F32" s="779">
        <v>5884.15</v>
      </c>
      <c r="G32" s="779">
        <v>5792.12</v>
      </c>
      <c r="H32" s="779">
        <v>5654.6</v>
      </c>
      <c r="I32" s="779">
        <v>5582.17</v>
      </c>
      <c r="J32" s="123">
        <v>6574.868896686231</v>
      </c>
      <c r="K32" s="123">
        <v>3926.8162225257174</v>
      </c>
      <c r="L32" s="123">
        <v>5305.4370163802487</v>
      </c>
      <c r="M32" s="123">
        <v>4775.084674783936</v>
      </c>
      <c r="N32" s="123">
        <v>4710.5495386244729</v>
      </c>
      <c r="O32" s="123">
        <v>3297.347187186982</v>
      </c>
      <c r="P32" s="284">
        <f t="shared" ref="P32" si="5">SUM(D32:O32)</f>
        <v>73124.253536187593</v>
      </c>
      <c r="Q32" s="203"/>
      <c r="R32" s="203"/>
      <c r="S32" s="203"/>
    </row>
    <row r="33" spans="1:19">
      <c r="A33" s="322">
        <f t="shared" si="0"/>
        <v>22</v>
      </c>
      <c r="B33" s="393">
        <v>8040</v>
      </c>
      <c r="C33" s="203" t="s">
        <v>886</v>
      </c>
      <c r="D33" s="779">
        <v>5149422.08</v>
      </c>
      <c r="E33" s="779">
        <v>1646030.6600000001</v>
      </c>
      <c r="F33" s="779">
        <v>5591672.6000000006</v>
      </c>
      <c r="G33" s="779">
        <v>4195844.6000000006</v>
      </c>
      <c r="H33" s="779">
        <v>4747563.33</v>
      </c>
      <c r="I33" s="779">
        <v>4098565.67</v>
      </c>
      <c r="J33" s="123">
        <v>3843168.3650242626</v>
      </c>
      <c r="K33" s="123">
        <v>3805125.9183895686</v>
      </c>
      <c r="L33" s="123">
        <v>4894527.117914536</v>
      </c>
      <c r="M33" s="123">
        <v>4533023.0958209466</v>
      </c>
      <c r="N33" s="123">
        <v>3647077.8894252698</v>
      </c>
      <c r="O33" s="123">
        <v>2292789.2263635383</v>
      </c>
      <c r="P33" s="284">
        <f t="shared" si="3"/>
        <v>48444810.552938133</v>
      </c>
      <c r="Q33" s="203"/>
      <c r="R33" s="768"/>
      <c r="S33" s="203"/>
    </row>
    <row r="34" spans="1:19">
      <c r="A34" s="322">
        <f t="shared" si="0"/>
        <v>23</v>
      </c>
      <c r="B34" s="393">
        <v>8050</v>
      </c>
      <c r="C34" s="203" t="s">
        <v>887</v>
      </c>
      <c r="D34" s="779">
        <v>31610.82</v>
      </c>
      <c r="E34" s="779">
        <v>-11.62</v>
      </c>
      <c r="F34" s="779">
        <v>-765.92</v>
      </c>
      <c r="G34" s="779">
        <v>-880.49</v>
      </c>
      <c r="H34" s="779">
        <v>-2487.39</v>
      </c>
      <c r="I34" s="779">
        <v>-1631.6</v>
      </c>
      <c r="J34" s="123">
        <v>-206.74098814949014</v>
      </c>
      <c r="K34" s="123">
        <v>-14.222396678388668</v>
      </c>
      <c r="L34" s="123">
        <v>-20.610106604216238</v>
      </c>
      <c r="M34" s="123">
        <v>0</v>
      </c>
      <c r="N34" s="123">
        <v>0</v>
      </c>
      <c r="O34" s="123">
        <v>-221.20715642082789</v>
      </c>
      <c r="P34" s="284">
        <f t="shared" si="3"/>
        <v>25371.019352147079</v>
      </c>
      <c r="Q34" s="203"/>
      <c r="R34" s="768"/>
      <c r="S34" s="203"/>
    </row>
    <row r="35" spans="1:19">
      <c r="A35" s="322">
        <f t="shared" si="0"/>
        <v>24</v>
      </c>
      <c r="B35" s="393">
        <v>8051</v>
      </c>
      <c r="C35" s="203" t="s">
        <v>888</v>
      </c>
      <c r="D35" s="779">
        <v>12663742.939999999</v>
      </c>
      <c r="E35" s="779">
        <v>4789926.13</v>
      </c>
      <c r="F35" s="779">
        <v>1691271.03</v>
      </c>
      <c r="G35" s="779">
        <v>1010733.82</v>
      </c>
      <c r="H35" s="779">
        <v>814974.36</v>
      </c>
      <c r="I35" s="779">
        <v>735807.38</v>
      </c>
      <c r="J35" s="123">
        <v>666727.55310394708</v>
      </c>
      <c r="K35" s="123">
        <v>864160.974106682</v>
      </c>
      <c r="L35" s="123">
        <v>2875147.9039577646</v>
      </c>
      <c r="M35" s="123">
        <v>6250587.2049782341</v>
      </c>
      <c r="N35" s="123">
        <v>7694660.3654929958</v>
      </c>
      <c r="O35" s="123">
        <v>8049972.4740340738</v>
      </c>
      <c r="P35" s="284">
        <f t="shared" si="3"/>
        <v>48107712.135673694</v>
      </c>
      <c r="Q35" s="203"/>
      <c r="R35" s="203"/>
      <c r="S35" s="203"/>
    </row>
    <row r="36" spans="1:19">
      <c r="A36" s="322">
        <f t="shared" si="0"/>
        <v>25</v>
      </c>
      <c r="B36" s="393">
        <v>8052</v>
      </c>
      <c r="C36" s="203" t="s">
        <v>889</v>
      </c>
      <c r="D36" s="779">
        <v>5498969.8499999996</v>
      </c>
      <c r="E36" s="779">
        <v>2291650.2599999998</v>
      </c>
      <c r="F36" s="779">
        <v>1026586.75</v>
      </c>
      <c r="G36" s="779">
        <v>770086.28</v>
      </c>
      <c r="H36" s="779">
        <v>725981.62</v>
      </c>
      <c r="I36" s="779">
        <v>687353.88</v>
      </c>
      <c r="J36" s="123">
        <v>704302.07850785134</v>
      </c>
      <c r="K36" s="123">
        <v>866862.05559797469</v>
      </c>
      <c r="L36" s="123">
        <v>1288479.2884725695</v>
      </c>
      <c r="M36" s="123">
        <v>2698180.2231114516</v>
      </c>
      <c r="N36" s="123">
        <v>3387764.019769303</v>
      </c>
      <c r="O36" s="123">
        <v>3554595.5251892554</v>
      </c>
      <c r="P36" s="284">
        <f t="shared" si="3"/>
        <v>23500811.830648404</v>
      </c>
      <c r="Q36" s="203"/>
      <c r="R36" s="203"/>
      <c r="S36" s="203"/>
    </row>
    <row r="37" spans="1:19">
      <c r="A37" s="322">
        <f t="shared" si="0"/>
        <v>26</v>
      </c>
      <c r="B37" s="393">
        <v>8053</v>
      </c>
      <c r="C37" s="203" t="s">
        <v>890</v>
      </c>
      <c r="D37" s="779">
        <v>1013091.73</v>
      </c>
      <c r="E37" s="779">
        <v>416471.71</v>
      </c>
      <c r="F37" s="779">
        <v>308587.78999999998</v>
      </c>
      <c r="G37" s="779">
        <v>278354.96999999997</v>
      </c>
      <c r="H37" s="779">
        <v>172149.93</v>
      </c>
      <c r="I37" s="779">
        <v>219343.32</v>
      </c>
      <c r="J37" s="123">
        <v>132738.87645052664</v>
      </c>
      <c r="K37" s="123">
        <v>182226.74813356285</v>
      </c>
      <c r="L37" s="123">
        <v>216172.4081882684</v>
      </c>
      <c r="M37" s="123">
        <v>409934.80745718448</v>
      </c>
      <c r="N37" s="123">
        <v>505366.74834123888</v>
      </c>
      <c r="O37" s="123">
        <v>522011.99170213938</v>
      </c>
      <c r="P37" s="284">
        <f t="shared" si="3"/>
        <v>4376451.0302729206</v>
      </c>
      <c r="Q37" s="203"/>
      <c r="R37" s="203"/>
      <c r="S37" s="203"/>
    </row>
    <row r="38" spans="1:19">
      <c r="A38" s="322">
        <f t="shared" si="0"/>
        <v>27</v>
      </c>
      <c r="B38" s="393">
        <v>8054</v>
      </c>
      <c r="C38" s="203" t="s">
        <v>891</v>
      </c>
      <c r="D38" s="779">
        <v>1193064.04</v>
      </c>
      <c r="E38" s="779">
        <v>500918.35</v>
      </c>
      <c r="F38" s="779">
        <v>259798.57</v>
      </c>
      <c r="G38" s="779">
        <v>158243.89000000001</v>
      </c>
      <c r="H38" s="779">
        <v>132851.9</v>
      </c>
      <c r="I38" s="779">
        <v>122285.33</v>
      </c>
      <c r="J38" s="123">
        <v>132093.98128825889</v>
      </c>
      <c r="K38" s="123">
        <v>158661.40528045557</v>
      </c>
      <c r="L38" s="123">
        <v>282861.75985433656</v>
      </c>
      <c r="M38" s="123">
        <v>589295.41432492703</v>
      </c>
      <c r="N38" s="123">
        <v>728249.21026278089</v>
      </c>
      <c r="O38" s="123">
        <v>778473.05475646944</v>
      </c>
      <c r="P38" s="284">
        <f t="shared" si="3"/>
        <v>5036796.9057672285</v>
      </c>
      <c r="Q38" s="203"/>
      <c r="S38" s="203"/>
    </row>
    <row r="39" spans="1:19">
      <c r="A39" s="322">
        <f t="shared" si="0"/>
        <v>28</v>
      </c>
      <c r="B39" s="393">
        <v>8058</v>
      </c>
      <c r="C39" s="203" t="s">
        <v>892</v>
      </c>
      <c r="D39" s="779">
        <v>-4070155.54</v>
      </c>
      <c r="E39" s="779">
        <v>-3421339.03</v>
      </c>
      <c r="F39" s="779">
        <v>-1284236.83</v>
      </c>
      <c r="G39" s="779">
        <v>-235913.03000000003</v>
      </c>
      <c r="H39" s="779">
        <v>-219303.78</v>
      </c>
      <c r="I39" s="779">
        <v>-2498.3800000000047</v>
      </c>
      <c r="J39" s="123">
        <v>-40349.239656918558</v>
      </c>
      <c r="K39" s="123">
        <v>618171.6511195323</v>
      </c>
      <c r="L39" s="123">
        <v>1967607.2338641433</v>
      </c>
      <c r="M39" s="123">
        <v>1326548.7236364048</v>
      </c>
      <c r="N39" s="123">
        <v>941835.42893156083</v>
      </c>
      <c r="O39" s="123">
        <v>440795.30319415504</v>
      </c>
      <c r="P39" s="284">
        <f t="shared" si="3"/>
        <v>-3978837.4889111212</v>
      </c>
      <c r="Q39" s="203"/>
      <c r="R39" s="203"/>
      <c r="S39" s="203"/>
    </row>
    <row r="40" spans="1:19">
      <c r="A40" s="322">
        <f t="shared" si="0"/>
        <v>29</v>
      </c>
      <c r="B40" s="393">
        <v>8059</v>
      </c>
      <c r="C40" s="203" t="s">
        <v>893</v>
      </c>
      <c r="D40" s="779">
        <v>-16484690.699999999</v>
      </c>
      <c r="E40" s="779">
        <v>-9889925.5700000003</v>
      </c>
      <c r="F40" s="779">
        <v>-4545617.1100000003</v>
      </c>
      <c r="G40" s="779">
        <v>-2829673.48</v>
      </c>
      <c r="H40" s="779">
        <v>-2925871.39</v>
      </c>
      <c r="I40" s="779">
        <v>-2689152.57</v>
      </c>
      <c r="J40" s="123">
        <v>-1800709.8889656393</v>
      </c>
      <c r="K40" s="123">
        <v>-1945995.1370026837</v>
      </c>
      <c r="L40" s="123">
        <v>-3179171.8288907134</v>
      </c>
      <c r="M40" s="123">
        <v>-8191662.1064706473</v>
      </c>
      <c r="N40" s="123">
        <v>-8356862.926323358</v>
      </c>
      <c r="O40" s="123">
        <v>-10752242.069183838</v>
      </c>
      <c r="P40" s="284">
        <f t="shared" si="3"/>
        <v>-73591574.776836872</v>
      </c>
      <c r="Q40" s="203"/>
      <c r="R40" s="203"/>
      <c r="S40" s="203"/>
    </row>
    <row r="41" spans="1:19">
      <c r="A41" s="322">
        <f t="shared" si="0"/>
        <v>30</v>
      </c>
      <c r="B41" s="393">
        <v>8060</v>
      </c>
      <c r="C41" s="203" t="s">
        <v>894</v>
      </c>
      <c r="D41" s="779">
        <v>1550074.37</v>
      </c>
      <c r="E41" s="779">
        <v>1665423.99</v>
      </c>
      <c r="F41" s="779">
        <v>-1053696.3600000001</v>
      </c>
      <c r="G41" s="779">
        <v>-987004.77</v>
      </c>
      <c r="H41" s="779">
        <v>-1232655.3600000001</v>
      </c>
      <c r="I41" s="779">
        <v>-797043.91</v>
      </c>
      <c r="J41" s="123">
        <v>-1135851.558477629</v>
      </c>
      <c r="K41" s="123">
        <v>-864040.40709471796</v>
      </c>
      <c r="L41" s="123">
        <v>-987736.02240566013</v>
      </c>
      <c r="M41" s="123">
        <v>649143.281704308</v>
      </c>
      <c r="N41" s="123">
        <v>713964.2378403981</v>
      </c>
      <c r="O41" s="123">
        <v>1847744.8045564189</v>
      </c>
      <c r="P41" s="284">
        <f t="shared" si="3"/>
        <v>-631677.70387688209</v>
      </c>
      <c r="Q41" s="203"/>
      <c r="R41" s="203"/>
      <c r="S41" s="203"/>
    </row>
    <row r="42" spans="1:19">
      <c r="A42" s="322">
        <f t="shared" si="0"/>
        <v>31</v>
      </c>
      <c r="B42" s="393">
        <v>8081</v>
      </c>
      <c r="C42" s="203" t="s">
        <v>895</v>
      </c>
      <c r="D42" s="779">
        <v>7184511.9900000002</v>
      </c>
      <c r="E42" s="779">
        <v>3885976.22</v>
      </c>
      <c r="F42" s="779">
        <v>2868.24</v>
      </c>
      <c r="G42" s="779">
        <v>0</v>
      </c>
      <c r="H42" s="779">
        <v>0</v>
      </c>
      <c r="I42" s="779">
        <v>3675.16</v>
      </c>
      <c r="J42" s="123">
        <v>0</v>
      </c>
      <c r="K42" s="123">
        <v>0</v>
      </c>
      <c r="L42" s="123">
        <v>7020.851446950589</v>
      </c>
      <c r="M42" s="123">
        <v>1366450.0332614491</v>
      </c>
      <c r="N42" s="123">
        <v>2506972.1407004483</v>
      </c>
      <c r="O42" s="123">
        <v>4613244.7086137692</v>
      </c>
      <c r="P42" s="284">
        <f t="shared" si="3"/>
        <v>19570719.344022617</v>
      </c>
      <c r="Q42" s="203"/>
      <c r="R42" s="203"/>
      <c r="S42" s="203"/>
    </row>
    <row r="43" spans="1:19">
      <c r="A43" s="322">
        <f t="shared" si="0"/>
        <v>32</v>
      </c>
      <c r="B43" s="393">
        <v>8082</v>
      </c>
      <c r="C43" s="203" t="s">
        <v>896</v>
      </c>
      <c r="D43" s="779">
        <v>-13313.93</v>
      </c>
      <c r="E43" s="779">
        <v>-19575.97</v>
      </c>
      <c r="F43" s="779">
        <v>-2019076.98</v>
      </c>
      <c r="G43" s="779">
        <v>-2027059.2</v>
      </c>
      <c r="H43" s="779">
        <v>-2178815.0499999998</v>
      </c>
      <c r="I43" s="779">
        <v>-2188764.84</v>
      </c>
      <c r="J43" s="123">
        <v>-1844394.7160758334</v>
      </c>
      <c r="K43" s="123">
        <v>-1859174.6115852841</v>
      </c>
      <c r="L43" s="123">
        <v>-1911809.4549901001</v>
      </c>
      <c r="M43" s="123">
        <v>-39571.199987311862</v>
      </c>
      <c r="N43" s="123">
        <v>-23111.416870989146</v>
      </c>
      <c r="O43" s="123">
        <v>-2702.2598891013427</v>
      </c>
      <c r="P43" s="284">
        <f t="shared" si="3"/>
        <v>-14127369.62939862</v>
      </c>
      <c r="Q43" s="963"/>
      <c r="S43" s="203"/>
    </row>
    <row r="44" spans="1:19">
      <c r="A44" s="322">
        <f t="shared" si="0"/>
        <v>33</v>
      </c>
      <c r="B44" s="393">
        <v>8120</v>
      </c>
      <c r="C44" s="203" t="s">
        <v>897</v>
      </c>
      <c r="D44" s="779">
        <v>-2015.9000000000015</v>
      </c>
      <c r="E44" s="779">
        <v>-1412.8099999999995</v>
      </c>
      <c r="F44" s="779">
        <v>-678.5</v>
      </c>
      <c r="G44" s="779">
        <v>1025.4499999999998</v>
      </c>
      <c r="H44" s="779">
        <v>142.77999999999997</v>
      </c>
      <c r="I44" s="779">
        <v>83.759999999999991</v>
      </c>
      <c r="J44" s="123">
        <v>187.71343755750141</v>
      </c>
      <c r="K44" s="123">
        <v>-390.76537576086406</v>
      </c>
      <c r="L44" s="123">
        <v>-695.1883551971805</v>
      </c>
      <c r="M44" s="123">
        <v>-1181.6515376327652</v>
      </c>
      <c r="N44" s="123">
        <v>-1047.4497443695257</v>
      </c>
      <c r="O44" s="123">
        <v>-3930.9824905920091</v>
      </c>
      <c r="P44" s="284">
        <f t="shared" si="3"/>
        <v>-9913.5440659948435</v>
      </c>
      <c r="Q44" s="203"/>
      <c r="R44" s="203"/>
      <c r="S44" s="203"/>
    </row>
    <row r="45" spans="1:19" s="1055" customFormat="1">
      <c r="A45" s="322">
        <f t="shared" si="0"/>
        <v>34</v>
      </c>
      <c r="B45" s="393">
        <v>8580</v>
      </c>
      <c r="C45" s="119" t="s">
        <v>1230</v>
      </c>
      <c r="D45" s="779">
        <v>2285987.29</v>
      </c>
      <c r="E45" s="779">
        <v>2394375.9200000004</v>
      </c>
      <c r="F45" s="779">
        <v>2018731.38</v>
      </c>
      <c r="G45" s="779">
        <v>1642981.22</v>
      </c>
      <c r="H45" s="779">
        <v>1586611.2600000002</v>
      </c>
      <c r="I45" s="779">
        <v>1568769.92</v>
      </c>
      <c r="J45" s="123">
        <v>931419.67058630218</v>
      </c>
      <c r="K45" s="123">
        <v>860171.64346726995</v>
      </c>
      <c r="L45" s="123">
        <v>1171884.5100152104</v>
      </c>
      <c r="M45" s="123">
        <v>1538127.9432099678</v>
      </c>
      <c r="N45" s="123">
        <v>1422041.5283008995</v>
      </c>
      <c r="O45" s="123">
        <v>1608157.0819724374</v>
      </c>
      <c r="P45" s="284">
        <f t="shared" si="3"/>
        <v>19029259.36755209</v>
      </c>
      <c r="Q45" s="768"/>
      <c r="R45" s="203"/>
      <c r="S45" s="203"/>
    </row>
    <row r="46" spans="1:19" ht="22.5" customHeight="1">
      <c r="A46" s="322">
        <f t="shared" si="0"/>
        <v>35</v>
      </c>
      <c r="B46" s="393">
        <v>8140</v>
      </c>
      <c r="C46" s="203" t="s">
        <v>898</v>
      </c>
      <c r="D46" s="779">
        <v>-284.99</v>
      </c>
      <c r="E46" s="779">
        <v>0</v>
      </c>
      <c r="F46" s="779">
        <v>0</v>
      </c>
      <c r="G46" s="779">
        <v>0</v>
      </c>
      <c r="H46" s="779">
        <v>0</v>
      </c>
      <c r="I46" s="779">
        <v>0</v>
      </c>
      <c r="J46" s="517">
        <v>22.330420019296159</v>
      </c>
      <c r="K46" s="517">
        <v>-6.1132019446031638</v>
      </c>
      <c r="L46" s="517">
        <v>-6.1132019446031638</v>
      </c>
      <c r="M46" s="517">
        <v>-6.1132019446031638</v>
      </c>
      <c r="N46" s="517">
        <v>-6.1132019446031638</v>
      </c>
      <c r="O46" s="517">
        <v>-6.1132019446031638</v>
      </c>
      <c r="P46" s="284">
        <f t="shared" si="3"/>
        <v>-293.22558970371978</v>
      </c>
      <c r="S46" s="203"/>
    </row>
    <row r="47" spans="1:19" ht="21.75" customHeight="1">
      <c r="A47" s="322">
        <f t="shared" si="0"/>
        <v>36</v>
      </c>
      <c r="B47" s="393">
        <v>8160</v>
      </c>
      <c r="C47" s="203" t="s">
        <v>899</v>
      </c>
      <c r="D47" s="779">
        <v>8712.2300000000014</v>
      </c>
      <c r="E47" s="779">
        <v>19621.62</v>
      </c>
      <c r="F47" s="779">
        <v>1888.71</v>
      </c>
      <c r="G47" s="779">
        <v>1878.57</v>
      </c>
      <c r="H47" s="779">
        <v>3796.64</v>
      </c>
      <c r="I47" s="779">
        <v>14701.06</v>
      </c>
      <c r="J47" s="517">
        <v>7593.7941276976335</v>
      </c>
      <c r="K47" s="517">
        <v>7526.715083818478</v>
      </c>
      <c r="L47" s="517">
        <v>7391.6658411395447</v>
      </c>
      <c r="M47" s="517">
        <v>7692.4149339293645</v>
      </c>
      <c r="N47" s="517">
        <v>7389.9760570054805</v>
      </c>
      <c r="O47" s="517">
        <v>7465.1026933774174</v>
      </c>
      <c r="P47" s="284">
        <f t="shared" si="3"/>
        <v>95658.498736967915</v>
      </c>
      <c r="Q47" s="203"/>
      <c r="R47" s="203"/>
      <c r="S47" s="203"/>
    </row>
    <row r="48" spans="1:19">
      <c r="A48" s="322">
        <f t="shared" si="0"/>
        <v>37</v>
      </c>
      <c r="B48" s="393">
        <v>8170</v>
      </c>
      <c r="C48" s="203" t="s">
        <v>905</v>
      </c>
      <c r="D48" s="779">
        <v>8336.66</v>
      </c>
      <c r="E48" s="779">
        <v>4065.4399999999996</v>
      </c>
      <c r="F48" s="779">
        <v>1563.6000000000001</v>
      </c>
      <c r="G48" s="779">
        <v>2088.5899999999997</v>
      </c>
      <c r="H48" s="779">
        <v>2578.9300000000003</v>
      </c>
      <c r="I48" s="779">
        <v>538.5</v>
      </c>
      <c r="J48" s="517">
        <v>3080.0985025229611</v>
      </c>
      <c r="K48" s="517">
        <v>2967.7301136235565</v>
      </c>
      <c r="L48" s="517">
        <v>2866.4260001525176</v>
      </c>
      <c r="M48" s="517">
        <v>3097.9505104991285</v>
      </c>
      <c r="N48" s="517">
        <v>2868.0780769795465</v>
      </c>
      <c r="O48" s="517">
        <v>2935.2038411403068</v>
      </c>
      <c r="P48" s="284">
        <f t="shared" si="3"/>
        <v>36987.207044918017</v>
      </c>
      <c r="Q48" s="203"/>
      <c r="R48" s="203"/>
      <c r="S48" s="203"/>
    </row>
    <row r="49" spans="1:22">
      <c r="A49" s="322">
        <f t="shared" si="0"/>
        <v>38</v>
      </c>
      <c r="B49" s="393">
        <v>8180</v>
      </c>
      <c r="C49" s="203" t="s">
        <v>906</v>
      </c>
      <c r="D49" s="779">
        <v>2110.71</v>
      </c>
      <c r="E49" s="779">
        <v>4870.84</v>
      </c>
      <c r="F49" s="779">
        <v>3731.9700000000003</v>
      </c>
      <c r="G49" s="779">
        <v>-260.41000000000003</v>
      </c>
      <c r="H49" s="779">
        <v>2552.6400000000003</v>
      </c>
      <c r="I49" s="779">
        <v>1489.79</v>
      </c>
      <c r="J49" s="517">
        <v>2180.7374395101324</v>
      </c>
      <c r="K49" s="517">
        <v>2106.6073012938728</v>
      </c>
      <c r="L49" s="517">
        <v>2057.4622556698146</v>
      </c>
      <c r="M49" s="517">
        <v>2208.6090535181556</v>
      </c>
      <c r="N49" s="517">
        <v>2054.9054886632402</v>
      </c>
      <c r="O49" s="517">
        <v>2184.0480395362933</v>
      </c>
      <c r="P49" s="284">
        <f t="shared" si="3"/>
        <v>27287.909578191509</v>
      </c>
      <c r="Q49" s="203"/>
      <c r="R49" s="203"/>
      <c r="S49" s="203"/>
    </row>
    <row r="50" spans="1:22" ht="15.75">
      <c r="A50" s="322">
        <f t="shared" si="0"/>
        <v>39</v>
      </c>
      <c r="B50" s="393">
        <v>8190</v>
      </c>
      <c r="C50" s="203" t="s">
        <v>907</v>
      </c>
      <c r="D50" s="779">
        <v>88.48</v>
      </c>
      <c r="E50" s="779">
        <v>80.42</v>
      </c>
      <c r="F50" s="779">
        <v>77.91</v>
      </c>
      <c r="G50" s="779">
        <v>3.04</v>
      </c>
      <c r="H50" s="779">
        <v>82.04</v>
      </c>
      <c r="I50" s="779">
        <v>82.83</v>
      </c>
      <c r="J50" s="517">
        <v>59.600108295014302</v>
      </c>
      <c r="K50" s="517">
        <v>57.353516188728236</v>
      </c>
      <c r="L50" s="517">
        <v>56.318726135819681</v>
      </c>
      <c r="M50" s="517">
        <v>60.176679992193883</v>
      </c>
      <c r="N50" s="517">
        <v>58.351305405418366</v>
      </c>
      <c r="O50" s="517">
        <v>60.272882166361782</v>
      </c>
      <c r="P50" s="284">
        <f t="shared" si="3"/>
        <v>766.79321818353617</v>
      </c>
      <c r="Q50" s="203"/>
      <c r="R50" s="769"/>
      <c r="S50" s="129"/>
    </row>
    <row r="51" spans="1:22" ht="15.75">
      <c r="A51" s="322">
        <f t="shared" si="0"/>
        <v>40</v>
      </c>
      <c r="B51" s="393">
        <v>8200</v>
      </c>
      <c r="C51" s="203" t="s">
        <v>908</v>
      </c>
      <c r="D51" s="779">
        <v>925.36</v>
      </c>
      <c r="E51" s="779">
        <v>375.88</v>
      </c>
      <c r="F51" s="779">
        <v>-50.620000000000005</v>
      </c>
      <c r="G51" s="779">
        <v>94.17</v>
      </c>
      <c r="H51" s="779">
        <v>94.56</v>
      </c>
      <c r="I51" s="779">
        <v>86.6</v>
      </c>
      <c r="J51" s="517">
        <v>234.21755634862498</v>
      </c>
      <c r="K51" s="517">
        <v>225.47507267761188</v>
      </c>
      <c r="L51" s="517">
        <v>219.15234415944957</v>
      </c>
      <c r="M51" s="517">
        <v>235.65656944169558</v>
      </c>
      <c r="N51" s="517">
        <v>223.5380338624002</v>
      </c>
      <c r="O51" s="517">
        <v>227.68421381215569</v>
      </c>
      <c r="P51" s="284">
        <f t="shared" si="3"/>
        <v>2891.6737903019375</v>
      </c>
      <c r="Q51" s="203"/>
      <c r="R51" s="815"/>
      <c r="S51" s="816"/>
    </row>
    <row r="52" spans="1:22">
      <c r="A52" s="322">
        <f t="shared" si="0"/>
        <v>41</v>
      </c>
      <c r="B52" s="393">
        <v>8210</v>
      </c>
      <c r="C52" s="203" t="s">
        <v>909</v>
      </c>
      <c r="D52" s="779">
        <v>12439.340000000002</v>
      </c>
      <c r="E52" s="779">
        <v>-1434.7399999999998</v>
      </c>
      <c r="F52" s="779">
        <v>-238.72</v>
      </c>
      <c r="G52" s="779">
        <v>459.40999999999997</v>
      </c>
      <c r="H52" s="779">
        <v>425.49</v>
      </c>
      <c r="I52" s="779">
        <v>14630.41</v>
      </c>
      <c r="J52" s="517">
        <v>3831.2966154324054</v>
      </c>
      <c r="K52" s="517">
        <v>3792.4032994337135</v>
      </c>
      <c r="L52" s="517">
        <v>3742.2908847945664</v>
      </c>
      <c r="M52" s="517">
        <v>3871.4299463369716</v>
      </c>
      <c r="N52" s="517">
        <v>3746.6282790941887</v>
      </c>
      <c r="O52" s="517">
        <v>3811.3027844055759</v>
      </c>
      <c r="P52" s="284">
        <f t="shared" si="3"/>
        <v>49076.54180949743</v>
      </c>
      <c r="Q52" s="203"/>
      <c r="R52" s="285"/>
      <c r="S52" s="203"/>
    </row>
    <row r="53" spans="1:22">
      <c r="A53" s="322">
        <f t="shared" si="0"/>
        <v>42</v>
      </c>
      <c r="B53" s="393">
        <v>8240</v>
      </c>
      <c r="C53" s="203" t="s">
        <v>910</v>
      </c>
      <c r="D53" s="779">
        <v>651.09</v>
      </c>
      <c r="E53" s="779">
        <v>30.549999999999997</v>
      </c>
      <c r="F53" s="779">
        <v>25.48</v>
      </c>
      <c r="G53" s="779">
        <v>52.61</v>
      </c>
      <c r="H53" s="779">
        <v>20.02</v>
      </c>
      <c r="I53" s="779">
        <v>0</v>
      </c>
      <c r="J53" s="517">
        <v>102.26398890354869</v>
      </c>
      <c r="K53" s="517">
        <v>98.757307539375049</v>
      </c>
      <c r="L53" s="517">
        <v>98.746649160319009</v>
      </c>
      <c r="M53" s="517">
        <v>105.11658916523702</v>
      </c>
      <c r="N53" s="517">
        <v>99.159453310784343</v>
      </c>
      <c r="O53" s="517">
        <v>113.83917920073242</v>
      </c>
      <c r="P53" s="284">
        <f t="shared" si="3"/>
        <v>1397.6331672799963</v>
      </c>
      <c r="Q53" s="203"/>
      <c r="R53" s="285"/>
      <c r="S53" s="203"/>
    </row>
    <row r="54" spans="1:22">
      <c r="A54" s="322">
        <f t="shared" si="0"/>
        <v>43</v>
      </c>
      <c r="B54" s="393">
        <v>8250</v>
      </c>
      <c r="C54" s="203" t="s">
        <v>922</v>
      </c>
      <c r="D54" s="779">
        <v>2468.6699999999996</v>
      </c>
      <c r="E54" s="779">
        <v>1059.6300000000001</v>
      </c>
      <c r="F54" s="779">
        <v>354.31000000000006</v>
      </c>
      <c r="G54" s="779">
        <v>698.02000000000021</v>
      </c>
      <c r="H54" s="779">
        <v>133.5</v>
      </c>
      <c r="I54" s="779">
        <v>113.09</v>
      </c>
      <c r="J54" s="517">
        <v>669.43689079989656</v>
      </c>
      <c r="K54" s="517">
        <v>606.70017879029103</v>
      </c>
      <c r="L54" s="517">
        <v>595.95554885724027</v>
      </c>
      <c r="M54" s="517">
        <v>636.01419299381087</v>
      </c>
      <c r="N54" s="517">
        <v>617.06061456602174</v>
      </c>
      <c r="O54" s="517">
        <v>637.01309780284305</v>
      </c>
      <c r="P54" s="284">
        <f t="shared" si="3"/>
        <v>8589.4005238101036</v>
      </c>
      <c r="Q54" s="203"/>
      <c r="R54" s="203"/>
      <c r="S54" s="203"/>
    </row>
    <row r="55" spans="1:22">
      <c r="A55" s="322">
        <f t="shared" si="0"/>
        <v>44</v>
      </c>
      <c r="B55" s="393">
        <v>8310</v>
      </c>
      <c r="C55" s="203" t="s">
        <v>923</v>
      </c>
      <c r="D55" s="779">
        <v>600</v>
      </c>
      <c r="E55" s="779">
        <v>0</v>
      </c>
      <c r="F55" s="779">
        <v>750</v>
      </c>
      <c r="G55" s="779">
        <v>0</v>
      </c>
      <c r="H55" s="779">
        <v>300</v>
      </c>
      <c r="I55" s="779">
        <v>600</v>
      </c>
      <c r="J55" s="517">
        <v>311.00629377663699</v>
      </c>
      <c r="K55" s="517">
        <v>314.79626845355949</v>
      </c>
      <c r="L55" s="517">
        <v>314.79626845355949</v>
      </c>
      <c r="M55" s="517">
        <v>314.79626845355949</v>
      </c>
      <c r="N55" s="517">
        <v>314.79626845355949</v>
      </c>
      <c r="O55" s="517">
        <v>314.79626845355949</v>
      </c>
      <c r="P55" s="284">
        <f t="shared" si="3"/>
        <v>4134.987636044435</v>
      </c>
      <c r="Q55" s="203"/>
      <c r="R55" s="285"/>
      <c r="S55" s="203"/>
    </row>
    <row r="56" spans="1:22">
      <c r="A56" s="322">
        <f t="shared" si="0"/>
        <v>45</v>
      </c>
      <c r="B56" s="393">
        <v>8340</v>
      </c>
      <c r="C56" s="203" t="s">
        <v>924</v>
      </c>
      <c r="D56" s="779">
        <v>17.850000000000023</v>
      </c>
      <c r="E56" s="779">
        <v>654.18000000000006</v>
      </c>
      <c r="F56" s="779">
        <v>758.91</v>
      </c>
      <c r="G56" s="779">
        <v>512.27</v>
      </c>
      <c r="H56" s="779">
        <v>-132.81</v>
      </c>
      <c r="I56" s="779">
        <v>0</v>
      </c>
      <c r="J56" s="517">
        <v>250.59512338466823</v>
      </c>
      <c r="K56" s="517">
        <v>241.95126671779744</v>
      </c>
      <c r="L56" s="517">
        <v>239.65025787046426</v>
      </c>
      <c r="M56" s="517">
        <v>256.34838215155514</v>
      </c>
      <c r="N56" s="517">
        <v>238.98339314228315</v>
      </c>
      <c r="O56" s="517">
        <v>268.63173871102919</v>
      </c>
      <c r="P56" s="284">
        <f t="shared" si="3"/>
        <v>3306.5601619777976</v>
      </c>
      <c r="Q56" s="203"/>
      <c r="R56" s="285"/>
      <c r="S56" s="203"/>
    </row>
    <row r="57" spans="1:22">
      <c r="A57" s="322">
        <f t="shared" si="0"/>
        <v>46</v>
      </c>
      <c r="B57" s="393">
        <v>8350</v>
      </c>
      <c r="C57" s="203" t="s">
        <v>925</v>
      </c>
      <c r="D57" s="779">
        <v>1062.48</v>
      </c>
      <c r="E57" s="779">
        <v>-398.43</v>
      </c>
      <c r="F57" s="779">
        <v>0</v>
      </c>
      <c r="G57" s="779">
        <v>536.30999999999995</v>
      </c>
      <c r="H57" s="779">
        <v>-132.81</v>
      </c>
      <c r="I57" s="779">
        <v>173.45</v>
      </c>
      <c r="J57" s="517">
        <v>206.74459526628411</v>
      </c>
      <c r="K57" s="517">
        <v>199.1309755419453</v>
      </c>
      <c r="L57" s="517">
        <v>191.25805437137038</v>
      </c>
      <c r="M57" s="517">
        <v>207.22127434187294</v>
      </c>
      <c r="N57" s="517">
        <v>191.24607022815246</v>
      </c>
      <c r="O57" s="517">
        <v>191.77887696459405</v>
      </c>
      <c r="P57" s="284">
        <f t="shared" si="3"/>
        <v>2428.3798467142192</v>
      </c>
      <c r="Q57" s="203"/>
      <c r="R57" s="285"/>
      <c r="S57" s="203"/>
    </row>
    <row r="58" spans="1:22">
      <c r="A58" s="322">
        <f t="shared" si="0"/>
        <v>47</v>
      </c>
      <c r="B58" s="393">
        <v>8360</v>
      </c>
      <c r="C58" s="203" t="s">
        <v>926</v>
      </c>
      <c r="D58" s="779">
        <v>0</v>
      </c>
      <c r="E58" s="779">
        <v>0</v>
      </c>
      <c r="F58" s="779">
        <v>147.57</v>
      </c>
      <c r="G58" s="779">
        <v>-21.08</v>
      </c>
      <c r="H58" s="779">
        <v>0</v>
      </c>
      <c r="I58" s="779">
        <v>0</v>
      </c>
      <c r="J58" s="517">
        <v>21.168569958337894</v>
      </c>
      <c r="K58" s="517">
        <v>20.387912110986417</v>
      </c>
      <c r="L58" s="517">
        <v>19.568182237875604</v>
      </c>
      <c r="M58" s="517">
        <v>21.207641984097229</v>
      </c>
      <c r="N58" s="517">
        <v>19.568182237875604</v>
      </c>
      <c r="O58" s="517">
        <v>19.568182237875604</v>
      </c>
      <c r="P58" s="284">
        <f t="shared" si="3"/>
        <v>247.95867076704832</v>
      </c>
      <c r="Q58" s="203"/>
      <c r="R58" s="285"/>
      <c r="S58" s="203"/>
    </row>
    <row r="59" spans="1:22" s="1050" customFormat="1">
      <c r="A59" s="322">
        <f t="shared" si="0"/>
        <v>48</v>
      </c>
      <c r="B59" s="1052">
        <v>8370</v>
      </c>
      <c r="C59" s="107" t="s">
        <v>1386</v>
      </c>
      <c r="D59" s="779"/>
      <c r="E59" s="779"/>
      <c r="F59" s="779"/>
      <c r="G59" s="779"/>
      <c r="H59" s="779"/>
      <c r="I59" s="779"/>
      <c r="J59" s="517">
        <v>0</v>
      </c>
      <c r="K59" s="517">
        <v>0</v>
      </c>
      <c r="L59" s="517">
        <v>0</v>
      </c>
      <c r="M59" s="517">
        <v>0</v>
      </c>
      <c r="N59" s="517">
        <v>0</v>
      </c>
      <c r="O59" s="517">
        <v>0</v>
      </c>
      <c r="P59" s="284">
        <f t="shared" si="3"/>
        <v>0</v>
      </c>
      <c r="Q59" s="203"/>
      <c r="R59" s="285"/>
      <c r="S59" s="203"/>
    </row>
    <row r="60" spans="1:22">
      <c r="A60" s="322">
        <f t="shared" si="0"/>
        <v>49</v>
      </c>
      <c r="B60" s="393">
        <v>8410</v>
      </c>
      <c r="C60" s="284" t="s">
        <v>193</v>
      </c>
      <c r="D60" s="779">
        <v>3408.6099999999997</v>
      </c>
      <c r="E60" s="779">
        <v>13509.07</v>
      </c>
      <c r="F60" s="779">
        <v>9210.5400000000009</v>
      </c>
      <c r="G60" s="779">
        <v>14340.630000000001</v>
      </c>
      <c r="H60" s="779">
        <v>14108.560000000001</v>
      </c>
      <c r="I60" s="779">
        <v>11974.95</v>
      </c>
      <c r="J60" s="517">
        <v>11021.92956362139</v>
      </c>
      <c r="K60" s="517">
        <v>10660.712774224654</v>
      </c>
      <c r="L60" s="517">
        <v>10209.758126880011</v>
      </c>
      <c r="M60" s="517">
        <v>11065.228844231928</v>
      </c>
      <c r="N60" s="517">
        <v>10206.681045665788</v>
      </c>
      <c r="O60" s="517">
        <v>10211.565679906162</v>
      </c>
      <c r="P60" s="284">
        <f t="shared" si="3"/>
        <v>129928.23603452992</v>
      </c>
      <c r="Q60" s="203"/>
      <c r="R60" s="203"/>
      <c r="S60" s="203"/>
    </row>
    <row r="61" spans="1:22" s="1051" customFormat="1">
      <c r="A61" s="322">
        <f t="shared" si="0"/>
        <v>50</v>
      </c>
      <c r="B61" s="1054">
        <v>8520</v>
      </c>
      <c r="C61" s="107" t="s">
        <v>1387</v>
      </c>
      <c r="D61" s="779"/>
      <c r="E61" s="779"/>
      <c r="F61" s="779"/>
      <c r="G61" s="779"/>
      <c r="H61" s="779"/>
      <c r="I61" s="779"/>
      <c r="J61" s="517">
        <v>0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284">
        <f t="shared" si="3"/>
        <v>0</v>
      </c>
      <c r="Q61" s="203"/>
      <c r="R61" s="203"/>
      <c r="S61" s="203"/>
      <c r="U61" s="915"/>
      <c r="V61" s="106"/>
    </row>
    <row r="62" spans="1:22" s="1055" customFormat="1">
      <c r="A62" s="322">
        <f t="shared" si="0"/>
        <v>51</v>
      </c>
      <c r="B62" s="1058">
        <v>8550</v>
      </c>
      <c r="C62" s="107" t="s">
        <v>1463</v>
      </c>
      <c r="D62" s="779">
        <v>0</v>
      </c>
      <c r="E62" s="779">
        <v>0</v>
      </c>
      <c r="F62" s="779">
        <v>0</v>
      </c>
      <c r="G62" s="779">
        <v>0</v>
      </c>
      <c r="H62" s="779">
        <v>0</v>
      </c>
      <c r="I62" s="779">
        <v>29.91</v>
      </c>
      <c r="J62" s="517">
        <v>4.2984163751540265</v>
      </c>
      <c r="K62" s="517">
        <v>4.1363900202663526</v>
      </c>
      <c r="L62" s="517">
        <v>4.0617599795581762</v>
      </c>
      <c r="M62" s="517">
        <v>4.3399992731638681</v>
      </c>
      <c r="N62" s="517">
        <v>4.2083515255499222</v>
      </c>
      <c r="O62" s="517">
        <v>4.3469374652678461</v>
      </c>
      <c r="P62" s="284">
        <f t="shared" si="3"/>
        <v>55.301854638960194</v>
      </c>
      <c r="Q62" s="203"/>
      <c r="R62" s="203"/>
      <c r="S62" s="203"/>
      <c r="U62" s="915"/>
      <c r="V62" s="106"/>
    </row>
    <row r="63" spans="1:22">
      <c r="A63" s="322">
        <f t="shared" si="0"/>
        <v>52</v>
      </c>
      <c r="B63" s="393">
        <v>8560</v>
      </c>
      <c r="C63" s="284" t="s">
        <v>928</v>
      </c>
      <c r="D63" s="779">
        <v>24144.68</v>
      </c>
      <c r="E63" s="779">
        <v>43383.79</v>
      </c>
      <c r="F63" s="779">
        <v>11396.799999999997</v>
      </c>
      <c r="G63" s="779">
        <v>26439.250000000004</v>
      </c>
      <c r="H63" s="779">
        <v>16253.01</v>
      </c>
      <c r="I63" s="779">
        <v>44203.270000000011</v>
      </c>
      <c r="J63" s="517">
        <v>25706.086727191854</v>
      </c>
      <c r="K63" s="517">
        <v>25311.45461596291</v>
      </c>
      <c r="L63" s="517">
        <v>24653.032091058922</v>
      </c>
      <c r="M63" s="517">
        <v>25712.425140535757</v>
      </c>
      <c r="N63" s="517">
        <v>24645.41235729344</v>
      </c>
      <c r="O63" s="517">
        <v>24807.767318910639</v>
      </c>
      <c r="P63" s="284">
        <f t="shared" si="3"/>
        <v>316656.97825095349</v>
      </c>
      <c r="Q63" s="203"/>
      <c r="R63" s="285"/>
      <c r="S63" s="203"/>
    </row>
    <row r="64" spans="1:22">
      <c r="A64" s="322">
        <f t="shared" si="0"/>
        <v>53</v>
      </c>
      <c r="B64" s="393">
        <v>8570</v>
      </c>
      <c r="C64" s="284" t="s">
        <v>929</v>
      </c>
      <c r="D64" s="779">
        <v>7494.5</v>
      </c>
      <c r="E64" s="779">
        <v>543.74</v>
      </c>
      <c r="F64" s="779">
        <v>3496.8999999999996</v>
      </c>
      <c r="G64" s="779">
        <v>4550.3700000000008</v>
      </c>
      <c r="H64" s="779">
        <v>1846.6399999999999</v>
      </c>
      <c r="I64" s="779">
        <v>90.190000000000055</v>
      </c>
      <c r="J64" s="517">
        <v>2843.0817638438634</v>
      </c>
      <c r="K64" s="517">
        <v>2738.7385426229475</v>
      </c>
      <c r="L64" s="517">
        <v>2652.0659513510691</v>
      </c>
      <c r="M64" s="517">
        <v>2861.0098690609793</v>
      </c>
      <c r="N64" s="517">
        <v>2669.6161072468722</v>
      </c>
      <c r="O64" s="517">
        <v>2734.3306191778629</v>
      </c>
      <c r="P64" s="284">
        <f t="shared" si="3"/>
        <v>34521.182853303595</v>
      </c>
      <c r="Q64" s="203"/>
      <c r="R64" s="203"/>
      <c r="S64" s="203"/>
    </row>
    <row r="65" spans="1:19">
      <c r="A65" s="322">
        <f t="shared" si="0"/>
        <v>54</v>
      </c>
      <c r="B65" s="393">
        <v>8630</v>
      </c>
      <c r="C65" s="284" t="s">
        <v>930</v>
      </c>
      <c r="D65" s="779">
        <v>0</v>
      </c>
      <c r="E65" s="779">
        <v>215.03</v>
      </c>
      <c r="F65" s="779">
        <v>897.19999999999993</v>
      </c>
      <c r="G65" s="779">
        <v>-140.82</v>
      </c>
      <c r="H65" s="779">
        <v>1240.4100000000001</v>
      </c>
      <c r="I65" s="779">
        <v>804.21</v>
      </c>
      <c r="J65" s="517">
        <v>504.74379042964534</v>
      </c>
      <c r="K65" s="517">
        <v>486.12976965845797</v>
      </c>
      <c r="L65" s="517">
        <v>466.58411475136342</v>
      </c>
      <c r="M65" s="517">
        <v>505.6754245655527</v>
      </c>
      <c r="N65" s="517">
        <v>466.58411475136342</v>
      </c>
      <c r="O65" s="517">
        <v>466.58411475136342</v>
      </c>
      <c r="P65" s="284">
        <f t="shared" ref="P65:P66" si="6">SUM(D65:O65)</f>
        <v>5912.3313289077478</v>
      </c>
      <c r="Q65" s="203"/>
      <c r="R65" s="285"/>
      <c r="S65" s="203"/>
    </row>
    <row r="66" spans="1:19" s="1053" customFormat="1">
      <c r="A66" s="322">
        <f t="shared" si="0"/>
        <v>55</v>
      </c>
      <c r="B66" s="1056">
        <v>8640</v>
      </c>
      <c r="C66" s="107" t="s">
        <v>1388</v>
      </c>
      <c r="D66" s="779"/>
      <c r="E66" s="779"/>
      <c r="F66" s="779"/>
      <c r="G66" s="779"/>
      <c r="H66" s="779"/>
      <c r="I66" s="779"/>
      <c r="J66" s="517">
        <v>0</v>
      </c>
      <c r="K66" s="517">
        <v>0</v>
      </c>
      <c r="L66" s="517">
        <v>0</v>
      </c>
      <c r="M66" s="517">
        <v>0</v>
      </c>
      <c r="N66" s="517">
        <v>0</v>
      </c>
      <c r="O66" s="517">
        <v>0</v>
      </c>
      <c r="P66" s="284">
        <f t="shared" si="6"/>
        <v>0</v>
      </c>
      <c r="Q66" s="203"/>
      <c r="R66" s="285"/>
      <c r="S66" s="203"/>
    </row>
    <row r="67" spans="1:19">
      <c r="A67" s="322">
        <f t="shared" si="0"/>
        <v>56</v>
      </c>
      <c r="B67" s="393">
        <v>8650</v>
      </c>
      <c r="C67" s="284" t="s">
        <v>931</v>
      </c>
      <c r="D67" s="779">
        <v>0</v>
      </c>
      <c r="E67" s="779">
        <v>0</v>
      </c>
      <c r="F67" s="779">
        <v>2862.96</v>
      </c>
      <c r="G67" s="779">
        <v>279.2</v>
      </c>
      <c r="H67" s="779">
        <v>-177.08</v>
      </c>
      <c r="I67" s="779">
        <v>0</v>
      </c>
      <c r="J67" s="517">
        <v>495.17547036250448</v>
      </c>
      <c r="K67" s="517">
        <v>476.96052625239395</v>
      </c>
      <c r="L67" s="517">
        <v>457.92717579554756</v>
      </c>
      <c r="M67" s="517">
        <v>496.13496245102692</v>
      </c>
      <c r="N67" s="517">
        <v>457.90518786193695</v>
      </c>
      <c r="O67" s="517">
        <v>458.52761459391206</v>
      </c>
      <c r="P67" s="284">
        <f t="shared" ref="P67:P105" si="7">SUM(D67:O67)</f>
        <v>5807.7109373173216</v>
      </c>
      <c r="Q67" s="203"/>
      <c r="R67" s="203"/>
      <c r="S67" s="203"/>
    </row>
    <row r="68" spans="1:19">
      <c r="A68" s="322">
        <f t="shared" si="0"/>
        <v>57</v>
      </c>
      <c r="B68" s="393">
        <v>8700</v>
      </c>
      <c r="C68" s="284" t="s">
        <v>932</v>
      </c>
      <c r="D68" s="779">
        <v>108924.19999999965</v>
      </c>
      <c r="E68" s="779">
        <v>123894.28000000009</v>
      </c>
      <c r="F68" s="779">
        <v>87335.919999999882</v>
      </c>
      <c r="G68" s="779">
        <v>96211.379999999917</v>
      </c>
      <c r="H68" s="779">
        <v>106036.00999999997</v>
      </c>
      <c r="I68" s="779">
        <v>139540.11999999976</v>
      </c>
      <c r="J68" s="517">
        <v>85750.309745869235</v>
      </c>
      <c r="K68" s="517">
        <v>90006.878738886371</v>
      </c>
      <c r="L68" s="517">
        <v>85219.957839945011</v>
      </c>
      <c r="M68" s="517">
        <v>89919.563668060888</v>
      </c>
      <c r="N68" s="517">
        <v>85932.185833541313</v>
      </c>
      <c r="O68" s="517">
        <v>85018.651079679286</v>
      </c>
      <c r="P68" s="284">
        <f t="shared" si="7"/>
        <v>1183789.4569059813</v>
      </c>
      <c r="Q68" s="203"/>
      <c r="R68" s="285"/>
      <c r="S68" s="203"/>
    </row>
    <row r="69" spans="1:19">
      <c r="A69" s="322">
        <f t="shared" si="0"/>
        <v>58</v>
      </c>
      <c r="B69" s="393">
        <v>8710</v>
      </c>
      <c r="C69" s="284" t="s">
        <v>933</v>
      </c>
      <c r="D69" s="779">
        <v>911.53</v>
      </c>
      <c r="E69" s="779">
        <v>19.5</v>
      </c>
      <c r="F69" s="779">
        <v>21.6</v>
      </c>
      <c r="G69" s="779">
        <v>41.290000000000006</v>
      </c>
      <c r="H69" s="779">
        <v>41.41</v>
      </c>
      <c r="I69" s="779">
        <v>21.52</v>
      </c>
      <c r="J69" s="517">
        <v>151.88168993920203</v>
      </c>
      <c r="K69" s="517">
        <v>146.15659621927432</v>
      </c>
      <c r="L69" s="517">
        <v>143.51959325964756</v>
      </c>
      <c r="M69" s="517">
        <v>153.35099404357183</v>
      </c>
      <c r="N69" s="517">
        <v>148.69930825066649</v>
      </c>
      <c r="O69" s="517">
        <v>153.59615045698172</v>
      </c>
      <c r="P69" s="284">
        <f t="shared" si="7"/>
        <v>1954.0543321693435</v>
      </c>
      <c r="Q69" s="203"/>
      <c r="R69" s="285"/>
      <c r="S69" s="203"/>
    </row>
    <row r="70" spans="1:19">
      <c r="A70" s="322">
        <f t="shared" si="0"/>
        <v>59</v>
      </c>
      <c r="B70" s="393">
        <v>8711</v>
      </c>
      <c r="C70" s="130" t="s">
        <v>194</v>
      </c>
      <c r="D70" s="779">
        <v>0</v>
      </c>
      <c r="E70" s="779">
        <v>0</v>
      </c>
      <c r="F70" s="779">
        <v>0</v>
      </c>
      <c r="G70" s="779">
        <v>5985.9</v>
      </c>
      <c r="H70" s="779">
        <v>0</v>
      </c>
      <c r="I70" s="779">
        <v>0</v>
      </c>
      <c r="J70" s="517">
        <v>767.36853343164273</v>
      </c>
      <c r="K70" s="517">
        <v>741.74361145870284</v>
      </c>
      <c r="L70" s="517">
        <v>745.15439402452182</v>
      </c>
      <c r="M70" s="517">
        <v>792.45931606185661</v>
      </c>
      <c r="N70" s="517">
        <v>742.17037227376738</v>
      </c>
      <c r="O70" s="517">
        <v>874.83791984721836</v>
      </c>
      <c r="P70" s="284">
        <f t="shared" ref="P70:P71" si="8">SUM(D70:O70)</f>
        <v>10649.634147097708</v>
      </c>
      <c r="Q70" s="203"/>
      <c r="R70" s="285"/>
      <c r="S70" s="203"/>
    </row>
    <row r="71" spans="1:19" s="1055" customFormat="1">
      <c r="A71" s="322">
        <f t="shared" si="0"/>
        <v>60</v>
      </c>
      <c r="B71" s="1058">
        <v>8720</v>
      </c>
      <c r="C71" s="130" t="s">
        <v>1389</v>
      </c>
      <c r="D71" s="779"/>
      <c r="E71" s="779"/>
      <c r="F71" s="779"/>
      <c r="G71" s="779"/>
      <c r="H71" s="779"/>
      <c r="I71" s="779"/>
      <c r="J71" s="517">
        <v>0</v>
      </c>
      <c r="K71" s="517">
        <v>0</v>
      </c>
      <c r="L71" s="517">
        <v>0</v>
      </c>
      <c r="M71" s="517">
        <v>0</v>
      </c>
      <c r="N71" s="517">
        <v>0</v>
      </c>
      <c r="O71" s="517">
        <v>0</v>
      </c>
      <c r="P71" s="284">
        <f t="shared" si="8"/>
        <v>0</v>
      </c>
      <c r="Q71" s="203"/>
      <c r="R71" s="285"/>
      <c r="S71" s="203"/>
    </row>
    <row r="72" spans="1:19">
      <c r="A72" s="322">
        <f t="shared" si="0"/>
        <v>61</v>
      </c>
      <c r="B72" s="393">
        <v>8740</v>
      </c>
      <c r="C72" s="203" t="s">
        <v>934</v>
      </c>
      <c r="D72" s="779">
        <v>337866.07</v>
      </c>
      <c r="E72" s="779">
        <v>322093.16000000003</v>
      </c>
      <c r="F72" s="779">
        <v>299562.99000000011</v>
      </c>
      <c r="G72" s="779">
        <v>331434.98000000004</v>
      </c>
      <c r="H72" s="779">
        <v>348644.54999999987</v>
      </c>
      <c r="I72" s="779">
        <v>297225.92</v>
      </c>
      <c r="J72" s="517">
        <v>307262.12748637539</v>
      </c>
      <c r="K72" s="517">
        <v>302016.25862799911</v>
      </c>
      <c r="L72" s="517">
        <v>291363.05767837632</v>
      </c>
      <c r="M72" s="517">
        <v>303289.01788535865</v>
      </c>
      <c r="N72" s="517">
        <v>290794.34288298659</v>
      </c>
      <c r="O72" s="517">
        <v>292439.46788492642</v>
      </c>
      <c r="P72" s="284">
        <f t="shared" si="7"/>
        <v>3723991.9424460223</v>
      </c>
      <c r="Q72" s="203"/>
      <c r="R72" s="285"/>
      <c r="S72" s="203"/>
    </row>
    <row r="73" spans="1:19">
      <c r="A73" s="322">
        <f t="shared" si="0"/>
        <v>62</v>
      </c>
      <c r="B73" s="393">
        <v>8750</v>
      </c>
      <c r="C73" s="203" t="s">
        <v>935</v>
      </c>
      <c r="D73" s="779">
        <v>40672.54</v>
      </c>
      <c r="E73" s="779">
        <v>12822.8</v>
      </c>
      <c r="F73" s="779">
        <v>59894.830000000009</v>
      </c>
      <c r="G73" s="779">
        <v>30927.120000000006</v>
      </c>
      <c r="H73" s="779">
        <v>39263.279999999992</v>
      </c>
      <c r="I73" s="779">
        <v>22811.64</v>
      </c>
      <c r="J73" s="517">
        <v>33282.670508539064</v>
      </c>
      <c r="K73" s="517">
        <v>32194.740740770805</v>
      </c>
      <c r="L73" s="517">
        <v>31033.886043972499</v>
      </c>
      <c r="M73" s="517">
        <v>33494.685036657123</v>
      </c>
      <c r="N73" s="517">
        <v>31038.720358605067</v>
      </c>
      <c r="O73" s="517">
        <v>31562.867538473729</v>
      </c>
      <c r="P73" s="284">
        <f t="shared" si="7"/>
        <v>398999.7802270184</v>
      </c>
      <c r="Q73" s="203"/>
      <c r="R73" s="285"/>
      <c r="S73" s="203"/>
    </row>
    <row r="74" spans="1:19">
      <c r="A74" s="322">
        <f t="shared" si="0"/>
        <v>63</v>
      </c>
      <c r="B74" s="393">
        <v>8760</v>
      </c>
      <c r="C74" s="203" t="s">
        <v>936</v>
      </c>
      <c r="D74" s="779">
        <v>1931.5</v>
      </c>
      <c r="E74" s="779">
        <v>534.79</v>
      </c>
      <c r="F74" s="779">
        <v>2812.65</v>
      </c>
      <c r="G74" s="779">
        <v>2681.4599999999996</v>
      </c>
      <c r="H74" s="779">
        <v>3657.0099999999998</v>
      </c>
      <c r="I74" s="779">
        <v>6084.99</v>
      </c>
      <c r="J74" s="517">
        <v>2708.1713370204261</v>
      </c>
      <c r="K74" s="517">
        <v>2616.3609988874796</v>
      </c>
      <c r="L74" s="517">
        <v>2548.4311522267481</v>
      </c>
      <c r="M74" s="517">
        <v>2737.6538887385541</v>
      </c>
      <c r="N74" s="517">
        <v>2545.4892195447078</v>
      </c>
      <c r="O74" s="517">
        <v>2676.285516171497</v>
      </c>
      <c r="P74" s="284">
        <f t="shared" si="7"/>
        <v>33534.792112589414</v>
      </c>
      <c r="Q74" s="203"/>
      <c r="R74" s="285"/>
      <c r="S74" s="203"/>
    </row>
    <row r="75" spans="1:19">
      <c r="A75" s="322">
        <f t="shared" si="0"/>
        <v>64</v>
      </c>
      <c r="B75" s="393">
        <v>8770</v>
      </c>
      <c r="C75" s="203" t="s">
        <v>937</v>
      </c>
      <c r="D75" s="779">
        <v>4439.130000000001</v>
      </c>
      <c r="E75" s="779">
        <v>3366.64</v>
      </c>
      <c r="F75" s="779">
        <v>4994.420000000001</v>
      </c>
      <c r="G75" s="779">
        <v>11335.130000000001</v>
      </c>
      <c r="H75" s="779">
        <v>23157.57</v>
      </c>
      <c r="I75" s="779">
        <v>21429.11</v>
      </c>
      <c r="J75" s="517">
        <v>9202.0926152701104</v>
      </c>
      <c r="K75" s="517">
        <v>8917.5967067050788</v>
      </c>
      <c r="L75" s="517">
        <v>8891.0151730878861</v>
      </c>
      <c r="M75" s="517">
        <v>9440.3619010978964</v>
      </c>
      <c r="N75" s="517">
        <v>8879.5404558222072</v>
      </c>
      <c r="O75" s="517">
        <v>10077.374849008364</v>
      </c>
      <c r="P75" s="284">
        <f t="shared" si="7"/>
        <v>124129.98170099156</v>
      </c>
      <c r="Q75" s="203"/>
      <c r="R75" s="285"/>
      <c r="S75" s="203"/>
    </row>
    <row r="76" spans="1:19">
      <c r="A76" s="322">
        <f t="shared" si="0"/>
        <v>65</v>
      </c>
      <c r="B76" s="393">
        <v>8780</v>
      </c>
      <c r="C76" s="203" t="s">
        <v>938</v>
      </c>
      <c r="D76" s="779">
        <v>85679.659999999931</v>
      </c>
      <c r="E76" s="779">
        <v>77707.450000000012</v>
      </c>
      <c r="F76" s="779">
        <v>66202.750000000029</v>
      </c>
      <c r="G76" s="779">
        <v>70824.289999999979</v>
      </c>
      <c r="H76" s="779">
        <v>80798.549999999974</v>
      </c>
      <c r="I76" s="779">
        <v>76264.640000000014</v>
      </c>
      <c r="J76" s="517">
        <v>74823.42606696047</v>
      </c>
      <c r="K76" s="517">
        <v>73201.916641918055</v>
      </c>
      <c r="L76" s="517">
        <v>69821.200329972635</v>
      </c>
      <c r="M76" s="517">
        <v>75627.355273199879</v>
      </c>
      <c r="N76" s="517">
        <v>69757.153407336998</v>
      </c>
      <c r="O76" s="517">
        <v>70147.61465378289</v>
      </c>
      <c r="P76" s="284">
        <f t="shared" si="7"/>
        <v>890856.00637317088</v>
      </c>
      <c r="Q76" s="203"/>
      <c r="R76" s="285"/>
      <c r="S76" s="203"/>
    </row>
    <row r="77" spans="1:19">
      <c r="A77" s="322">
        <f t="shared" si="0"/>
        <v>66</v>
      </c>
      <c r="B77" s="393">
        <v>8790</v>
      </c>
      <c r="C77" s="203" t="s">
        <v>939</v>
      </c>
      <c r="D77" s="779">
        <v>0</v>
      </c>
      <c r="E77" s="779">
        <v>89.92</v>
      </c>
      <c r="F77" s="779">
        <v>0</v>
      </c>
      <c r="G77" s="779">
        <v>93.84</v>
      </c>
      <c r="H77" s="779">
        <v>239.02</v>
      </c>
      <c r="I77" s="779">
        <v>0</v>
      </c>
      <c r="J77" s="517">
        <v>54.198711733278181</v>
      </c>
      <c r="K77" s="517">
        <v>52.388841118714033</v>
      </c>
      <c r="L77" s="517">
        <v>52.629742345459711</v>
      </c>
      <c r="M77" s="517">
        <v>55.970856453437534</v>
      </c>
      <c r="N77" s="517">
        <v>52.418982941563229</v>
      </c>
      <c r="O77" s="517">
        <v>61.789200580197956</v>
      </c>
      <c r="P77" s="284">
        <f t="shared" si="7"/>
        <v>752.17633517265062</v>
      </c>
      <c r="Q77" s="203"/>
      <c r="R77" s="285"/>
      <c r="S77" s="203"/>
    </row>
    <row r="78" spans="1:19">
      <c r="A78" s="322">
        <f t="shared" si="0"/>
        <v>67</v>
      </c>
      <c r="B78" s="393">
        <v>8800</v>
      </c>
      <c r="C78" s="203" t="s">
        <v>940</v>
      </c>
      <c r="D78" s="779">
        <v>16986.450000000004</v>
      </c>
      <c r="E78" s="779">
        <v>25978.430000000004</v>
      </c>
      <c r="F78" s="779">
        <v>22518.890000000007</v>
      </c>
      <c r="G78" s="779">
        <v>10693.5</v>
      </c>
      <c r="H78" s="779">
        <v>19224.150000000001</v>
      </c>
      <c r="I78" s="779">
        <v>11344.840000000002</v>
      </c>
      <c r="J78" s="517">
        <v>17668.148665740122</v>
      </c>
      <c r="K78" s="517">
        <v>17075.216457477589</v>
      </c>
      <c r="L78" s="517">
        <v>16389.881773423713</v>
      </c>
      <c r="M78" s="517">
        <v>17754.711372576858</v>
      </c>
      <c r="N78" s="517">
        <v>16382.527791479786</v>
      </c>
      <c r="O78" s="517">
        <v>16457.808903700174</v>
      </c>
      <c r="P78" s="284">
        <f t="shared" si="7"/>
        <v>208474.55496439827</v>
      </c>
      <c r="Q78" s="203"/>
      <c r="R78" s="203"/>
      <c r="S78" s="203"/>
    </row>
    <row r="79" spans="1:19">
      <c r="A79" s="322">
        <f t="shared" si="0"/>
        <v>68</v>
      </c>
      <c r="B79" s="393">
        <v>8810</v>
      </c>
      <c r="C79" s="203" t="s">
        <v>941</v>
      </c>
      <c r="D79" s="779">
        <v>40817.600000000013</v>
      </c>
      <c r="E79" s="779">
        <v>37698.920000000027</v>
      </c>
      <c r="F79" s="779">
        <v>43548.709999999992</v>
      </c>
      <c r="G79" s="779">
        <v>34962.680000000008</v>
      </c>
      <c r="H79" s="779">
        <v>43046.65</v>
      </c>
      <c r="I79" s="779">
        <v>40699.689999999995</v>
      </c>
      <c r="J79" s="517">
        <v>34547.542391144925</v>
      </c>
      <c r="K79" s="517">
        <v>33307.809598304302</v>
      </c>
      <c r="L79" s="517">
        <v>32730.57384238685</v>
      </c>
      <c r="M79" s="517">
        <v>34885.831034904106</v>
      </c>
      <c r="N79" s="517">
        <v>33864.602026288732</v>
      </c>
      <c r="O79" s="517">
        <v>34943.875593847806</v>
      </c>
      <c r="P79" s="284">
        <f t="shared" si="7"/>
        <v>445054.48448687675</v>
      </c>
      <c r="Q79" s="203"/>
      <c r="R79" s="203"/>
      <c r="S79" s="203"/>
    </row>
    <row r="80" spans="1:19">
      <c r="A80" s="322">
        <f t="shared" si="0"/>
        <v>69</v>
      </c>
      <c r="B80" s="393">
        <v>8850</v>
      </c>
      <c r="C80" s="203" t="s">
        <v>942</v>
      </c>
      <c r="D80" s="779">
        <v>36.800000000000004</v>
      </c>
      <c r="E80" s="779">
        <v>185.37</v>
      </c>
      <c r="F80" s="779">
        <v>184.67000000000002</v>
      </c>
      <c r="G80" s="779">
        <v>139.76</v>
      </c>
      <c r="H80" s="779">
        <v>0</v>
      </c>
      <c r="I80" s="779">
        <v>303.67</v>
      </c>
      <c r="J80" s="517">
        <v>232.82746424499894</v>
      </c>
      <c r="K80" s="517">
        <v>169.48722224643484</v>
      </c>
      <c r="L80" s="517">
        <v>183.52989198376892</v>
      </c>
      <c r="M80" s="517">
        <v>188.9909302149544</v>
      </c>
      <c r="N80" s="517">
        <v>169.48722224643484</v>
      </c>
      <c r="O80" s="517">
        <v>169.48722224643484</v>
      </c>
      <c r="P80" s="284">
        <f t="shared" si="7"/>
        <v>1964.0799531830269</v>
      </c>
      <c r="Q80" s="203"/>
      <c r="R80" s="203"/>
      <c r="S80" s="203"/>
    </row>
    <row r="81" spans="1:21">
      <c r="A81" s="322">
        <f t="shared" si="0"/>
        <v>70</v>
      </c>
      <c r="B81" s="393">
        <v>8860</v>
      </c>
      <c r="C81" s="203" t="s">
        <v>943</v>
      </c>
      <c r="D81" s="779">
        <v>11626.65</v>
      </c>
      <c r="E81" s="779">
        <v>40.28</v>
      </c>
      <c r="F81" s="779">
        <v>621.80999999999995</v>
      </c>
      <c r="G81" s="779">
        <v>221.49</v>
      </c>
      <c r="H81" s="779">
        <v>88.94</v>
      </c>
      <c r="I81" s="779">
        <v>41.27</v>
      </c>
      <c r="J81" s="517">
        <v>1816.5788794768296</v>
      </c>
      <c r="K81" s="517">
        <v>1748.1039741817324</v>
      </c>
      <c r="L81" s="517">
        <v>1716.5641362757058</v>
      </c>
      <c r="M81" s="517">
        <v>1834.1524711625373</v>
      </c>
      <c r="N81" s="517">
        <v>1778.5160467275914</v>
      </c>
      <c r="O81" s="517">
        <v>1837.0846610989736</v>
      </c>
      <c r="P81" s="284">
        <f t="shared" si="7"/>
        <v>23371.440168923371</v>
      </c>
      <c r="Q81" s="203"/>
      <c r="R81" s="203"/>
      <c r="S81" s="203"/>
    </row>
    <row r="82" spans="1:21">
      <c r="A82" s="322">
        <f t="shared" si="0"/>
        <v>71</v>
      </c>
      <c r="B82" s="393">
        <v>8870</v>
      </c>
      <c r="C82" s="203" t="s">
        <v>944</v>
      </c>
      <c r="D82" s="779">
        <v>6566.5400000000009</v>
      </c>
      <c r="E82" s="779">
        <v>1572.31</v>
      </c>
      <c r="F82" s="779">
        <v>7188.92</v>
      </c>
      <c r="G82" s="779">
        <v>2092.4700000000007</v>
      </c>
      <c r="H82" s="779">
        <v>4112.07</v>
      </c>
      <c r="I82" s="779">
        <v>3428.97</v>
      </c>
      <c r="J82" s="517">
        <v>3814.2485201239683</v>
      </c>
      <c r="K82" s="517">
        <v>3487.0083311958811</v>
      </c>
      <c r="L82" s="517">
        <v>3377.0821008988346</v>
      </c>
      <c r="M82" s="517">
        <v>3607.4173354408717</v>
      </c>
      <c r="N82" s="517">
        <v>3376.5041800488957</v>
      </c>
      <c r="O82" s="517">
        <v>3402.1981421768801</v>
      </c>
      <c r="P82" s="284">
        <f t="shared" si="7"/>
        <v>46025.738609885331</v>
      </c>
      <c r="Q82" s="203"/>
      <c r="R82" s="208"/>
      <c r="S82" s="203"/>
    </row>
    <row r="83" spans="1:21">
      <c r="A83" s="322">
        <f t="shared" si="0"/>
        <v>72</v>
      </c>
      <c r="B83" s="393">
        <v>8890</v>
      </c>
      <c r="C83" s="286" t="s">
        <v>945</v>
      </c>
      <c r="D83" s="779">
        <v>183.17</v>
      </c>
      <c r="E83" s="779">
        <v>176.64</v>
      </c>
      <c r="F83" s="779">
        <v>0</v>
      </c>
      <c r="G83" s="779">
        <v>0</v>
      </c>
      <c r="H83" s="779">
        <v>0</v>
      </c>
      <c r="I83" s="779">
        <v>3405.21</v>
      </c>
      <c r="J83" s="517">
        <v>482.66056495110234</v>
      </c>
      <c r="K83" s="517">
        <v>466.54296463593533</v>
      </c>
      <c r="L83" s="517">
        <v>468.68828356474467</v>
      </c>
      <c r="M83" s="517">
        <v>498.44220153347226</v>
      </c>
      <c r="N83" s="517">
        <v>466.81138926780932</v>
      </c>
      <c r="O83" s="517">
        <v>550.25681434423802</v>
      </c>
      <c r="P83" s="284">
        <f t="shared" si="7"/>
        <v>6698.4222182973017</v>
      </c>
      <c r="Q83" s="203"/>
      <c r="R83" s="203"/>
      <c r="S83" s="203"/>
    </row>
    <row r="84" spans="1:21">
      <c r="A84" s="322">
        <f t="shared" ref="A84:A110" si="9">A83+1</f>
        <v>73</v>
      </c>
      <c r="B84" s="393">
        <v>8900</v>
      </c>
      <c r="C84" s="203" t="s">
        <v>946</v>
      </c>
      <c r="D84" s="779">
        <v>0</v>
      </c>
      <c r="E84" s="779">
        <v>458.34000000000003</v>
      </c>
      <c r="F84" s="779">
        <v>4685.16</v>
      </c>
      <c r="G84" s="779">
        <v>488.02</v>
      </c>
      <c r="H84" s="779">
        <v>341.08</v>
      </c>
      <c r="I84" s="779">
        <v>0</v>
      </c>
      <c r="J84" s="517">
        <v>765.66352641604931</v>
      </c>
      <c r="K84" s="517">
        <v>740.09554015239951</v>
      </c>
      <c r="L84" s="517">
        <v>743.49874434101116</v>
      </c>
      <c r="M84" s="517">
        <v>790.69856013482433</v>
      </c>
      <c r="N84" s="517">
        <v>740.52135275268597</v>
      </c>
      <c r="O84" s="517">
        <v>872.89412788043512</v>
      </c>
      <c r="P84" s="284">
        <f t="shared" si="7"/>
        <v>10625.971851677408</v>
      </c>
      <c r="Q84" s="203"/>
      <c r="R84" s="203"/>
      <c r="S84" s="203"/>
    </row>
    <row r="85" spans="1:21">
      <c r="A85" s="322">
        <f t="shared" si="9"/>
        <v>74</v>
      </c>
      <c r="B85" s="393">
        <v>8910</v>
      </c>
      <c r="C85" s="203" t="s">
        <v>947</v>
      </c>
      <c r="D85" s="779">
        <v>0</v>
      </c>
      <c r="E85" s="779">
        <v>6514.98</v>
      </c>
      <c r="F85" s="779">
        <v>1048.92</v>
      </c>
      <c r="G85" s="779">
        <v>669.78</v>
      </c>
      <c r="H85" s="779">
        <v>5814.73</v>
      </c>
      <c r="I85" s="779">
        <v>280.12</v>
      </c>
      <c r="J85" s="517">
        <v>1899.3749309618656</v>
      </c>
      <c r="K85" s="517">
        <v>1872.3167403570633</v>
      </c>
      <c r="L85" s="517">
        <v>1876.3177650563996</v>
      </c>
      <c r="M85" s="517">
        <v>1944.1085121296842</v>
      </c>
      <c r="N85" s="517">
        <v>1873.5787557521091</v>
      </c>
      <c r="O85" s="517">
        <v>2057.689002606026</v>
      </c>
      <c r="P85" s="284">
        <f t="shared" si="7"/>
        <v>25851.91570686315</v>
      </c>
      <c r="Q85" s="203"/>
      <c r="R85" s="203"/>
      <c r="S85" s="203"/>
    </row>
    <row r="86" spans="1:21">
      <c r="A86" s="322">
        <f t="shared" si="9"/>
        <v>75</v>
      </c>
      <c r="B86" s="393">
        <v>8920</v>
      </c>
      <c r="C86" s="203" t="s">
        <v>948</v>
      </c>
      <c r="D86" s="779">
        <v>407.76</v>
      </c>
      <c r="E86" s="779">
        <v>651.98</v>
      </c>
      <c r="F86" s="779">
        <v>-5.0000000000000053</v>
      </c>
      <c r="G86" s="779">
        <v>-26.340000000000003</v>
      </c>
      <c r="H86" s="779">
        <v>0</v>
      </c>
      <c r="I86" s="779">
        <v>827.30000000000007</v>
      </c>
      <c r="J86" s="517">
        <v>297.04769077061832</v>
      </c>
      <c r="K86" s="517">
        <v>286.24726236807982</v>
      </c>
      <c r="L86" s="517">
        <v>276.65382800639537</v>
      </c>
      <c r="M86" s="517">
        <v>298.96057208149267</v>
      </c>
      <c r="N86" s="517">
        <v>276.48182763474483</v>
      </c>
      <c r="O86" s="517">
        <v>284.1288454498216</v>
      </c>
      <c r="P86" s="284">
        <f t="shared" si="7"/>
        <v>3575.2200263111527</v>
      </c>
      <c r="Q86" s="203"/>
      <c r="R86" s="203"/>
      <c r="S86" s="203"/>
    </row>
    <row r="87" spans="1:21">
      <c r="A87" s="322">
        <f t="shared" si="9"/>
        <v>76</v>
      </c>
      <c r="B87" s="393">
        <v>8930</v>
      </c>
      <c r="C87" s="203" t="s">
        <v>949</v>
      </c>
      <c r="D87" s="779">
        <v>7219.07</v>
      </c>
      <c r="E87" s="779">
        <v>6049.89</v>
      </c>
      <c r="F87" s="779">
        <v>6481.26</v>
      </c>
      <c r="G87" s="779">
        <v>9382.41</v>
      </c>
      <c r="H87" s="779">
        <v>11681.470000000001</v>
      </c>
      <c r="I87" s="779">
        <v>12949.92</v>
      </c>
      <c r="J87" s="517">
        <v>8990.5007429160269</v>
      </c>
      <c r="K87" s="517">
        <v>8659.0287301657536</v>
      </c>
      <c r="L87" s="517">
        <v>8311.885787443256</v>
      </c>
      <c r="M87" s="517">
        <v>9007.8128559052038</v>
      </c>
      <c r="N87" s="517">
        <v>8311.7953081589785</v>
      </c>
      <c r="O87" s="517">
        <v>8315.8179546924293</v>
      </c>
      <c r="P87" s="284">
        <f t="shared" si="7"/>
        <v>105360.86137928165</v>
      </c>
      <c r="Q87" s="203"/>
      <c r="R87" s="203"/>
      <c r="S87" s="203"/>
    </row>
    <row r="88" spans="1:21">
      <c r="A88" s="322">
        <f t="shared" si="9"/>
        <v>77</v>
      </c>
      <c r="B88" s="393">
        <v>8940</v>
      </c>
      <c r="C88" s="203" t="s">
        <v>950</v>
      </c>
      <c r="D88" s="779">
        <v>-939.4200000000003</v>
      </c>
      <c r="E88" s="779">
        <v>3275.94</v>
      </c>
      <c r="F88" s="779">
        <v>2206.33</v>
      </c>
      <c r="G88" s="779">
        <v>22510.9</v>
      </c>
      <c r="H88" s="779">
        <v>3953.74</v>
      </c>
      <c r="I88" s="779">
        <v>7867.85</v>
      </c>
      <c r="J88" s="517">
        <v>5288.7890018109356</v>
      </c>
      <c r="K88" s="517">
        <v>5485.0007363785426</v>
      </c>
      <c r="L88" s="517">
        <v>5495.0960815500166</v>
      </c>
      <c r="M88" s="517">
        <v>5639.3150559749147</v>
      </c>
      <c r="N88" s="517">
        <v>5485.9961985711743</v>
      </c>
      <c r="O88" s="517">
        <v>5890.5707153967542</v>
      </c>
      <c r="P88" s="284">
        <f t="shared" si="7"/>
        <v>72160.107789682326</v>
      </c>
      <c r="Q88" s="203"/>
      <c r="R88" s="203"/>
      <c r="S88" s="203"/>
    </row>
    <row r="89" spans="1:21">
      <c r="A89" s="322">
        <f t="shared" si="9"/>
        <v>78</v>
      </c>
      <c r="B89" s="393">
        <v>9020</v>
      </c>
      <c r="C89" s="203" t="s">
        <v>951</v>
      </c>
      <c r="D89" s="779">
        <v>91878.500000000029</v>
      </c>
      <c r="E89" s="779">
        <v>121879.09000000003</v>
      </c>
      <c r="F89" s="779">
        <v>107089.14999999998</v>
      </c>
      <c r="G89" s="779">
        <v>114825.07</v>
      </c>
      <c r="H89" s="779">
        <v>114277.70999999999</v>
      </c>
      <c r="I89" s="779">
        <v>98163.079999999987</v>
      </c>
      <c r="J89" s="517">
        <v>91904.068009899143</v>
      </c>
      <c r="K89" s="517">
        <v>93767.564472194528</v>
      </c>
      <c r="L89" s="517">
        <v>91733.621204861323</v>
      </c>
      <c r="M89" s="517">
        <v>93868.778369874664</v>
      </c>
      <c r="N89" s="517">
        <v>91595.312056961542</v>
      </c>
      <c r="O89" s="517">
        <v>91785.63105843676</v>
      </c>
      <c r="P89" s="284">
        <f t="shared" si="7"/>
        <v>1202767.575172228</v>
      </c>
      <c r="Q89" s="768"/>
      <c r="R89" s="768"/>
      <c r="S89" s="768"/>
      <c r="T89" s="768"/>
      <c r="U89" s="768"/>
    </row>
    <row r="90" spans="1:21">
      <c r="A90" s="322">
        <f t="shared" si="9"/>
        <v>79</v>
      </c>
      <c r="B90" s="393">
        <v>9030</v>
      </c>
      <c r="C90" s="203" t="s">
        <v>956</v>
      </c>
      <c r="D90" s="779">
        <v>29218.420000000002</v>
      </c>
      <c r="E90" s="779">
        <v>33171.21</v>
      </c>
      <c r="F90" s="779">
        <v>42346.360000000008</v>
      </c>
      <c r="G90" s="779">
        <v>35783.969999999994</v>
      </c>
      <c r="H90" s="779">
        <v>32199.81</v>
      </c>
      <c r="I90" s="779">
        <v>22339.380000000008</v>
      </c>
      <c r="J90" s="517">
        <v>31821.260962221946</v>
      </c>
      <c r="K90" s="517">
        <v>31227.064302774084</v>
      </c>
      <c r="L90" s="517">
        <v>29830.539000543515</v>
      </c>
      <c r="M90" s="517">
        <v>32309.83711962531</v>
      </c>
      <c r="N90" s="517">
        <v>29754.276383339547</v>
      </c>
      <c r="O90" s="517">
        <v>29867.456777517975</v>
      </c>
      <c r="P90" s="284">
        <f t="shared" si="7"/>
        <v>379869.58454602241</v>
      </c>
      <c r="Q90" s="768"/>
      <c r="R90" s="768"/>
      <c r="S90" s="768"/>
      <c r="T90" s="768"/>
      <c r="U90" s="768"/>
    </row>
    <row r="91" spans="1:21">
      <c r="A91" s="322">
        <f t="shared" si="9"/>
        <v>80</v>
      </c>
      <c r="B91" s="393">
        <v>9040</v>
      </c>
      <c r="C91" s="203" t="s">
        <v>957</v>
      </c>
      <c r="D91" s="779">
        <v>116325</v>
      </c>
      <c r="E91" s="779">
        <v>24247</v>
      </c>
      <c r="F91" s="779">
        <v>19571</v>
      </c>
      <c r="G91" s="779">
        <v>175706</v>
      </c>
      <c r="H91" s="779">
        <v>19482</v>
      </c>
      <c r="I91" s="779">
        <v>19404</v>
      </c>
      <c r="J91" s="517">
        <v>19353.669999999998</v>
      </c>
      <c r="K91" s="517">
        <v>23326.492099999999</v>
      </c>
      <c r="L91" s="517">
        <v>28927.181799999998</v>
      </c>
      <c r="M91" s="517">
        <v>38323.659299999999</v>
      </c>
      <c r="N91" s="517">
        <v>43791.047299999998</v>
      </c>
      <c r="O91" s="517">
        <v>35864.659899999999</v>
      </c>
      <c r="P91" s="284">
        <f t="shared" si="7"/>
        <v>564321.71039999998</v>
      </c>
      <c r="Q91" s="203"/>
      <c r="R91" s="203"/>
      <c r="S91" s="203"/>
    </row>
    <row r="92" spans="1:21">
      <c r="A92" s="322">
        <f t="shared" si="9"/>
        <v>81</v>
      </c>
      <c r="B92" s="393">
        <v>9090</v>
      </c>
      <c r="C92" s="203" t="s">
        <v>958</v>
      </c>
      <c r="D92" s="779">
        <v>13254.63</v>
      </c>
      <c r="E92" s="779">
        <v>10828.580000000002</v>
      </c>
      <c r="F92" s="779">
        <v>10459.480000000001</v>
      </c>
      <c r="G92" s="779">
        <v>9693.25</v>
      </c>
      <c r="H92" s="779">
        <v>9061</v>
      </c>
      <c r="I92" s="779">
        <v>11759.7</v>
      </c>
      <c r="J92" s="517">
        <v>10077.151073149667</v>
      </c>
      <c r="K92" s="517">
        <v>10445.978825107728</v>
      </c>
      <c r="L92" s="517">
        <v>9702.8456945889011</v>
      </c>
      <c r="M92" s="517">
        <v>10477.361251187627</v>
      </c>
      <c r="N92" s="517">
        <v>9684.9952905439059</v>
      </c>
      <c r="O92" s="517">
        <v>9707.4605098010543</v>
      </c>
      <c r="P92" s="284">
        <f t="shared" si="7"/>
        <v>125152.43264437889</v>
      </c>
      <c r="Q92" s="203"/>
      <c r="R92" s="203"/>
      <c r="S92" s="203"/>
    </row>
    <row r="93" spans="1:21" s="1055" customFormat="1">
      <c r="A93" s="322">
        <f t="shared" si="9"/>
        <v>82</v>
      </c>
      <c r="B93" s="393">
        <v>9100</v>
      </c>
      <c r="C93" s="203" t="s">
        <v>959</v>
      </c>
      <c r="D93" s="779">
        <v>0</v>
      </c>
      <c r="E93" s="779">
        <v>0</v>
      </c>
      <c r="F93" s="779">
        <v>0</v>
      </c>
      <c r="G93" s="779">
        <v>0</v>
      </c>
      <c r="H93" s="779">
        <v>0</v>
      </c>
      <c r="I93" s="779">
        <v>85</v>
      </c>
      <c r="J93" s="517">
        <v>20.804444358192605</v>
      </c>
      <c r="K93" s="517">
        <v>19.059756159003275</v>
      </c>
      <c r="L93" s="517">
        <v>11.74575177838436</v>
      </c>
      <c r="M93" s="517">
        <v>8.2054167573347652</v>
      </c>
      <c r="N93" s="517">
        <v>27.972780680483876</v>
      </c>
      <c r="O93" s="517">
        <v>10.995414318812838</v>
      </c>
      <c r="P93" s="284">
        <f t="shared" si="7"/>
        <v>183.78356405221172</v>
      </c>
      <c r="Q93" s="203"/>
      <c r="R93" s="203"/>
      <c r="S93" s="203"/>
    </row>
    <row r="94" spans="1:21">
      <c r="A94" s="322">
        <f t="shared" si="9"/>
        <v>83</v>
      </c>
      <c r="B94" s="393">
        <v>9110</v>
      </c>
      <c r="C94" s="203" t="s">
        <v>960</v>
      </c>
      <c r="D94" s="779">
        <v>25969.919999999998</v>
      </c>
      <c r="E94" s="779">
        <v>21692.069999999996</v>
      </c>
      <c r="F94" s="779">
        <v>23129.510000000002</v>
      </c>
      <c r="G94" s="779">
        <v>20081</v>
      </c>
      <c r="H94" s="779">
        <v>20661.920000000002</v>
      </c>
      <c r="I94" s="779">
        <v>20121.519999999997</v>
      </c>
      <c r="J94" s="517">
        <v>22042.555614759964</v>
      </c>
      <c r="K94" s="517">
        <v>22626.745178017976</v>
      </c>
      <c r="L94" s="517">
        <v>19256.641307057555</v>
      </c>
      <c r="M94" s="517">
        <v>19713.086385617135</v>
      </c>
      <c r="N94" s="517">
        <v>23332.601016946988</v>
      </c>
      <c r="O94" s="517">
        <v>19119.135529537121</v>
      </c>
      <c r="P94" s="284">
        <f t="shared" si="7"/>
        <v>257746.70503193676</v>
      </c>
      <c r="Q94" s="203"/>
      <c r="R94" s="208"/>
      <c r="S94" s="203"/>
    </row>
    <row r="95" spans="1:21">
      <c r="A95" s="322">
        <f t="shared" si="9"/>
        <v>84</v>
      </c>
      <c r="B95" s="393">
        <v>9120</v>
      </c>
      <c r="C95" s="203" t="s">
        <v>961</v>
      </c>
      <c r="D95" s="779">
        <v>4837.5599999999995</v>
      </c>
      <c r="E95" s="779">
        <v>2654.57</v>
      </c>
      <c r="F95" s="779">
        <v>3217.8700000000003</v>
      </c>
      <c r="G95" s="779">
        <v>3010.72</v>
      </c>
      <c r="H95" s="779">
        <v>5580.03</v>
      </c>
      <c r="I95" s="779">
        <v>6680.0300000000007</v>
      </c>
      <c r="J95" s="517">
        <v>6359.0081399110968</v>
      </c>
      <c r="K95" s="517">
        <v>5825.7333131848127</v>
      </c>
      <c r="L95" s="517">
        <v>3590.1622692801502</v>
      </c>
      <c r="M95" s="517">
        <v>2508.0367950662107</v>
      </c>
      <c r="N95" s="517">
        <v>8550.0548335047279</v>
      </c>
      <c r="O95" s="517">
        <v>3360.8169461873667</v>
      </c>
      <c r="P95" s="284">
        <f t="shared" si="7"/>
        <v>56174.592297134361</v>
      </c>
      <c r="Q95" s="203"/>
      <c r="R95" s="208"/>
      <c r="S95" s="203"/>
    </row>
    <row r="96" spans="1:21">
      <c r="A96" s="322">
        <f t="shared" si="9"/>
        <v>85</v>
      </c>
      <c r="B96" s="393">
        <v>9130</v>
      </c>
      <c r="C96" s="203" t="s">
        <v>962</v>
      </c>
      <c r="D96" s="779">
        <v>1518.5</v>
      </c>
      <c r="E96" s="779">
        <v>2316.4</v>
      </c>
      <c r="F96" s="779">
        <v>2743.6</v>
      </c>
      <c r="G96" s="779">
        <v>1195.6199999999999</v>
      </c>
      <c r="H96" s="779">
        <v>1209.0999999999999</v>
      </c>
      <c r="I96" s="779">
        <v>1707.1799999999998</v>
      </c>
      <c r="J96" s="517">
        <v>2616.5627290214375</v>
      </c>
      <c r="K96" s="517">
        <v>2397.1343204965715</v>
      </c>
      <c r="L96" s="517">
        <v>1477.2562919016489</v>
      </c>
      <c r="M96" s="517">
        <v>1031.9904388542539</v>
      </c>
      <c r="N96" s="517">
        <v>3518.1201716075866</v>
      </c>
      <c r="O96" s="517">
        <v>1382.8867909863145</v>
      </c>
      <c r="P96" s="284">
        <f t="shared" si="7"/>
        <v>23114.350742867809</v>
      </c>
      <c r="Q96" s="203"/>
      <c r="R96" s="203"/>
      <c r="S96" s="203"/>
    </row>
    <row r="97" spans="1:19">
      <c r="A97" s="322">
        <f t="shared" si="9"/>
        <v>86</v>
      </c>
      <c r="B97" s="393">
        <v>9200</v>
      </c>
      <c r="C97" s="119" t="s">
        <v>187</v>
      </c>
      <c r="D97" s="779">
        <v>12707.710000000001</v>
      </c>
      <c r="E97" s="779">
        <v>12580.02</v>
      </c>
      <c r="F97" s="779">
        <v>10884.4</v>
      </c>
      <c r="G97" s="779">
        <v>10341.33</v>
      </c>
      <c r="H97" s="779">
        <v>11470.779999999999</v>
      </c>
      <c r="I97" s="779">
        <v>10422.359999999999</v>
      </c>
      <c r="J97" s="517">
        <v>11448.097855261576</v>
      </c>
      <c r="K97" s="517">
        <v>11025.913104683399</v>
      </c>
      <c r="L97" s="517">
        <v>10582.597952988071</v>
      </c>
      <c r="M97" s="517">
        <v>11469.228256378728</v>
      </c>
      <c r="N97" s="517">
        <v>10582.597952988071</v>
      </c>
      <c r="O97" s="517">
        <v>10582.597952988071</v>
      </c>
      <c r="P97" s="284">
        <f t="shared" ref="P97" si="10">SUM(D97:O97)</f>
        <v>134097.63307528791</v>
      </c>
      <c r="Q97" s="203"/>
      <c r="R97" s="208"/>
      <c r="S97" s="203"/>
    </row>
    <row r="98" spans="1:19">
      <c r="A98" s="322">
        <f t="shared" si="9"/>
        <v>87</v>
      </c>
      <c r="B98" s="393">
        <v>9210</v>
      </c>
      <c r="C98" s="203" t="s">
        <v>963</v>
      </c>
      <c r="D98" s="779">
        <v>2050.1099999999997</v>
      </c>
      <c r="E98" s="779">
        <v>374.2</v>
      </c>
      <c r="F98" s="779">
        <v>-50</v>
      </c>
      <c r="G98" s="779">
        <v>1058.8800000000001</v>
      </c>
      <c r="H98" s="779">
        <v>784.09</v>
      </c>
      <c r="I98" s="779">
        <v>291.29999999999995</v>
      </c>
      <c r="J98" s="517">
        <v>474.18724170309872</v>
      </c>
      <c r="K98" s="517">
        <v>568.7192730069246</v>
      </c>
      <c r="L98" s="517">
        <v>474.97241968299255</v>
      </c>
      <c r="M98" s="517">
        <v>530.19736756898271</v>
      </c>
      <c r="N98" s="517">
        <v>574.29439170761214</v>
      </c>
      <c r="O98" s="517">
        <v>479.03295254295307</v>
      </c>
      <c r="P98" s="284">
        <f t="shared" si="7"/>
        <v>7609.9836462125641</v>
      </c>
      <c r="Q98" s="203"/>
      <c r="R98" s="208"/>
      <c r="S98" s="203"/>
    </row>
    <row r="99" spans="1:19">
      <c r="A99" s="322">
        <f t="shared" si="9"/>
        <v>88</v>
      </c>
      <c r="B99" s="393">
        <v>9220</v>
      </c>
      <c r="C99" s="203" t="s">
        <v>964</v>
      </c>
      <c r="D99" s="779">
        <v>1048979.1000000001</v>
      </c>
      <c r="E99" s="779">
        <v>1007781.6000000001</v>
      </c>
      <c r="F99" s="779">
        <v>1111531.03</v>
      </c>
      <c r="G99" s="779">
        <v>964157.01</v>
      </c>
      <c r="H99" s="779">
        <v>1761549.62</v>
      </c>
      <c r="I99" s="779">
        <v>503333.84</v>
      </c>
      <c r="J99" s="123">
        <f>-('C.2.2 B 02'!J40+'C.2.2 B 12'!J34+'C.2.2 B 91'!J54)</f>
        <v>1096346.9718877953</v>
      </c>
      <c r="K99" s="123">
        <f>-('C.2.2 B 02'!K40+'C.2.2 B 12'!K34+'C.2.2 B 91'!K54)</f>
        <v>1106534.9729298446</v>
      </c>
      <c r="L99" s="123">
        <f>-('C.2.2 B 02'!L40+'C.2.2 B 12'!L34+'C.2.2 B 91'!L54)</f>
        <v>1113570.6185640928</v>
      </c>
      <c r="M99" s="123">
        <f>-('C.2.2 B 02'!M40+'C.2.2 B 12'!M34+'C.2.2 B 91'!M54)</f>
        <v>1186407.1913216305</v>
      </c>
      <c r="N99" s="123">
        <f>-('C.2.2 B 02'!N40+'C.2.2 B 12'!N34+'C.2.2 B 91'!N54)</f>
        <v>1104262.7480620639</v>
      </c>
      <c r="O99" s="123">
        <f>-('C.2.2 B 02'!O40+'C.2.2 B 12'!O34+'C.2.2 B 91'!O54)</f>
        <v>1065764.4150228188</v>
      </c>
      <c r="P99" s="284">
        <f>SUM(D99:O99)</f>
        <v>13070219.117788246</v>
      </c>
      <c r="Q99" s="768"/>
      <c r="R99" s="1085"/>
      <c r="S99" s="284"/>
    </row>
    <row r="100" spans="1:19">
      <c r="A100" s="322">
        <f t="shared" si="9"/>
        <v>89</v>
      </c>
      <c r="B100" s="393">
        <v>9230</v>
      </c>
      <c r="C100" s="203" t="s">
        <v>965</v>
      </c>
      <c r="D100" s="779">
        <v>5000</v>
      </c>
      <c r="E100" s="779">
        <v>16505.96</v>
      </c>
      <c r="F100" s="779">
        <v>15128</v>
      </c>
      <c r="G100" s="779">
        <v>26698.15</v>
      </c>
      <c r="H100" s="779">
        <v>28801.38</v>
      </c>
      <c r="I100" s="779">
        <v>17583.39</v>
      </c>
      <c r="J100" s="517">
        <v>15156.142124985698</v>
      </c>
      <c r="K100" s="517">
        <v>15352.499896005793</v>
      </c>
      <c r="L100" s="517">
        <v>15354.214436103812</v>
      </c>
      <c r="M100" s="517">
        <v>15356.149753148897</v>
      </c>
      <c r="N100" s="517">
        <v>15351.039175670536</v>
      </c>
      <c r="O100" s="517">
        <v>15345.571293424473</v>
      </c>
      <c r="P100" s="284">
        <f t="shared" si="7"/>
        <v>201632.49667933921</v>
      </c>
      <c r="Q100" s="203"/>
      <c r="R100" s="208"/>
      <c r="S100" s="203"/>
    </row>
    <row r="101" spans="1:19">
      <c r="A101" s="322">
        <f t="shared" si="9"/>
        <v>90</v>
      </c>
      <c r="B101" s="393">
        <v>9240</v>
      </c>
      <c r="C101" s="203" t="s">
        <v>966</v>
      </c>
      <c r="D101" s="779">
        <v>14569.170000000002</v>
      </c>
      <c r="E101" s="779">
        <v>13795.710000000003</v>
      </c>
      <c r="F101" s="779">
        <v>13774.810000000001</v>
      </c>
      <c r="G101" s="779">
        <v>12964.590000000004</v>
      </c>
      <c r="H101" s="779">
        <v>12827.59</v>
      </c>
      <c r="I101" s="779">
        <v>12682.93</v>
      </c>
      <c r="J101" s="517">
        <v>978.9117505371205</v>
      </c>
      <c r="K101" s="517">
        <v>679.37987320095499</v>
      </c>
      <c r="L101" s="517">
        <v>679.37987320095499</v>
      </c>
      <c r="M101" s="517">
        <v>679.37987320095499</v>
      </c>
      <c r="N101" s="517">
        <v>679.37987320095499</v>
      </c>
      <c r="O101" s="517">
        <v>679.37987320095499</v>
      </c>
      <c r="P101" s="284">
        <f t="shared" si="7"/>
        <v>84990.611116541942</v>
      </c>
      <c r="Q101" s="203"/>
      <c r="R101" s="208"/>
      <c r="S101" s="203"/>
    </row>
    <row r="102" spans="1:19">
      <c r="A102" s="322">
        <f t="shared" si="9"/>
        <v>91</v>
      </c>
      <c r="B102" s="393">
        <v>9250</v>
      </c>
      <c r="C102" s="203" t="s">
        <v>967</v>
      </c>
      <c r="D102" s="779">
        <v>367.52</v>
      </c>
      <c r="E102" s="779">
        <v>114712.07</v>
      </c>
      <c r="F102" s="779">
        <v>4709.7800000000007</v>
      </c>
      <c r="G102" s="779">
        <v>201.04999999999998</v>
      </c>
      <c r="H102" s="779">
        <v>4757.2299999999996</v>
      </c>
      <c r="I102" s="779">
        <v>1613.07</v>
      </c>
      <c r="J102" s="517">
        <v>17281.029880148395</v>
      </c>
      <c r="K102" s="517">
        <v>17719.864597458512</v>
      </c>
      <c r="L102" s="517">
        <v>17753.356802580875</v>
      </c>
      <c r="M102" s="517">
        <v>17792.213367870689</v>
      </c>
      <c r="N102" s="517">
        <v>17690.708070822329</v>
      </c>
      <c r="O102" s="517">
        <v>17582.825301733279</v>
      </c>
      <c r="P102" s="284">
        <f t="shared" si="7"/>
        <v>232180.71802061409</v>
      </c>
      <c r="Q102" s="203"/>
      <c r="R102" s="208"/>
      <c r="S102" s="203"/>
    </row>
    <row r="103" spans="1:19">
      <c r="A103" s="322">
        <f t="shared" si="9"/>
        <v>92</v>
      </c>
      <c r="B103" s="393">
        <v>9260</v>
      </c>
      <c r="C103" s="203" t="s">
        <v>968</v>
      </c>
      <c r="D103" s="779">
        <v>239184.93999999997</v>
      </c>
      <c r="E103" s="779">
        <v>199130.44000000006</v>
      </c>
      <c r="F103" s="779">
        <v>190844.51000000013</v>
      </c>
      <c r="G103" s="779">
        <v>188032.59000000011</v>
      </c>
      <c r="H103" s="779">
        <v>203542.82999999993</v>
      </c>
      <c r="I103" s="779">
        <v>165489.6399999999</v>
      </c>
      <c r="J103" s="517">
        <v>192558.10974872197</v>
      </c>
      <c r="K103" s="517">
        <v>165889.05894580614</v>
      </c>
      <c r="L103" s="517">
        <v>160405.9341118822</v>
      </c>
      <c r="M103" s="517">
        <v>174046.27767636869</v>
      </c>
      <c r="N103" s="517">
        <v>158904.57993927697</v>
      </c>
      <c r="O103" s="517">
        <v>156015.04880665118</v>
      </c>
      <c r="P103" s="284">
        <f>SUM(D103:O103)</f>
        <v>2194043.9592287075</v>
      </c>
      <c r="Q103" s="203"/>
      <c r="R103" s="208"/>
      <c r="S103" s="203"/>
    </row>
    <row r="104" spans="1:19">
      <c r="A104" s="322">
        <f t="shared" si="9"/>
        <v>93</v>
      </c>
      <c r="B104" s="393">
        <v>9270</v>
      </c>
      <c r="C104" s="203" t="s">
        <v>969</v>
      </c>
      <c r="D104" s="779">
        <v>0</v>
      </c>
      <c r="E104" s="779">
        <v>320.64999999999998</v>
      </c>
      <c r="F104" s="779">
        <v>0</v>
      </c>
      <c r="G104" s="779">
        <v>0</v>
      </c>
      <c r="H104" s="779">
        <v>0</v>
      </c>
      <c r="I104" s="779">
        <v>0</v>
      </c>
      <c r="J104" s="517">
        <v>31.131796978184095</v>
      </c>
      <c r="K104" s="517">
        <v>6.8781297713498875</v>
      </c>
      <c r="L104" s="517">
        <v>6.8781297713498875</v>
      </c>
      <c r="M104" s="517">
        <v>6.8781297713498875</v>
      </c>
      <c r="N104" s="517">
        <v>6.8781297713498875</v>
      </c>
      <c r="O104" s="517">
        <v>6.8781297713498875</v>
      </c>
      <c r="P104" s="284">
        <f t="shared" si="7"/>
        <v>386.17244583493357</v>
      </c>
      <c r="Q104" s="203"/>
      <c r="R104" s="208"/>
      <c r="S104" s="203"/>
    </row>
    <row r="105" spans="1:19">
      <c r="A105" s="322">
        <f t="shared" si="9"/>
        <v>94</v>
      </c>
      <c r="B105" s="393">
        <v>9280</v>
      </c>
      <c r="C105" s="203" t="s">
        <v>970</v>
      </c>
      <c r="D105" s="779">
        <v>-258.72000000000003</v>
      </c>
      <c r="E105" s="779">
        <v>0</v>
      </c>
      <c r="F105" s="779">
        <v>4256.79</v>
      </c>
      <c r="G105" s="779">
        <v>2299.5</v>
      </c>
      <c r="H105" s="779">
        <v>0</v>
      </c>
      <c r="I105" s="779">
        <v>0</v>
      </c>
      <c r="J105" s="517">
        <v>881.12427799364548</v>
      </c>
      <c r="K105" s="517">
        <v>911.73725018665618</v>
      </c>
      <c r="L105" s="517">
        <v>911.73725018665618</v>
      </c>
      <c r="M105" s="517">
        <v>911.73725018665618</v>
      </c>
      <c r="N105" s="517">
        <v>911.73725018665618</v>
      </c>
      <c r="O105" s="517">
        <v>911.73725018665618</v>
      </c>
      <c r="P105" s="284">
        <f t="shared" si="7"/>
        <v>11737.380528926924</v>
      </c>
      <c r="Q105" s="203"/>
      <c r="R105" s="208"/>
      <c r="S105" s="203"/>
    </row>
    <row r="106" spans="1:19">
      <c r="A106" s="322">
        <f t="shared" si="9"/>
        <v>95</v>
      </c>
      <c r="B106" s="393">
        <v>9302</v>
      </c>
      <c r="C106" s="203" t="s">
        <v>875</v>
      </c>
      <c r="D106" s="779">
        <v>2044.4</v>
      </c>
      <c r="E106" s="779">
        <v>8530</v>
      </c>
      <c r="F106" s="779">
        <v>350</v>
      </c>
      <c r="G106" s="779">
        <v>634.18000000000006</v>
      </c>
      <c r="H106" s="779">
        <v>3425</v>
      </c>
      <c r="I106" s="779">
        <v>11200</v>
      </c>
      <c r="J106" s="517">
        <v>2555.681226754627</v>
      </c>
      <c r="K106" s="517">
        <v>809.18469804998574</v>
      </c>
      <c r="L106" s="517">
        <v>4083.3953419365744</v>
      </c>
      <c r="M106" s="517">
        <v>1065.6613466830836</v>
      </c>
      <c r="N106" s="517">
        <v>6016.8319710824844</v>
      </c>
      <c r="O106" s="517">
        <v>1563.643480575729</v>
      </c>
      <c r="P106" s="284">
        <f t="shared" ref="P106:P108" si="11">SUM(D106:O106)</f>
        <v>42277.978065082491</v>
      </c>
      <c r="Q106" s="203"/>
      <c r="R106" s="208"/>
      <c r="S106" s="203"/>
    </row>
    <row r="107" spans="1:19">
      <c r="A107" s="322">
        <f t="shared" si="9"/>
        <v>96</v>
      </c>
      <c r="B107" s="393">
        <v>9310</v>
      </c>
      <c r="C107" s="119" t="s">
        <v>189</v>
      </c>
      <c r="D107" s="779">
        <v>1205.95</v>
      </c>
      <c r="E107" s="779">
        <v>1218.99</v>
      </c>
      <c r="F107" s="779">
        <v>1205.95</v>
      </c>
      <c r="G107" s="779">
        <v>1218.99</v>
      </c>
      <c r="H107" s="779">
        <v>1269.0899999999999</v>
      </c>
      <c r="I107" s="779">
        <v>1262.26</v>
      </c>
      <c r="J107" s="517">
        <v>1060.7689702700823</v>
      </c>
      <c r="K107" s="517">
        <v>1020.7838886422805</v>
      </c>
      <c r="L107" s="517">
        <v>1002.3665868911468</v>
      </c>
      <c r="M107" s="517">
        <v>1071.0308537297005</v>
      </c>
      <c r="N107" s="517">
        <v>1038.5426456347327</v>
      </c>
      <c r="O107" s="517">
        <v>1072.7430701022731</v>
      </c>
      <c r="P107" s="284">
        <f t="shared" si="11"/>
        <v>13647.466015270216</v>
      </c>
      <c r="Q107" s="203"/>
      <c r="R107" s="208"/>
      <c r="S107" s="203"/>
    </row>
    <row r="108" spans="1:19">
      <c r="A108" s="322">
        <f t="shared" si="9"/>
        <v>97</v>
      </c>
      <c r="B108" s="393">
        <v>9320</v>
      </c>
      <c r="C108" t="s">
        <v>190</v>
      </c>
      <c r="D108" s="779">
        <v>0</v>
      </c>
      <c r="E108" s="779">
        <v>0</v>
      </c>
      <c r="F108" s="779">
        <v>0</v>
      </c>
      <c r="G108" s="779">
        <v>1248.08</v>
      </c>
      <c r="H108" s="779">
        <v>0</v>
      </c>
      <c r="I108" s="779">
        <v>0</v>
      </c>
      <c r="J108" s="517">
        <v>119.94376094926857</v>
      </c>
      <c r="K108" s="517">
        <v>36.14788171679303</v>
      </c>
      <c r="L108" s="517">
        <v>195.51828080211249</v>
      </c>
      <c r="M108" s="517">
        <v>50.176391769339062</v>
      </c>
      <c r="N108" s="517">
        <v>286.54047393374833</v>
      </c>
      <c r="O108" s="517">
        <v>73.829112206771327</v>
      </c>
      <c r="P108" s="284">
        <f t="shared" si="11"/>
        <v>2010.2359013780328</v>
      </c>
      <c r="Q108" s="203"/>
      <c r="R108" s="203"/>
      <c r="S108" s="203"/>
    </row>
    <row r="109" spans="1:19">
      <c r="A109" s="322">
        <f t="shared" si="9"/>
        <v>98</v>
      </c>
      <c r="B109" s="203"/>
      <c r="C109" s="203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2"/>
      <c r="P109" s="287"/>
      <c r="Q109" s="287"/>
      <c r="R109" s="287"/>
      <c r="S109" s="287"/>
    </row>
    <row r="110" spans="1:19" ht="15.75" thickBot="1">
      <c r="A110" s="322">
        <f t="shared" si="9"/>
        <v>99</v>
      </c>
      <c r="B110" s="287"/>
      <c r="C110" s="287" t="s">
        <v>751</v>
      </c>
      <c r="D110" s="289">
        <f t="shared" ref="D110:O110" si="12">SUM(D14:D109)</f>
        <v>-4263974.1999999965</v>
      </c>
      <c r="E110" s="289">
        <f t="shared" si="12"/>
        <v>-2047228.1199999962</v>
      </c>
      <c r="F110" s="289">
        <f t="shared" si="12"/>
        <v>-953316.92000000074</v>
      </c>
      <c r="G110" s="289">
        <f t="shared" si="12"/>
        <v>-848925.84999999951</v>
      </c>
      <c r="H110" s="289">
        <f t="shared" si="12"/>
        <v>-37722.539999999979</v>
      </c>
      <c r="I110" s="289">
        <f t="shared" si="12"/>
        <v>-1385713.98</v>
      </c>
      <c r="J110" s="1043">
        <f t="shared" si="12"/>
        <v>-1242738.702612164</v>
      </c>
      <c r="K110" s="289">
        <f t="shared" si="12"/>
        <v>-1731569.089460081</v>
      </c>
      <c r="L110" s="289">
        <f t="shared" si="12"/>
        <v>-3335899.9628226394</v>
      </c>
      <c r="M110" s="289">
        <f t="shared" si="12"/>
        <v>-4965490.4334238106</v>
      </c>
      <c r="N110" s="289">
        <f t="shared" si="12"/>
        <v>-5560305.724584125</v>
      </c>
      <c r="O110" s="289">
        <f t="shared" si="12"/>
        <v>-5128273.9201333094</v>
      </c>
      <c r="P110" s="289">
        <f>SUM(P12:P109)</f>
        <v>-22036967.297723442</v>
      </c>
      <c r="Q110" s="290"/>
      <c r="R110" s="284"/>
      <c r="S110" s="287"/>
    </row>
    <row r="111" spans="1:19" ht="15.75" thickTop="1">
      <c r="A111" s="28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</row>
    <row r="112" spans="1:19">
      <c r="A112" s="287"/>
      <c r="B112" s="287"/>
      <c r="C112" s="287" t="s">
        <v>202</v>
      </c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R112" s="287"/>
      <c r="S112" s="287"/>
    </row>
    <row r="113" spans="1:19">
      <c r="A113" s="287"/>
      <c r="B113" s="287"/>
      <c r="C113" s="288" t="s">
        <v>1236</v>
      </c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768"/>
      <c r="P113" s="287"/>
      <c r="Q113" s="287"/>
      <c r="R113" s="287"/>
      <c r="S113" s="287"/>
    </row>
    <row r="114" spans="1:19">
      <c r="A114" s="287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P114" s="287"/>
      <c r="Q114" s="291"/>
      <c r="R114" s="287"/>
      <c r="S114" s="287"/>
    </row>
    <row r="115" spans="1:19">
      <c r="A115" s="287"/>
      <c r="B115" s="287"/>
      <c r="C115" s="287"/>
      <c r="D115" s="287"/>
      <c r="E115" s="287"/>
      <c r="F115" s="287"/>
      <c r="G115" s="287"/>
      <c r="H115" s="287"/>
      <c r="I115" s="287"/>
      <c r="J115" s="291"/>
      <c r="K115" s="291"/>
      <c r="L115" s="287"/>
      <c r="M115" s="287"/>
      <c r="N115" s="287"/>
      <c r="P115" s="106"/>
      <c r="Q115" s="106"/>
      <c r="R115" s="287"/>
      <c r="S115" s="287"/>
    </row>
    <row r="116" spans="1:19">
      <c r="A116" s="287"/>
      <c r="B116" s="287" t="s">
        <v>972</v>
      </c>
      <c r="C116" s="288"/>
      <c r="D116" s="287"/>
      <c r="E116" s="287"/>
      <c r="F116" s="291"/>
      <c r="G116" s="287"/>
      <c r="H116" s="287"/>
      <c r="I116" s="287"/>
      <c r="J116" s="291"/>
      <c r="K116" s="291"/>
      <c r="L116" s="287"/>
      <c r="M116" s="287"/>
      <c r="N116" s="287"/>
      <c r="P116" s="794"/>
      <c r="R116" s="287"/>
      <c r="S116" s="287"/>
    </row>
    <row r="117" spans="1:19">
      <c r="A117" s="287"/>
      <c r="B117" s="287" t="s">
        <v>1595</v>
      </c>
      <c r="C117" s="287"/>
      <c r="D117" s="292"/>
      <c r="E117" s="292"/>
      <c r="F117" s="292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91"/>
      <c r="R117" s="287"/>
      <c r="S117" s="287"/>
    </row>
    <row r="118" spans="1:19">
      <c r="A118" s="287"/>
      <c r="B118" s="1" t="s">
        <v>1594</v>
      </c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91"/>
      <c r="P118" s="287"/>
      <c r="Q118" s="291"/>
      <c r="R118" s="287"/>
      <c r="S118" s="287"/>
    </row>
    <row r="119" spans="1:19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P119" s="287"/>
      <c r="Q119" s="287"/>
      <c r="R119" s="287"/>
      <c r="S119" s="287"/>
    </row>
    <row r="120" spans="1:19">
      <c r="A120" s="287"/>
      <c r="B120" s="287"/>
      <c r="C120" s="287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501"/>
      <c r="P120" s="291"/>
      <c r="Q120" s="287"/>
      <c r="R120" s="287"/>
      <c r="S120" s="287"/>
    </row>
    <row r="121" spans="1:19">
      <c r="A121" s="287"/>
      <c r="B121" s="287"/>
      <c r="C121" s="287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32"/>
      <c r="P121" s="291"/>
      <c r="Q121" s="287"/>
      <c r="R121" s="287"/>
      <c r="S121" s="287"/>
    </row>
    <row r="122" spans="1:19">
      <c r="A122" s="287"/>
      <c r="B122" s="287"/>
      <c r="C122" s="768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32"/>
      <c r="P122" s="291"/>
      <c r="Q122" s="287"/>
      <c r="R122" s="287"/>
      <c r="S122" s="287"/>
    </row>
    <row r="123" spans="1:19">
      <c r="A123" s="287"/>
      <c r="B123" s="287"/>
      <c r="C123" s="287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32"/>
      <c r="P123" s="291"/>
      <c r="Q123" s="287"/>
      <c r="R123" s="287"/>
      <c r="S123" s="287"/>
    </row>
    <row r="124" spans="1:19">
      <c r="A124" s="287"/>
      <c r="B124" s="287"/>
      <c r="C124" s="768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501"/>
      <c r="P124" s="291"/>
      <c r="Q124" s="287"/>
      <c r="R124" s="287"/>
      <c r="S124" s="287"/>
    </row>
    <row r="125" spans="1:19">
      <c r="A125" s="287"/>
      <c r="B125" s="287"/>
      <c r="C125" s="119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32"/>
      <c r="P125" s="291"/>
      <c r="Q125" s="287"/>
      <c r="R125" s="287"/>
      <c r="S125" s="287"/>
    </row>
    <row r="126" spans="1:19">
      <c r="A126" s="287"/>
      <c r="B126" s="287"/>
      <c r="C126" s="119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32"/>
      <c r="P126" s="291"/>
      <c r="Q126" s="287"/>
      <c r="R126" s="287"/>
      <c r="S126" s="287"/>
    </row>
    <row r="127" spans="1:19">
      <c r="A127" s="287"/>
      <c r="B127" s="287"/>
      <c r="C127" s="119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87"/>
      <c r="R127" s="287"/>
      <c r="S127" s="287"/>
    </row>
    <row r="128" spans="1:19">
      <c r="A128" s="287"/>
      <c r="B128" s="287"/>
      <c r="C128" s="119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87"/>
      <c r="R128" s="287"/>
      <c r="S128" s="287"/>
    </row>
    <row r="129" spans="3:16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291"/>
    </row>
    <row r="130" spans="3:16"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291"/>
    </row>
    <row r="131" spans="3:16"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291"/>
    </row>
    <row r="132" spans="3:16"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291"/>
    </row>
    <row r="133" spans="3:16"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>
      <c r="D136" s="10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>
      <c r="D138" s="106"/>
      <c r="E138" s="106"/>
      <c r="F138" s="106"/>
      <c r="G138" s="106"/>
      <c r="H138" s="106"/>
      <c r="I138" s="106"/>
      <c r="J138" s="1125"/>
      <c r="K138" s="106"/>
      <c r="L138" s="106"/>
      <c r="M138" s="106"/>
      <c r="N138" s="106"/>
      <c r="O138" s="106"/>
      <c r="P138" s="106"/>
    </row>
    <row r="139" spans="3:16"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>
      <c r="C140" s="768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9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1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1.1093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</row>
    <row r="2" spans="1:18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</row>
    <row r="3" spans="1:18" ht="15.75">
      <c r="A3" s="1266" t="s">
        <v>191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</row>
    <row r="4" spans="1:18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60"/>
    </row>
    <row r="5" spans="1:18">
      <c r="A5" s="1"/>
      <c r="B5" s="40"/>
      <c r="C5" s="40"/>
      <c r="D5" s="40"/>
      <c r="E5" s="40"/>
      <c r="F5" s="40"/>
      <c r="G5" s="272"/>
      <c r="H5" s="768"/>
      <c r="I5" s="83"/>
      <c r="J5" s="83"/>
      <c r="K5" s="83"/>
      <c r="L5" s="83"/>
      <c r="M5" s="83"/>
      <c r="N5" s="83"/>
      <c r="O5" s="83"/>
      <c r="P5" s="60"/>
      <c r="Q5" s="60"/>
    </row>
    <row r="6" spans="1:18" ht="15.75">
      <c r="A6" s="245" t="str">
        <f>'C.2.2 B 09'!A6</f>
        <v>Data:___X____Base Period________Forecasted Period</v>
      </c>
      <c r="B6" s="274"/>
      <c r="C6" s="245"/>
      <c r="D6" s="60"/>
      <c r="E6" s="60"/>
      <c r="F6" s="60"/>
      <c r="G6" s="60"/>
      <c r="H6" s="911"/>
      <c r="I6" s="60"/>
      <c r="K6" s="793"/>
      <c r="L6" s="60"/>
      <c r="M6" s="60"/>
      <c r="N6" s="83"/>
      <c r="O6" s="83"/>
      <c r="P6" s="662" t="s">
        <v>1524</v>
      </c>
      <c r="Q6" s="60"/>
    </row>
    <row r="7" spans="1:18">
      <c r="A7" s="245" t="str">
        <f>'C.2.2 B 09'!A7</f>
        <v>Type of Filing:___X____Original________Updated ________Revised</v>
      </c>
      <c r="B7" s="274"/>
      <c r="C7" s="245"/>
      <c r="D7" s="60"/>
      <c r="E7" s="768"/>
      <c r="F7" s="60"/>
      <c r="G7" s="60"/>
      <c r="H7" s="60"/>
      <c r="I7" s="60"/>
      <c r="J7" s="60"/>
      <c r="K7" s="60"/>
      <c r="L7" s="60"/>
      <c r="M7" s="60"/>
      <c r="N7" s="83"/>
      <c r="O7" s="83"/>
      <c r="P7" s="663" t="s">
        <v>38</v>
      </c>
      <c r="Q7" s="60"/>
    </row>
    <row r="8" spans="1:18">
      <c r="A8" s="245" t="str">
        <f>'C.2.2 B 09'!A8</f>
        <v>Workpaper Reference No(s).____________________</v>
      </c>
      <c r="B8" s="394"/>
      <c r="C8" s="275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394"/>
      <c r="P8" s="664" t="str">
        <f>C.1!J9</f>
        <v>Witness: Waller, Smith</v>
      </c>
      <c r="Q8" s="60"/>
    </row>
    <row r="9" spans="1:18">
      <c r="A9" s="665" t="s">
        <v>98</v>
      </c>
      <c r="B9" s="666" t="s">
        <v>105</v>
      </c>
      <c r="C9" s="667"/>
      <c r="D9" s="278" t="str">
        <f>'C.2.2 B 09'!D9</f>
        <v>actual</v>
      </c>
      <c r="E9" s="278" t="str">
        <f>'C.2.2 B 09'!F9</f>
        <v>actual</v>
      </c>
      <c r="F9" s="278" t="str">
        <f>'C.2.2 B 09'!F9</f>
        <v>actual</v>
      </c>
      <c r="G9" s="278" t="str">
        <f>'C.2.2 B 09'!G9</f>
        <v>actual</v>
      </c>
      <c r="H9" s="278" t="str">
        <f>'C.2.2 B 09'!H9</f>
        <v>actual</v>
      </c>
      <c r="I9" s="278" t="str">
        <f>'C.2.2 B 09'!I9</f>
        <v>actual</v>
      </c>
      <c r="J9" s="278" t="str">
        <f>'C.2.2 B 09'!J9</f>
        <v>Forecasted</v>
      </c>
      <c r="K9" s="278" t="str">
        <f>'C.2.2 B 09'!K9</f>
        <v>Budgeted</v>
      </c>
      <c r="L9" s="278" t="str">
        <f>'C.2.2 B 09'!L9</f>
        <v>Budgeted</v>
      </c>
      <c r="M9" s="278" t="str">
        <f>'C.2.2 B 09'!M9</f>
        <v>Budgeted</v>
      </c>
      <c r="N9" s="278" t="str">
        <f>'C.2.2 B 09'!N9</f>
        <v>Budgeted</v>
      </c>
      <c r="O9" s="278" t="str">
        <f>'C.2.2 B 09'!O9</f>
        <v>Budgeted</v>
      </c>
      <c r="P9" s="395"/>
      <c r="Q9" s="203"/>
    </row>
    <row r="10" spans="1:18">
      <c r="A10" s="668" t="s">
        <v>104</v>
      </c>
      <c r="B10" s="297" t="s">
        <v>104</v>
      </c>
      <c r="C10" s="669" t="s">
        <v>971</v>
      </c>
      <c r="D10" s="280">
        <f>'C.2.2 B 09'!D10</f>
        <v>42094</v>
      </c>
      <c r="E10" s="280">
        <f>'C.2.2 B 09'!F10</f>
        <v>42155</v>
      </c>
      <c r="F10" s="280">
        <f>'C.2.2 B 09'!F10</f>
        <v>42155</v>
      </c>
      <c r="G10" s="280">
        <f>'C.2.2 B 09'!G10</f>
        <v>42185</v>
      </c>
      <c r="H10" s="280">
        <f>'C.2.2 B 09'!H10</f>
        <v>42216</v>
      </c>
      <c r="I10" s="280">
        <f>'C.2.2 B 09'!I10</f>
        <v>42247</v>
      </c>
      <c r="J10" s="280">
        <f>'C.2.2 B 09'!J10</f>
        <v>42277</v>
      </c>
      <c r="K10" s="280">
        <f>'C.2.2 B 09'!K10</f>
        <v>42308</v>
      </c>
      <c r="L10" s="280">
        <f>'C.2.2 B 09'!L10</f>
        <v>42338</v>
      </c>
      <c r="M10" s="280">
        <f>'C.2.2 B 09'!M10</f>
        <v>42369</v>
      </c>
      <c r="N10" s="280">
        <f>'C.2.2 B 09'!N10</f>
        <v>42400</v>
      </c>
      <c r="O10" s="280">
        <f>'C.2.2 B 09'!O10</f>
        <v>42429</v>
      </c>
      <c r="P10" s="280" t="str">
        <f>'C.2.2 B 09'!P10</f>
        <v>Total</v>
      </c>
      <c r="Q10" s="203"/>
    </row>
    <row r="11" spans="1:18">
      <c r="A11" s="60"/>
      <c r="B11" s="60"/>
      <c r="C11" s="266"/>
      <c r="D11" s="283" t="s">
        <v>151</v>
      </c>
      <c r="E11" s="283" t="s">
        <v>151</v>
      </c>
      <c r="F11" s="283" t="s">
        <v>151</v>
      </c>
      <c r="G11" s="283" t="s">
        <v>151</v>
      </c>
      <c r="H11" s="283" t="s">
        <v>151</v>
      </c>
      <c r="I11" s="283" t="s">
        <v>151</v>
      </c>
      <c r="J11" s="258" t="s">
        <v>151</v>
      </c>
      <c r="K11" s="258" t="s">
        <v>151</v>
      </c>
      <c r="L11" s="258" t="s">
        <v>151</v>
      </c>
      <c r="M11" s="258" t="s">
        <v>151</v>
      </c>
      <c r="N11" s="258" t="s">
        <v>151</v>
      </c>
      <c r="O11" s="283" t="s">
        <v>151</v>
      </c>
      <c r="P11" s="258" t="s">
        <v>151</v>
      </c>
      <c r="Q11" s="203"/>
    </row>
    <row r="12" spans="1:18" s="1055" customFormat="1">
      <c r="A12" s="60"/>
      <c r="B12" s="1107" t="s">
        <v>750</v>
      </c>
      <c r="C12" s="130" t="s">
        <v>741</v>
      </c>
      <c r="D12" s="779">
        <v>188488.59000000358</v>
      </c>
      <c r="E12" s="779">
        <v>243921.77</v>
      </c>
      <c r="F12" s="779">
        <v>682125.79</v>
      </c>
      <c r="G12" s="779">
        <v>1051227.2899999991</v>
      </c>
      <c r="H12" s="779">
        <v>3771359.7</v>
      </c>
      <c r="I12" s="779">
        <v>-1129701.1500000001</v>
      </c>
      <c r="J12" s="779"/>
      <c r="K12" s="779"/>
      <c r="L12" s="779"/>
      <c r="M12" s="779"/>
      <c r="N12" s="779"/>
      <c r="O12" s="779"/>
      <c r="P12" s="203">
        <f t="shared" ref="P12:P13" si="0">SUM(D12:O12)</f>
        <v>4807421.9900000021</v>
      </c>
      <c r="Q12" s="203"/>
      <c r="R12" s="1057"/>
    </row>
    <row r="13" spans="1:18" s="1055" customFormat="1">
      <c r="A13" s="60"/>
      <c r="B13" s="60"/>
      <c r="C13" s="266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03">
        <f t="shared" si="0"/>
        <v>0</v>
      </c>
      <c r="Q13" s="203"/>
    </row>
    <row r="14" spans="1:18">
      <c r="A14" s="104">
        <v>1</v>
      </c>
      <c r="B14" s="393">
        <v>4030</v>
      </c>
      <c r="C14" s="266" t="s">
        <v>96</v>
      </c>
      <c r="D14" s="779">
        <v>-1.1525003174028825E-10</v>
      </c>
      <c r="E14" s="779">
        <v>-8.7311491370201111E-11</v>
      </c>
      <c r="F14" s="779">
        <v>-8.7311491370201111E-11</v>
      </c>
      <c r="G14" s="779">
        <v>-5.8207660913467407E-11</v>
      </c>
      <c r="H14" s="779">
        <v>-1.0186340659856796E-10</v>
      </c>
      <c r="I14" s="779">
        <v>-2.9103830456733704E-11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3">
        <f>SUM(D14:O14)</f>
        <v>-4.7904791244945955E-10</v>
      </c>
      <c r="Q14" s="768"/>
      <c r="R14" s="1057"/>
    </row>
    <row r="15" spans="1:18">
      <c r="A15" s="104">
        <f>A14+1</f>
        <v>2</v>
      </c>
      <c r="B15" s="397">
        <v>4081</v>
      </c>
      <c r="C15" s="203" t="s">
        <v>880</v>
      </c>
      <c r="D15" s="779">
        <v>-1.0000000079745774E-2</v>
      </c>
      <c r="E15" s="779">
        <v>1.0000000026138878E-2</v>
      </c>
      <c r="F15" s="779">
        <v>9.9999998451494321E-3</v>
      </c>
      <c r="G15" s="779">
        <v>4.8203219193965197E-11</v>
      </c>
      <c r="H15" s="779">
        <v>2.9999999999899107E-2</v>
      </c>
      <c r="I15" s="779">
        <v>1.9999999955237074E-2</v>
      </c>
      <c r="J15" s="779">
        <v>0</v>
      </c>
      <c r="K15" s="779">
        <v>0</v>
      </c>
      <c r="L15" s="779">
        <v>0</v>
      </c>
      <c r="M15" s="779">
        <v>0</v>
      </c>
      <c r="N15" s="779">
        <v>0</v>
      </c>
      <c r="O15" s="779">
        <v>0</v>
      </c>
      <c r="P15" s="203">
        <f>SUM(D15:O15)</f>
        <v>5.9999999794881936E-2</v>
      </c>
      <c r="Q15" s="768"/>
    </row>
    <row r="16" spans="1:18">
      <c r="A16" s="104">
        <f t="shared" ref="A16:A40" si="1">A15+1</f>
        <v>3</v>
      </c>
      <c r="B16" s="397">
        <v>8560</v>
      </c>
      <c r="C16" s="203" t="s">
        <v>928</v>
      </c>
      <c r="D16" s="779">
        <v>0</v>
      </c>
      <c r="E16" s="779">
        <v>555.19999999999982</v>
      </c>
      <c r="F16" s="779">
        <v>-229.90999999999985</v>
      </c>
      <c r="G16" s="779">
        <v>68.739999999999995</v>
      </c>
      <c r="H16" s="779">
        <v>46.490000000000023</v>
      </c>
      <c r="I16" s="779">
        <v>109.21</v>
      </c>
      <c r="J16" s="779">
        <v>168.31319621331158</v>
      </c>
      <c r="K16" s="779">
        <v>123.06347623187116</v>
      </c>
      <c r="L16" s="779">
        <v>122.62178395601271</v>
      </c>
      <c r="M16" s="779">
        <v>122.71190675555241</v>
      </c>
      <c r="N16" s="779">
        <v>123.01439310108097</v>
      </c>
      <c r="O16" s="779">
        <v>120.80237128735922</v>
      </c>
      <c r="P16" s="203">
        <f t="shared" ref="P16:P35" si="2">SUM(D16:O16)</f>
        <v>1330.257127545188</v>
      </c>
      <c r="Q16" s="203"/>
    </row>
    <row r="17" spans="1:17">
      <c r="A17" s="104">
        <f t="shared" si="1"/>
        <v>4</v>
      </c>
      <c r="B17" s="397">
        <v>8700</v>
      </c>
      <c r="C17" s="203" t="s">
        <v>932</v>
      </c>
      <c r="D17" s="779">
        <v>12344.87</v>
      </c>
      <c r="E17" s="779">
        <v>6006.1399999999994</v>
      </c>
      <c r="F17" s="779">
        <v>774.10999999999865</v>
      </c>
      <c r="G17" s="779">
        <v>150.88999999999817</v>
      </c>
      <c r="H17" s="779">
        <v>10189.64</v>
      </c>
      <c r="I17" s="779">
        <v>610.85999999999797</v>
      </c>
      <c r="J17" s="779">
        <v>9128.2736625265643</v>
      </c>
      <c r="K17" s="779">
        <v>6766.933543372952</v>
      </c>
      <c r="L17" s="779">
        <v>6715.9367995305147</v>
      </c>
      <c r="M17" s="779">
        <v>6769.975187592192</v>
      </c>
      <c r="N17" s="779">
        <v>6729.2783453771772</v>
      </c>
      <c r="O17" s="779">
        <v>6614.7658270827824</v>
      </c>
      <c r="P17" s="203">
        <f t="shared" si="2"/>
        <v>72801.673365482173</v>
      </c>
      <c r="Q17" s="203"/>
    </row>
    <row r="18" spans="1:17">
      <c r="A18" s="104">
        <f t="shared" si="1"/>
        <v>5</v>
      </c>
      <c r="B18" s="397">
        <v>8740</v>
      </c>
      <c r="C18" s="203" t="s">
        <v>934</v>
      </c>
      <c r="D18" s="779">
        <v>13304.42</v>
      </c>
      <c r="E18" s="779">
        <v>2002.1999999999998</v>
      </c>
      <c r="F18" s="779">
        <v>9281.380000000001</v>
      </c>
      <c r="G18" s="779">
        <v>11402.989999999998</v>
      </c>
      <c r="H18" s="779">
        <v>-1564.7399999999991</v>
      </c>
      <c r="I18" s="779">
        <v>10023.68</v>
      </c>
      <c r="J18" s="779">
        <v>9151.0828101670031</v>
      </c>
      <c r="K18" s="779">
        <v>15469.342759910836</v>
      </c>
      <c r="L18" s="779">
        <v>10016.69123909631</v>
      </c>
      <c r="M18" s="779">
        <v>9675.9005190454009</v>
      </c>
      <c r="N18" s="779">
        <v>9846.2958790708544</v>
      </c>
      <c r="O18" s="779">
        <v>9675.9005190454009</v>
      </c>
      <c r="P18" s="203">
        <f t="shared" si="2"/>
        <v>108285.14372633581</v>
      </c>
      <c r="Q18" s="203"/>
    </row>
    <row r="19" spans="1:17">
      <c r="A19" s="104">
        <f t="shared" si="1"/>
        <v>6</v>
      </c>
      <c r="B19" s="397">
        <v>8780</v>
      </c>
      <c r="C19" s="203" t="s">
        <v>938</v>
      </c>
      <c r="D19" s="779">
        <v>-1002.23</v>
      </c>
      <c r="E19" s="779">
        <v>0</v>
      </c>
      <c r="F19" s="779">
        <v>0</v>
      </c>
      <c r="G19" s="779">
        <v>0</v>
      </c>
      <c r="H19" s="779">
        <v>0</v>
      </c>
      <c r="I19" s="779">
        <v>0</v>
      </c>
      <c r="J19" s="779">
        <v>-183.15515685144194</v>
      </c>
      <c r="K19" s="779">
        <v>-191.26525189209588</v>
      </c>
      <c r="L19" s="779">
        <v>-182.5836009721601</v>
      </c>
      <c r="M19" s="779">
        <v>-199.94690012243532</v>
      </c>
      <c r="N19" s="779">
        <v>-182.5836009721601</v>
      </c>
      <c r="O19" s="779">
        <v>-182.5836009721601</v>
      </c>
      <c r="P19" s="203">
        <f t="shared" si="2"/>
        <v>-2124.3481117824535</v>
      </c>
      <c r="Q19" s="203"/>
    </row>
    <row r="20" spans="1:17">
      <c r="A20" s="104">
        <f t="shared" si="1"/>
        <v>7</v>
      </c>
      <c r="B20" s="397">
        <v>8800</v>
      </c>
      <c r="C20" s="203" t="s">
        <v>940</v>
      </c>
      <c r="D20" s="779">
        <v>0</v>
      </c>
      <c r="E20" s="779">
        <v>10.81</v>
      </c>
      <c r="F20" s="779">
        <v>0</v>
      </c>
      <c r="G20" s="779">
        <v>517.41999999999996</v>
      </c>
      <c r="H20" s="779">
        <v>40.46</v>
      </c>
      <c r="I20" s="779">
        <v>0</v>
      </c>
      <c r="J20" s="779">
        <v>105.17845499409778</v>
      </c>
      <c r="K20" s="779">
        <v>128.00565495706439</v>
      </c>
      <c r="L20" s="779">
        <v>126.77645120510485</v>
      </c>
      <c r="M20" s="779">
        <v>127.27927466961505</v>
      </c>
      <c r="N20" s="779">
        <v>127.52789267664555</v>
      </c>
      <c r="O20" s="779">
        <v>127.46308027125565</v>
      </c>
      <c r="P20" s="203">
        <f t="shared" si="2"/>
        <v>1310.9208087737832</v>
      </c>
      <c r="Q20" s="203"/>
    </row>
    <row r="21" spans="1:17">
      <c r="A21" s="104">
        <f t="shared" si="1"/>
        <v>8</v>
      </c>
      <c r="B21" s="397">
        <v>9010</v>
      </c>
      <c r="C21" s="203" t="s">
        <v>186</v>
      </c>
      <c r="D21" s="779">
        <v>0</v>
      </c>
      <c r="E21" s="779">
        <v>499.76</v>
      </c>
      <c r="F21" s="779">
        <v>7088.05</v>
      </c>
      <c r="G21" s="779">
        <v>153.49</v>
      </c>
      <c r="H21" s="779">
        <v>361.78999999999996</v>
      </c>
      <c r="I21" s="779">
        <v>0</v>
      </c>
      <c r="J21" s="779">
        <v>1612.4489369719408</v>
      </c>
      <c r="K21" s="779">
        <v>1816.0056321022</v>
      </c>
      <c r="L21" s="779">
        <v>1798.6389711831266</v>
      </c>
      <c r="M21" s="779">
        <v>1806.4707035416932</v>
      </c>
      <c r="N21" s="779">
        <v>1806.890193833412</v>
      </c>
      <c r="O21" s="779">
        <v>1803.8278839385414</v>
      </c>
      <c r="P21" s="203">
        <f t="shared" si="2"/>
        <v>18747.372321570918</v>
      </c>
      <c r="Q21" s="203"/>
    </row>
    <row r="22" spans="1:17">
      <c r="A22" s="104">
        <f t="shared" si="1"/>
        <v>9</v>
      </c>
      <c r="B22" s="397">
        <v>9030</v>
      </c>
      <c r="C22" s="203" t="s">
        <v>956</v>
      </c>
      <c r="D22" s="779">
        <v>3706.32</v>
      </c>
      <c r="E22" s="779">
        <v>3706.32</v>
      </c>
      <c r="F22" s="779">
        <v>3537.8300000000004</v>
      </c>
      <c r="G22" s="779">
        <v>3706.31</v>
      </c>
      <c r="H22" s="779">
        <v>3874.81</v>
      </c>
      <c r="I22" s="779">
        <v>3537.84</v>
      </c>
      <c r="J22" s="779">
        <v>4033.1360199474348</v>
      </c>
      <c r="K22" s="779">
        <v>4211.7229458956299</v>
      </c>
      <c r="L22" s="779">
        <v>4020.5501739151878</v>
      </c>
      <c r="M22" s="779">
        <v>4402.8956586502864</v>
      </c>
      <c r="N22" s="779">
        <v>4020.5501739151878</v>
      </c>
      <c r="O22" s="779">
        <v>4020.5501739151878</v>
      </c>
      <c r="P22" s="203">
        <f t="shared" si="2"/>
        <v>46778.835146238911</v>
      </c>
      <c r="Q22" s="203"/>
    </row>
    <row r="23" spans="1:17">
      <c r="A23" s="104">
        <f t="shared" si="1"/>
        <v>10</v>
      </c>
      <c r="B23" s="397">
        <v>9100</v>
      </c>
      <c r="C23" s="203" t="s">
        <v>959</v>
      </c>
      <c r="D23" s="779">
        <v>446.95</v>
      </c>
      <c r="E23" s="779">
        <v>0</v>
      </c>
      <c r="F23" s="779">
        <v>0</v>
      </c>
      <c r="G23" s="779">
        <v>0</v>
      </c>
      <c r="H23" s="779">
        <v>0</v>
      </c>
      <c r="I23" s="779">
        <v>0</v>
      </c>
      <c r="J23" s="779">
        <v>82.164237684428073</v>
      </c>
      <c r="K23" s="779">
        <v>100.42954386998044</v>
      </c>
      <c r="L23" s="779">
        <v>99.43368315400258</v>
      </c>
      <c r="M23" s="779">
        <v>99.796253803023646</v>
      </c>
      <c r="N23" s="779">
        <v>99.915902117200588</v>
      </c>
      <c r="O23" s="779">
        <v>99.978747696364238</v>
      </c>
      <c r="P23" s="203">
        <f t="shared" si="2"/>
        <v>1028.6683683249996</v>
      </c>
      <c r="Q23" s="203"/>
    </row>
    <row r="24" spans="1:17">
      <c r="A24" s="104">
        <f t="shared" si="1"/>
        <v>11</v>
      </c>
      <c r="B24" s="397">
        <v>9120</v>
      </c>
      <c r="C24" s="119" t="s">
        <v>961</v>
      </c>
      <c r="D24" s="779">
        <v>0</v>
      </c>
      <c r="E24" s="779">
        <v>0</v>
      </c>
      <c r="F24" s="779">
        <v>399.75</v>
      </c>
      <c r="G24" s="779">
        <v>0</v>
      </c>
      <c r="H24" s="779">
        <v>275</v>
      </c>
      <c r="I24" s="779">
        <v>2244.69</v>
      </c>
      <c r="J24" s="779">
        <v>871.21280327120689</v>
      </c>
      <c r="K24" s="779">
        <v>485.23598045316345</v>
      </c>
      <c r="L24" s="779">
        <v>408.91632937167833</v>
      </c>
      <c r="M24" s="779">
        <v>372.2828968525655</v>
      </c>
      <c r="N24" s="779">
        <v>469.53593794497226</v>
      </c>
      <c r="O24" s="779">
        <v>372.2828968525655</v>
      </c>
      <c r="P24" s="203">
        <f t="shared" si="2"/>
        <v>5898.9068447461514</v>
      </c>
      <c r="Q24" s="203"/>
    </row>
    <row r="25" spans="1:17">
      <c r="A25" s="104">
        <f t="shared" si="1"/>
        <v>12</v>
      </c>
      <c r="B25" s="397">
        <v>9200</v>
      </c>
      <c r="C25" s="203" t="s">
        <v>187</v>
      </c>
      <c r="D25" s="779">
        <v>-1579484.34</v>
      </c>
      <c r="E25" s="779">
        <v>-1201722.1799999997</v>
      </c>
      <c r="F25" s="779">
        <v>-261629.64999999959</v>
      </c>
      <c r="G25" s="779">
        <v>-2885600.439999999</v>
      </c>
      <c r="H25" s="779">
        <v>-5481318.5500000045</v>
      </c>
      <c r="I25" s="779">
        <v>-4808653.820000004</v>
      </c>
      <c r="J25" s="779">
        <v>-1980907.0907567763</v>
      </c>
      <c r="K25" s="779">
        <v>-1219679.8223755257</v>
      </c>
      <c r="L25" s="779">
        <v>-1705914.9405951253</v>
      </c>
      <c r="M25" s="779">
        <v>-1183538.6646098779</v>
      </c>
      <c r="N25" s="779">
        <v>-2255233.3904868658</v>
      </c>
      <c r="O25" s="779">
        <v>-2717546.9778292608</v>
      </c>
      <c r="P25" s="203">
        <f t="shared" si="2"/>
        <v>-27281229.866653435</v>
      </c>
      <c r="Q25" s="203"/>
    </row>
    <row r="26" spans="1:17">
      <c r="A26" s="104">
        <f t="shared" si="1"/>
        <v>13</v>
      </c>
      <c r="B26" s="397">
        <v>9210</v>
      </c>
      <c r="C26" s="203" t="s">
        <v>963</v>
      </c>
      <c r="D26" s="779">
        <v>1249144.0200000003</v>
      </c>
      <c r="E26" s="779">
        <v>1505038.1899999985</v>
      </c>
      <c r="F26" s="779">
        <v>1602763.9199999997</v>
      </c>
      <c r="G26" s="779">
        <v>1774936.2400000007</v>
      </c>
      <c r="H26" s="779">
        <v>1683390.9000000008</v>
      </c>
      <c r="I26" s="779">
        <v>1837310.1600000008</v>
      </c>
      <c r="J26" s="779">
        <v>2076217.4855367215</v>
      </c>
      <c r="K26" s="779">
        <v>2380748.2612314536</v>
      </c>
      <c r="L26" s="779">
        <v>2078660.7962752618</v>
      </c>
      <c r="M26" s="779">
        <v>2124420.4122857205</v>
      </c>
      <c r="N26" s="779">
        <v>2078153.2489235678</v>
      </c>
      <c r="O26" s="779">
        <v>2006137.509979483</v>
      </c>
      <c r="P26" s="203">
        <f t="shared" si="2"/>
        <v>22396921.144232206</v>
      </c>
      <c r="Q26" s="203"/>
    </row>
    <row r="27" spans="1:17">
      <c r="A27" s="104">
        <f t="shared" si="1"/>
        <v>14</v>
      </c>
      <c r="B27" s="397">
        <v>9220</v>
      </c>
      <c r="C27" s="203" t="s">
        <v>964</v>
      </c>
      <c r="D27" s="779">
        <v>-7204502.6800000016</v>
      </c>
      <c r="E27" s="779">
        <v>-6106733.1499999985</v>
      </c>
      <c r="F27" s="779">
        <v>-6844688.9299999932</v>
      </c>
      <c r="G27" s="779">
        <v>-6008451.9700000025</v>
      </c>
      <c r="H27" s="779">
        <v>-14931070.290000014</v>
      </c>
      <c r="I27" s="779">
        <v>2200870.8299999852</v>
      </c>
      <c r="J27" s="1152">
        <f t="shared" ref="J27:O27" si="3">-(SUM(J14:J26,J28:J35))</f>
        <v>-6723910.1800000025</v>
      </c>
      <c r="K27" s="1152">
        <f t="shared" si="3"/>
        <v>-7827801.5286666676</v>
      </c>
      <c r="L27" s="1152">
        <f t="shared" si="3"/>
        <v>-7366139.9686666699</v>
      </c>
      <c r="M27" s="1152">
        <f t="shared" si="3"/>
        <v>-8272202.0286666695</v>
      </c>
      <c r="N27" s="1152">
        <f t="shared" si="3"/>
        <v>-7032001.2453333354</v>
      </c>
      <c r="O27" s="1152">
        <f t="shared" si="3"/>
        <v>-6295030.2953333361</v>
      </c>
      <c r="P27" s="203">
        <f t="shared" si="2"/>
        <v>-82411661.436666712</v>
      </c>
      <c r="Q27" s="768"/>
    </row>
    <row r="28" spans="1:17">
      <c r="A28" s="104">
        <f t="shared" si="1"/>
        <v>15</v>
      </c>
      <c r="B28" s="397">
        <v>9230</v>
      </c>
      <c r="C28" s="203" t="s">
        <v>965</v>
      </c>
      <c r="D28" s="779">
        <v>554634.34</v>
      </c>
      <c r="E28" s="779">
        <v>481432.66999999993</v>
      </c>
      <c r="F28" s="779">
        <v>555984.48</v>
      </c>
      <c r="G28" s="779">
        <v>917907.62</v>
      </c>
      <c r="H28" s="779">
        <v>627190.75</v>
      </c>
      <c r="I28" s="779">
        <v>682005.23</v>
      </c>
      <c r="J28" s="779">
        <v>654546.32514122978</v>
      </c>
      <c r="K28" s="779">
        <v>715272.8963810174</v>
      </c>
      <c r="L28" s="779">
        <v>720222.0182598806</v>
      </c>
      <c r="M28" s="779">
        <v>718597.5701347359</v>
      </c>
      <c r="N28" s="779">
        <v>751307.12012409198</v>
      </c>
      <c r="O28" s="779">
        <v>725693.5811876629</v>
      </c>
      <c r="P28" s="203">
        <f t="shared" si="2"/>
        <v>8104794.601228619</v>
      </c>
      <c r="Q28" s="203"/>
    </row>
    <row r="29" spans="1:17">
      <c r="A29" s="104">
        <f t="shared" si="1"/>
        <v>16</v>
      </c>
      <c r="B29" s="397">
        <v>9240</v>
      </c>
      <c r="C29" s="203" t="s">
        <v>966</v>
      </c>
      <c r="D29" s="779">
        <v>13536.98</v>
      </c>
      <c r="E29" s="779">
        <v>13536.98</v>
      </c>
      <c r="F29" s="779">
        <v>13536.98</v>
      </c>
      <c r="G29" s="779">
        <v>13536.98</v>
      </c>
      <c r="H29" s="779">
        <v>13615.279999999999</v>
      </c>
      <c r="I29" s="779">
        <v>13543.439999999999</v>
      </c>
      <c r="J29" s="779">
        <v>13835.200289422799</v>
      </c>
      <c r="K29" s="779">
        <v>14784.389220745794</v>
      </c>
      <c r="L29" s="779">
        <v>14983.287925004443</v>
      </c>
      <c r="M29" s="779">
        <v>14983.35668322843</v>
      </c>
      <c r="N29" s="779">
        <v>14983.379373442345</v>
      </c>
      <c r="O29" s="779">
        <v>14983.391291534504</v>
      </c>
      <c r="P29" s="203">
        <f t="shared" si="2"/>
        <v>169859.64478337832</v>
      </c>
      <c r="Q29" s="203"/>
    </row>
    <row r="30" spans="1:17">
      <c r="A30" s="104">
        <f t="shared" si="1"/>
        <v>17</v>
      </c>
      <c r="B30" s="397">
        <v>9250</v>
      </c>
      <c r="C30" s="203" t="s">
        <v>967</v>
      </c>
      <c r="D30" s="779">
        <v>1556099.58</v>
      </c>
      <c r="E30" s="779">
        <v>514911.73999999976</v>
      </c>
      <c r="F30" s="779">
        <v>557022.37999999989</v>
      </c>
      <c r="G30" s="779">
        <v>1557218.5799999998</v>
      </c>
      <c r="H30" s="779">
        <v>1560234.16</v>
      </c>
      <c r="I30" s="779">
        <v>1644852.8399999999</v>
      </c>
      <c r="J30" s="779">
        <v>1598700.0504240855</v>
      </c>
      <c r="K30" s="779">
        <v>1705929.2714354382</v>
      </c>
      <c r="L30" s="779">
        <v>1726834.3294408235</v>
      </c>
      <c r="M30" s="779">
        <v>1730047.6870852425</v>
      </c>
      <c r="N30" s="779">
        <v>1726834.3294408235</v>
      </c>
      <c r="O30" s="779">
        <v>1726834.3294408235</v>
      </c>
      <c r="P30" s="203">
        <f t="shared" si="2"/>
        <v>17605519.277267236</v>
      </c>
      <c r="Q30" s="203"/>
    </row>
    <row r="31" spans="1:17">
      <c r="A31" s="104">
        <f t="shared" si="1"/>
        <v>18</v>
      </c>
      <c r="B31" s="397">
        <v>9260</v>
      </c>
      <c r="C31" s="203" t="s">
        <v>968</v>
      </c>
      <c r="D31" s="779">
        <v>3191076.5699999961</v>
      </c>
      <c r="E31" s="779">
        <v>3057681.0599999968</v>
      </c>
      <c r="F31" s="779">
        <v>2761670.4400000027</v>
      </c>
      <c r="G31" s="779">
        <v>8736017.2399999946</v>
      </c>
      <c r="H31" s="779">
        <v>6882904.7500000112</v>
      </c>
      <c r="I31" s="779">
        <v>1762802.3200000015</v>
      </c>
      <c r="J31" s="779">
        <v>3496495.7220191662</v>
      </c>
      <c r="K31" s="779">
        <v>3363742.329356838</v>
      </c>
      <c r="L31" s="779">
        <v>3701920.891754196</v>
      </c>
      <c r="M31" s="779">
        <v>3791338.8342712107</v>
      </c>
      <c r="N31" s="779">
        <v>3812051.0229517124</v>
      </c>
      <c r="O31" s="779">
        <v>3643470.3610119428</v>
      </c>
      <c r="P31" s="203">
        <f t="shared" si="2"/>
        <v>48201171.541365072</v>
      </c>
      <c r="Q31" s="203"/>
    </row>
    <row r="32" spans="1:17">
      <c r="A32" s="104">
        <f t="shared" si="1"/>
        <v>19</v>
      </c>
      <c r="B32" s="397">
        <v>9301</v>
      </c>
      <c r="C32" s="203" t="s">
        <v>188</v>
      </c>
      <c r="D32" s="779">
        <v>0</v>
      </c>
      <c r="E32" s="779">
        <v>0</v>
      </c>
      <c r="F32" s="779">
        <v>0</v>
      </c>
      <c r="G32" s="779">
        <v>49000</v>
      </c>
      <c r="H32" s="779">
        <v>0</v>
      </c>
      <c r="I32" s="779">
        <v>0</v>
      </c>
      <c r="J32" s="779">
        <v>5428.9684342813534</v>
      </c>
      <c r="K32" s="779">
        <v>4444.7359990364439</v>
      </c>
      <c r="L32" s="779">
        <v>4209.3259088353061</v>
      </c>
      <c r="M32" s="779">
        <v>9286.3265618306923</v>
      </c>
      <c r="N32" s="779">
        <v>6155.1780185119169</v>
      </c>
      <c r="O32" s="779">
        <v>6081.6180412482327</v>
      </c>
      <c r="P32" s="203">
        <f t="shared" si="2"/>
        <v>84606.152963743953</v>
      </c>
      <c r="Q32" s="203"/>
    </row>
    <row r="33" spans="1:18">
      <c r="A33" s="104">
        <f t="shared" si="1"/>
        <v>20</v>
      </c>
      <c r="B33" s="397">
        <v>9302</v>
      </c>
      <c r="C33" s="203" t="s">
        <v>875</v>
      </c>
      <c r="D33" s="779">
        <v>1754684.69</v>
      </c>
      <c r="E33" s="779">
        <v>264937.00999999995</v>
      </c>
      <c r="F33" s="779">
        <v>76913.89</v>
      </c>
      <c r="G33" s="779">
        <v>317125.99000000005</v>
      </c>
      <c r="H33" s="779">
        <v>363534.39000000007</v>
      </c>
      <c r="I33" s="779">
        <v>82445.079999999987</v>
      </c>
      <c r="J33" s="779">
        <v>332147.74997282546</v>
      </c>
      <c r="K33" s="779">
        <v>291416.11199540284</v>
      </c>
      <c r="L33" s="779">
        <v>268744.94624794909</v>
      </c>
      <c r="M33" s="779">
        <v>540582.17082217766</v>
      </c>
      <c r="N33" s="779">
        <v>373503.55196243984</v>
      </c>
      <c r="O33" s="779">
        <v>366998.30544584792</v>
      </c>
      <c r="P33" s="203">
        <f t="shared" si="2"/>
        <v>5033033.8864466436</v>
      </c>
      <c r="Q33" s="203"/>
    </row>
    <row r="34" spans="1:18">
      <c r="A34" s="104">
        <f t="shared" si="1"/>
        <v>21</v>
      </c>
      <c r="B34" s="397">
        <v>9310</v>
      </c>
      <c r="C34" s="203" t="s">
        <v>189</v>
      </c>
      <c r="D34" s="779">
        <v>425099.12000000005</v>
      </c>
      <c r="E34" s="779">
        <v>415146.39000000013</v>
      </c>
      <c r="F34" s="779">
        <v>438152.84000000014</v>
      </c>
      <c r="G34" s="779">
        <v>410794.48</v>
      </c>
      <c r="H34" s="779">
        <v>431262.11000000004</v>
      </c>
      <c r="I34" s="779">
        <v>404455.09000000008</v>
      </c>
      <c r="J34" s="779">
        <v>443653.50976625265</v>
      </c>
      <c r="K34" s="779">
        <v>472809.36389307916</v>
      </c>
      <c r="L34" s="779">
        <v>472415.08858076163</v>
      </c>
      <c r="M34" s="779">
        <v>440956.26265308785</v>
      </c>
      <c r="N34" s="779">
        <v>441146.69953790621</v>
      </c>
      <c r="O34" s="779">
        <v>440844.82376788132</v>
      </c>
      <c r="P34" s="203">
        <f t="shared" si="2"/>
        <v>5236735.7781989686</v>
      </c>
      <c r="Q34" s="203"/>
    </row>
    <row r="35" spans="1:18">
      <c r="A35" s="104">
        <f t="shared" si="1"/>
        <v>22</v>
      </c>
      <c r="B35" s="397">
        <v>9320</v>
      </c>
      <c r="C35" s="203" t="s">
        <v>190</v>
      </c>
      <c r="D35" s="779">
        <v>53285.08</v>
      </c>
      <c r="E35" s="779">
        <v>43331.92</v>
      </c>
      <c r="F35" s="779">
        <v>79999.809999999983</v>
      </c>
      <c r="G35" s="779">
        <v>52072.6</v>
      </c>
      <c r="H35" s="779">
        <v>16688.240000000002</v>
      </c>
      <c r="I35" s="779">
        <v>31285.159999999996</v>
      </c>
      <c r="J35" s="779">
        <v>58823.604207868397</v>
      </c>
      <c r="K35" s="779">
        <v>69424.51724428068</v>
      </c>
      <c r="L35" s="779">
        <v>60937.243038643341</v>
      </c>
      <c r="M35" s="779">
        <v>62350.707278524991</v>
      </c>
      <c r="N35" s="779">
        <v>60059.680370641057</v>
      </c>
      <c r="O35" s="779">
        <v>58880.365097055837</v>
      </c>
      <c r="P35" s="203">
        <f t="shared" si="2"/>
        <v>647138.92723701429</v>
      </c>
      <c r="Q35" s="203"/>
    </row>
    <row r="36" spans="1:18" ht="15.75" thickBot="1">
      <c r="A36" s="104">
        <f t="shared" si="1"/>
        <v>23</v>
      </c>
      <c r="B36" s="287" t="s">
        <v>751</v>
      </c>
      <c r="C36" s="240"/>
      <c r="D36" s="289">
        <f t="shared" ref="D36:O36" si="4">SUM(D14:D35)</f>
        <v>42373.679999994914</v>
      </c>
      <c r="E36" s="289">
        <f t="shared" si="4"/>
        <v>-999658.93000000168</v>
      </c>
      <c r="F36" s="289">
        <f t="shared" si="4"/>
        <v>-999422.61999999045</v>
      </c>
      <c r="G36" s="289">
        <f t="shared" si="4"/>
        <v>4950557.1599999946</v>
      </c>
      <c r="H36" s="289">
        <f t="shared" si="4"/>
        <v>-8820344.7800000068</v>
      </c>
      <c r="I36" s="289">
        <f t="shared" si="4"/>
        <v>3867442.6299999831</v>
      </c>
      <c r="J36" s="289">
        <f t="shared" si="4"/>
        <v>-1.57160684466362E-9</v>
      </c>
      <c r="K36" s="289">
        <f t="shared" si="4"/>
        <v>1.8189894035458565E-9</v>
      </c>
      <c r="L36" s="289">
        <f t="shared" si="4"/>
        <v>-2.1827872842550278E-10</v>
      </c>
      <c r="M36" s="289">
        <f t="shared" si="4"/>
        <v>-9.3132257461547852E-10</v>
      </c>
      <c r="N36" s="289">
        <f t="shared" si="4"/>
        <v>6.4028427004814148E-10</v>
      </c>
      <c r="O36" s="289">
        <f t="shared" si="4"/>
        <v>1.0186340659856796E-10</v>
      </c>
      <c r="P36" s="289">
        <f>SUM(P12:P35)</f>
        <v>2848369.1299999766</v>
      </c>
      <c r="Q36" s="287"/>
    </row>
    <row r="37" spans="1:18" ht="15.75" thickTop="1">
      <c r="A37" s="104">
        <f t="shared" si="1"/>
        <v>24</v>
      </c>
      <c r="B37" s="291"/>
      <c r="C37" s="291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91"/>
      <c r="P37" s="287"/>
      <c r="Q37" s="287"/>
    </row>
    <row r="38" spans="1:18">
      <c r="A38" s="104">
        <f t="shared" si="1"/>
        <v>25</v>
      </c>
      <c r="B38" s="476">
        <f>B27</f>
        <v>9220</v>
      </c>
      <c r="C38" s="476" t="str">
        <f>C27</f>
        <v>A&amp;G-Administrative expense transferred-Credit</v>
      </c>
      <c r="D38" s="477">
        <f>D27</f>
        <v>-7204502.6800000016</v>
      </c>
      <c r="E38" s="477">
        <f t="shared" ref="E38:I38" si="5">E27</f>
        <v>-6106733.1499999985</v>
      </c>
      <c r="F38" s="477">
        <f t="shared" si="5"/>
        <v>-6844688.9299999932</v>
      </c>
      <c r="G38" s="477">
        <f t="shared" si="5"/>
        <v>-6008451.9700000025</v>
      </c>
      <c r="H38" s="477">
        <f t="shared" si="5"/>
        <v>-14931070.290000014</v>
      </c>
      <c r="I38" s="477">
        <f t="shared" si="5"/>
        <v>2200870.8299999852</v>
      </c>
      <c r="J38" s="477">
        <f t="shared" ref="J38:K38" si="6">-(J36-J27)</f>
        <v>-6723910.1800000006</v>
      </c>
      <c r="K38" s="477">
        <f t="shared" si="6"/>
        <v>-7827801.5286666695</v>
      </c>
      <c r="L38" s="477">
        <f>L27</f>
        <v>-7366139.9686666699</v>
      </c>
      <c r="M38" s="477">
        <f>M27</f>
        <v>-8272202.0286666695</v>
      </c>
      <c r="N38" s="477">
        <f>N27</f>
        <v>-7032001.2453333354</v>
      </c>
      <c r="O38" s="477">
        <f>O27</f>
        <v>-6295030.2953333361</v>
      </c>
      <c r="P38" s="203">
        <f t="shared" ref="P38" si="7">SUM(D38:O38)</f>
        <v>-82411661.436666712</v>
      </c>
      <c r="Q38" s="287"/>
    </row>
    <row r="39" spans="1:18">
      <c r="A39" s="104">
        <f t="shared" si="1"/>
        <v>26</v>
      </c>
      <c r="B39" s="291"/>
      <c r="C39" s="478" t="s">
        <v>200</v>
      </c>
      <c r="D39" s="499">
        <f>D40/D38</f>
        <v>5.4236575008116995E-2</v>
      </c>
      <c r="E39" s="499">
        <f t="shared" ref="E39:I39" si="8">E40/E38</f>
        <v>5.4800545853227613E-2</v>
      </c>
      <c r="F39" s="499">
        <f t="shared" si="8"/>
        <v>5.4733425263198979E-2</v>
      </c>
      <c r="G39" s="499">
        <f t="shared" si="8"/>
        <v>5.4849201033057411E-2</v>
      </c>
      <c r="H39" s="499">
        <f t="shared" si="8"/>
        <v>5.3945858826976244E-2</v>
      </c>
      <c r="I39" s="499">
        <f t="shared" si="8"/>
        <v>4.9965758326671418E-2</v>
      </c>
      <c r="J39" s="499">
        <f>Allocation!$I$14</f>
        <v>5.2575879716356848E-2</v>
      </c>
      <c r="K39" s="499">
        <f>Allocation!$I$14</f>
        <v>5.2575879716356848E-2</v>
      </c>
      <c r="L39" s="499">
        <f>Allocation!$I$14</f>
        <v>5.2575879716356848E-2</v>
      </c>
      <c r="M39" s="499">
        <f>Allocation!$I$14</f>
        <v>5.2575879716356848E-2</v>
      </c>
      <c r="N39" s="499">
        <f>Allocation!$I$14</f>
        <v>5.2575879716356848E-2</v>
      </c>
      <c r="O39" s="499">
        <f>Allocation!$I$14</f>
        <v>5.2575879716356848E-2</v>
      </c>
      <c r="P39" s="499">
        <f t="shared" ref="P39" si="9">P40/P38</f>
        <v>5.3548758908672334E-2</v>
      </c>
      <c r="Q39" s="287"/>
      <c r="R39" s="1057"/>
    </row>
    <row r="40" spans="1:18">
      <c r="A40" s="104">
        <f t="shared" si="1"/>
        <v>27</v>
      </c>
      <c r="B40" s="291"/>
      <c r="C40" s="291" t="s">
        <v>215</v>
      </c>
      <c r="D40" s="291">
        <v>-390747.55</v>
      </c>
      <c r="E40" s="291">
        <v>-334652.31</v>
      </c>
      <c r="F40" s="291">
        <v>-374633.27</v>
      </c>
      <c r="G40" s="291">
        <v>-329558.78999999998</v>
      </c>
      <c r="H40" s="291">
        <v>-805469.41</v>
      </c>
      <c r="I40" s="291">
        <v>109968.18</v>
      </c>
      <c r="J40" s="291">
        <f t="shared" ref="J40:O40" si="10">J38*J39</f>
        <v>-353515.49284726736</v>
      </c>
      <c r="K40" s="291">
        <f t="shared" si="10"/>
        <v>-411553.55161469307</v>
      </c>
      <c r="L40" s="291">
        <f t="shared" si="10"/>
        <v>-387281.28896646743</v>
      </c>
      <c r="M40" s="291">
        <f t="shared" si="10"/>
        <v>-434918.29884858191</v>
      </c>
      <c r="N40" s="291">
        <f t="shared" si="10"/>
        <v>-369713.65163991699</v>
      </c>
      <c r="O40" s="291">
        <f t="shared" si="10"/>
        <v>-330966.75561826781</v>
      </c>
      <c r="P40" s="284">
        <f>SUM(D40:O40)</f>
        <v>-4413042.189535195</v>
      </c>
      <c r="Q40" s="287"/>
      <c r="R40" s="1057"/>
    </row>
    <row r="41" spans="1:18">
      <c r="A41" s="287"/>
      <c r="B41" s="287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4"/>
      <c r="P41" s="294"/>
      <c r="Q41" s="287"/>
    </row>
    <row r="42" spans="1:18">
      <c r="A42" s="287"/>
      <c r="B42" s="287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4"/>
      <c r="P42" s="294"/>
      <c r="Q42" s="287"/>
    </row>
    <row r="43" spans="1:18">
      <c r="A43" s="287"/>
      <c r="B43" s="287" t="s">
        <v>578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4"/>
      <c r="P43" s="294"/>
      <c r="Q43" s="287"/>
    </row>
    <row r="44" spans="1:18">
      <c r="A44" s="287"/>
      <c r="B44" s="287"/>
      <c r="C44" s="287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887"/>
      <c r="Q44" s="287"/>
    </row>
    <row r="45" spans="1:18">
      <c r="A45" s="287"/>
      <c r="B45" s="287"/>
      <c r="C45" s="287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4"/>
      <c r="Q45" s="287"/>
    </row>
    <row r="46" spans="1:18">
      <c r="A46" s="287"/>
      <c r="B46" s="287" t="s">
        <v>972</v>
      </c>
      <c r="C46" s="287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4"/>
      <c r="Q46" s="287"/>
    </row>
    <row r="47" spans="1:18">
      <c r="A47" s="287"/>
      <c r="B47" s="287" t="s">
        <v>1595</v>
      </c>
      <c r="C47" s="287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4"/>
      <c r="Q47" s="957"/>
    </row>
    <row r="48" spans="1:18">
      <c r="A48" s="287"/>
      <c r="B48" s="1" t="s">
        <v>1594</v>
      </c>
      <c r="C48" s="287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834"/>
      <c r="P48" s="294"/>
      <c r="Q48" s="374"/>
    </row>
    <row r="49" spans="1:17">
      <c r="A49" s="287"/>
      <c r="B49" s="287"/>
      <c r="C49" s="616" t="s">
        <v>1385</v>
      </c>
      <c r="D49" s="1122">
        <v>3</v>
      </c>
      <c r="E49" s="1011">
        <v>4</v>
      </c>
      <c r="F49" s="1011">
        <v>5</v>
      </c>
      <c r="G49" s="1122">
        <v>6</v>
      </c>
      <c r="H49" s="1122">
        <v>7</v>
      </c>
      <c r="I49" s="1122">
        <v>8</v>
      </c>
      <c r="J49" s="1011">
        <v>9</v>
      </c>
      <c r="K49" s="1011">
        <v>10</v>
      </c>
      <c r="L49" s="1122">
        <v>11</v>
      </c>
      <c r="M49" s="1122">
        <v>12</v>
      </c>
      <c r="N49" s="1122">
        <v>13</v>
      </c>
      <c r="O49" s="1122">
        <v>14</v>
      </c>
      <c r="P49" s="294"/>
      <c r="Q49" s="374"/>
    </row>
    <row r="50" spans="1:17">
      <c r="A50" s="287"/>
      <c r="B50" s="287"/>
      <c r="C50" s="287"/>
      <c r="D50" s="1123"/>
      <c r="E50" s="1123"/>
      <c r="F50" s="1123"/>
      <c r="G50" s="1123"/>
      <c r="H50" s="1123"/>
      <c r="I50" s="1123"/>
      <c r="J50" s="1123"/>
      <c r="K50" s="1124"/>
      <c r="L50" s="1124"/>
      <c r="M50" s="1124"/>
      <c r="N50" s="1124"/>
      <c r="O50" s="232"/>
      <c r="P50" s="294"/>
      <c r="Q50" s="374"/>
    </row>
    <row r="51" spans="1:17">
      <c r="A51" s="287"/>
      <c r="B51" s="768"/>
      <c r="C51" s="768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4"/>
      <c r="P51" s="294"/>
      <c r="Q51" s="374"/>
    </row>
    <row r="52" spans="1:17">
      <c r="A52" s="287"/>
      <c r="B52" s="287"/>
      <c r="C52" s="287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374"/>
    </row>
    <row r="53" spans="1:17">
      <c r="A53" s="287"/>
      <c r="B53" s="287"/>
      <c r="C53" s="287"/>
      <c r="D53" s="291"/>
      <c r="E53" s="291"/>
      <c r="F53" s="291"/>
      <c r="G53" s="291"/>
      <c r="H53" s="291"/>
      <c r="I53" s="291"/>
      <c r="J53" s="291"/>
      <c r="K53" s="106"/>
      <c r="L53" s="291"/>
      <c r="M53" s="291"/>
      <c r="N53" s="291"/>
      <c r="O53" s="291"/>
      <c r="P53" s="291"/>
      <c r="Q53" s="287"/>
    </row>
    <row r="54" spans="1:17">
      <c r="A54" s="287"/>
      <c r="B54" s="287"/>
      <c r="C54" s="287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87"/>
    </row>
    <row r="55" spans="1:17">
      <c r="A55" s="287"/>
      <c r="B55" s="287"/>
      <c r="C55" s="768"/>
      <c r="D55" s="291"/>
      <c r="E55" s="291"/>
      <c r="F55" s="291"/>
      <c r="G55" s="291"/>
      <c r="H55" s="291"/>
      <c r="I55" s="291"/>
      <c r="J55" s="291"/>
      <c r="K55" s="291"/>
      <c r="L55" s="291"/>
      <c r="M55" s="915"/>
      <c r="N55" s="291"/>
      <c r="O55" s="291"/>
      <c r="P55" s="291"/>
      <c r="Q55" s="287"/>
    </row>
    <row r="56" spans="1:17">
      <c r="A56" s="287"/>
      <c r="B56" s="287"/>
      <c r="C56" s="768"/>
      <c r="D56" s="291"/>
      <c r="E56" s="291"/>
      <c r="F56" s="291"/>
      <c r="G56" s="291"/>
      <c r="H56" s="291"/>
      <c r="I56" s="291"/>
      <c r="J56" s="291"/>
      <c r="K56" s="291"/>
      <c r="L56" s="287"/>
      <c r="M56" s="287"/>
      <c r="N56" s="287"/>
      <c r="O56" s="291"/>
      <c r="P56" s="287"/>
      <c r="Q56" s="287"/>
    </row>
    <row r="57" spans="1:17">
      <c r="O57" s="616"/>
      <c r="P57" s="106"/>
    </row>
    <row r="58" spans="1:17">
      <c r="O58" s="232"/>
    </row>
    <row r="59" spans="1:17">
      <c r="O59" s="232"/>
      <c r="P59" s="106"/>
    </row>
    <row r="60" spans="1:17">
      <c r="E60" s="1055"/>
      <c r="F60" s="1055"/>
      <c r="G60" s="1055"/>
      <c r="H60" s="1055"/>
      <c r="I60" s="1055"/>
      <c r="J60" s="1055"/>
      <c r="K60" s="1055"/>
    </row>
    <row r="61" spans="1:17">
      <c r="C61" s="768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6" width="11.109375" customWidth="1"/>
    <col min="7" max="8" width="13.109375" bestFit="1" customWidth="1"/>
    <col min="9" max="9" width="11.109375" customWidth="1"/>
    <col min="10" max="10" width="10.8867187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</row>
    <row r="2" spans="1:17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</row>
    <row r="3" spans="1:17" ht="15.75">
      <c r="A3" s="1266" t="s">
        <v>192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</row>
    <row r="4" spans="1:17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60"/>
    </row>
    <row r="5" spans="1:17">
      <c r="A5" s="1"/>
      <c r="B5" s="40"/>
      <c r="C5" s="40"/>
      <c r="D5" s="40"/>
      <c r="E5" s="40"/>
      <c r="F5" s="40"/>
      <c r="G5" s="272"/>
      <c r="H5" s="83"/>
      <c r="I5" s="83"/>
      <c r="J5" s="83"/>
      <c r="K5" s="83"/>
      <c r="L5" s="83"/>
      <c r="M5" s="83"/>
      <c r="N5" s="83"/>
      <c r="O5" s="273"/>
      <c r="P5" s="60"/>
      <c r="Q5" s="60"/>
    </row>
    <row r="6" spans="1:17" ht="15.75">
      <c r="A6" s="245" t="str">
        <f>'C.2.2 B 09'!A6</f>
        <v>Data:___X____Base Period________Forecasted Period</v>
      </c>
      <c r="B6" s="274"/>
      <c r="C6" s="245"/>
      <c r="D6" s="911"/>
      <c r="E6" s="60"/>
      <c r="F6" s="60"/>
      <c r="G6" s="60"/>
      <c r="H6" s="60"/>
      <c r="I6" s="60"/>
      <c r="J6" s="60"/>
      <c r="K6" s="60"/>
      <c r="L6" s="60"/>
      <c r="M6" s="60"/>
      <c r="N6" s="274"/>
      <c r="O6" s="274"/>
      <c r="P6" s="662" t="s">
        <v>1524</v>
      </c>
      <c r="Q6" s="60"/>
    </row>
    <row r="7" spans="1:17">
      <c r="A7" s="245" t="str">
        <f>'C.2.2 B 09'!A7</f>
        <v>Type of Filing:___X____Original________Updated ________Revised</v>
      </c>
      <c r="B7" s="274"/>
      <c r="C7" s="245"/>
      <c r="D7" s="60"/>
      <c r="E7" s="60"/>
      <c r="F7" s="60"/>
      <c r="G7" s="60"/>
      <c r="H7" s="60"/>
      <c r="I7" s="60"/>
      <c r="J7" s="60"/>
      <c r="K7" s="60"/>
      <c r="L7" s="60"/>
      <c r="M7" s="60"/>
      <c r="N7" s="274"/>
      <c r="O7" s="274"/>
      <c r="P7" s="663" t="s">
        <v>38</v>
      </c>
      <c r="Q7" s="60"/>
    </row>
    <row r="8" spans="1:17">
      <c r="A8" s="263" t="str">
        <f>'C.2.2 B 09'!A8</f>
        <v>Workpaper Reference No(s).____________________</v>
      </c>
      <c r="B8" s="394"/>
      <c r="C8" s="275"/>
      <c r="D8" s="260"/>
      <c r="E8" s="260"/>
      <c r="F8" s="260"/>
      <c r="G8" s="260"/>
      <c r="H8" s="260"/>
      <c r="I8" s="260"/>
      <c r="J8" s="260"/>
      <c r="K8" s="260"/>
      <c r="L8" s="260"/>
      <c r="M8" s="86"/>
      <c r="N8" s="394"/>
      <c r="O8" s="394"/>
      <c r="P8" s="664" t="str">
        <f>C.1!J9</f>
        <v>Witness: Waller, Smith</v>
      </c>
      <c r="Q8" s="60"/>
    </row>
    <row r="9" spans="1:17">
      <c r="A9" s="665" t="s">
        <v>98</v>
      </c>
      <c r="B9" s="666" t="s">
        <v>105</v>
      </c>
      <c r="C9" s="667"/>
      <c r="D9" s="278" t="str">
        <f>'C.2.2 B 09'!D9</f>
        <v>actual</v>
      </c>
      <c r="E9" s="278" t="str">
        <f>'C.2.2 B 09'!F9</f>
        <v>actual</v>
      </c>
      <c r="F9" s="278" t="str">
        <f>'C.2.2 B 09'!F9</f>
        <v>actual</v>
      </c>
      <c r="G9" s="278" t="str">
        <f>'C.2.2 B 09'!G9</f>
        <v>actual</v>
      </c>
      <c r="H9" s="278" t="str">
        <f>'C.2.2 B 09'!H9</f>
        <v>actual</v>
      </c>
      <c r="I9" s="278" t="str">
        <f>'C.2.2 B 09'!I9</f>
        <v>actual</v>
      </c>
      <c r="J9" s="278" t="str">
        <f>'C.2.2 B 09'!J9</f>
        <v>Forecasted</v>
      </c>
      <c r="K9" s="278" t="str">
        <f>'C.2.2 B 09'!K9</f>
        <v>Budgeted</v>
      </c>
      <c r="L9" s="278" t="str">
        <f>'C.2.2 B 09'!L9</f>
        <v>Budgeted</v>
      </c>
      <c r="M9" s="278" t="str">
        <f>'C.2.2 B 09'!M9</f>
        <v>Budgeted</v>
      </c>
      <c r="N9" s="278" t="str">
        <f>'C.2.2 B 09'!N9</f>
        <v>Budgeted</v>
      </c>
      <c r="O9" s="278" t="str">
        <f>'C.2.2 B 09'!O9</f>
        <v>Budgeted</v>
      </c>
      <c r="P9" s="395"/>
      <c r="Q9" s="104"/>
    </row>
    <row r="10" spans="1:17">
      <c r="A10" s="668" t="s">
        <v>104</v>
      </c>
      <c r="B10" s="297" t="s">
        <v>104</v>
      </c>
      <c r="C10" s="669" t="s">
        <v>971</v>
      </c>
      <c r="D10" s="280">
        <f>'C.2.2 B 09'!D10</f>
        <v>42094</v>
      </c>
      <c r="E10" s="280">
        <f>'C.2.2 B 09'!F10</f>
        <v>42155</v>
      </c>
      <c r="F10" s="280">
        <f>'C.2.2 B 09'!F10</f>
        <v>42155</v>
      </c>
      <c r="G10" s="280">
        <f>'C.2.2 B 09'!G10</f>
        <v>42185</v>
      </c>
      <c r="H10" s="280">
        <f>'C.2.2 B 09'!H10</f>
        <v>42216</v>
      </c>
      <c r="I10" s="280">
        <f>'C.2.2 B 09'!I10</f>
        <v>42247</v>
      </c>
      <c r="J10" s="280">
        <f>'C.2.2 B 09'!J10</f>
        <v>42277</v>
      </c>
      <c r="K10" s="280">
        <f>'C.2.2 B 09'!K10</f>
        <v>42308</v>
      </c>
      <c r="L10" s="280">
        <f>'C.2.2 B 09'!L10</f>
        <v>42338</v>
      </c>
      <c r="M10" s="280">
        <f>'C.2.2 B 09'!M10</f>
        <v>42369</v>
      </c>
      <c r="N10" s="280">
        <f>'C.2.2 B 09'!N10</f>
        <v>42400</v>
      </c>
      <c r="O10" s="280">
        <f>'C.2.2 B 09'!O10</f>
        <v>42429</v>
      </c>
      <c r="P10" s="280" t="str">
        <f>'C.2.2 B 09'!P10</f>
        <v>Total</v>
      </c>
      <c r="Q10" s="282"/>
    </row>
    <row r="11" spans="1:17">
      <c r="A11" s="274"/>
      <c r="B11" s="60"/>
      <c r="C11" s="60"/>
      <c r="D11" s="258" t="s">
        <v>151</v>
      </c>
      <c r="E11" s="258" t="s">
        <v>151</v>
      </c>
      <c r="F11" s="258" t="s">
        <v>151</v>
      </c>
      <c r="G11" s="258" t="s">
        <v>151</v>
      </c>
      <c r="H11" s="258" t="s">
        <v>151</v>
      </c>
      <c r="I11" s="258" t="s">
        <v>151</v>
      </c>
      <c r="J11" s="258" t="s">
        <v>151</v>
      </c>
      <c r="K11" s="258" t="s">
        <v>151</v>
      </c>
      <c r="L11" s="258" t="s">
        <v>151</v>
      </c>
      <c r="M11" s="258" t="s">
        <v>151</v>
      </c>
      <c r="N11" s="258" t="s">
        <v>151</v>
      </c>
      <c r="O11" s="283" t="s">
        <v>151</v>
      </c>
      <c r="P11" s="258" t="s">
        <v>151</v>
      </c>
      <c r="Q11" s="258"/>
    </row>
    <row r="12" spans="1:17">
      <c r="A12" s="104">
        <v>1</v>
      </c>
      <c r="B12" s="393">
        <v>4030</v>
      </c>
      <c r="C12" s="60" t="s">
        <v>96</v>
      </c>
      <c r="D12" s="779">
        <v>2.9103830456733704E-11</v>
      </c>
      <c r="E12" s="779">
        <v>2.9103830456733704E-11</v>
      </c>
      <c r="F12" s="779">
        <v>1.0186340659856796E-10</v>
      </c>
      <c r="G12" s="779">
        <v>-5.8207660913467407E-11</v>
      </c>
      <c r="H12" s="779">
        <v>-1.1641532182693481E-10</v>
      </c>
      <c r="I12" s="779">
        <v>7.2759576141834259E-12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203">
        <f t="shared" ref="P12:P25" si="0">SUM(D12:O12)</f>
        <v>-7.2759576141834259E-12</v>
      </c>
      <c r="Q12" s="768"/>
    </row>
    <row r="13" spans="1:17">
      <c r="A13" s="322">
        <f>A12+1</f>
        <v>2</v>
      </c>
      <c r="B13" s="397">
        <v>4081</v>
      </c>
      <c r="C13" s="203" t="s">
        <v>880</v>
      </c>
      <c r="D13" s="779">
        <v>-2.9103830456733704E-11</v>
      </c>
      <c r="E13" s="779">
        <v>1.0000000052968971E-2</v>
      </c>
      <c r="F13" s="779">
        <v>-2.4318325131389429E-11</v>
      </c>
      <c r="G13" s="779">
        <v>-9.99999999275758E-3</v>
      </c>
      <c r="H13" s="779">
        <v>1.4551915228366852E-11</v>
      </c>
      <c r="I13" s="779">
        <v>-1.9099388737231493E-11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203">
        <f t="shared" si="0"/>
        <v>2.2417623313231161E-12</v>
      </c>
      <c r="Q13" s="203"/>
    </row>
    <row r="14" spans="1:17">
      <c r="A14" s="322">
        <f t="shared" ref="A14:A35" si="1">A13+1</f>
        <v>3</v>
      </c>
      <c r="B14" s="397">
        <v>8700</v>
      </c>
      <c r="C14" s="203" t="s">
        <v>932</v>
      </c>
      <c r="D14" s="779">
        <v>0</v>
      </c>
      <c r="E14" s="779">
        <v>0</v>
      </c>
      <c r="F14" s="779">
        <v>110.8</v>
      </c>
      <c r="G14" s="779">
        <v>0</v>
      </c>
      <c r="H14" s="779">
        <v>0</v>
      </c>
      <c r="I14" s="779">
        <v>0</v>
      </c>
      <c r="J14" s="123">
        <v>11.512789127790336</v>
      </c>
      <c r="K14" s="123">
        <v>11.343658236366004</v>
      </c>
      <c r="L14" s="123">
        <v>10.761569823572707</v>
      </c>
      <c r="M14" s="123">
        <v>12.461851198899561</v>
      </c>
      <c r="N14" s="123">
        <v>12.307076245208858</v>
      </c>
      <c r="O14" s="123">
        <v>9.3742030285335787</v>
      </c>
      <c r="P14" s="203">
        <f t="shared" si="0"/>
        <v>178.56114766037103</v>
      </c>
      <c r="Q14" s="203"/>
    </row>
    <row r="15" spans="1:17">
      <c r="A15" s="322">
        <f t="shared" si="1"/>
        <v>4</v>
      </c>
      <c r="B15" s="397">
        <v>8740</v>
      </c>
      <c r="C15" s="203" t="s">
        <v>934</v>
      </c>
      <c r="D15" s="779">
        <v>576.29</v>
      </c>
      <c r="E15" s="779">
        <v>2015.51</v>
      </c>
      <c r="F15" s="779">
        <v>1092.17</v>
      </c>
      <c r="G15" s="779">
        <v>1424.9099999999999</v>
      </c>
      <c r="H15" s="779">
        <v>1268.17</v>
      </c>
      <c r="I15" s="779">
        <v>3850.36</v>
      </c>
      <c r="J15" s="123">
        <v>1944.2721978116338</v>
      </c>
      <c r="K15" s="123">
        <v>1944.2721978116338</v>
      </c>
      <c r="L15" s="123">
        <v>1944.2721978116338</v>
      </c>
      <c r="M15" s="123">
        <v>1944.2721978116338</v>
      </c>
      <c r="N15" s="123">
        <v>1944.2721978116338</v>
      </c>
      <c r="O15" s="123">
        <v>1944.2721978116338</v>
      </c>
      <c r="P15" s="203">
        <f t="shared" si="0"/>
        <v>21893.043186869803</v>
      </c>
      <c r="Q15" s="203"/>
    </row>
    <row r="16" spans="1:17">
      <c r="A16" s="322">
        <f t="shared" si="1"/>
        <v>5</v>
      </c>
      <c r="B16" s="397">
        <v>8800</v>
      </c>
      <c r="C16" s="203" t="s">
        <v>940</v>
      </c>
      <c r="D16" s="779">
        <v>0</v>
      </c>
      <c r="E16" s="779">
        <v>0</v>
      </c>
      <c r="F16" s="779">
        <v>0</v>
      </c>
      <c r="G16" s="779">
        <v>0</v>
      </c>
      <c r="H16" s="779">
        <v>86.64</v>
      </c>
      <c r="I16" s="779">
        <v>0</v>
      </c>
      <c r="J16" s="123">
        <v>9.4147347532987116</v>
      </c>
      <c r="K16" s="123">
        <v>8.2701220092074461</v>
      </c>
      <c r="L16" s="123">
        <v>10.752357998372652</v>
      </c>
      <c r="M16" s="123">
        <v>7.6915742923715502</v>
      </c>
      <c r="N16" s="123">
        <v>6.5933227042125786</v>
      </c>
      <c r="O16" s="123">
        <v>6.0170460944030433</v>
      </c>
      <c r="P16" s="203">
        <f t="shared" si="0"/>
        <v>135.37915785186598</v>
      </c>
      <c r="Q16" s="203"/>
    </row>
    <row r="17" spans="1:17">
      <c r="A17" s="322">
        <f t="shared" si="1"/>
        <v>6</v>
      </c>
      <c r="B17" s="397">
        <v>9010</v>
      </c>
      <c r="C17" s="203" t="s">
        <v>186</v>
      </c>
      <c r="D17" s="779">
        <v>492128.35</v>
      </c>
      <c r="E17" s="779">
        <v>506968.62999999983</v>
      </c>
      <c r="F17" s="779">
        <v>484013.91</v>
      </c>
      <c r="G17" s="779">
        <v>513243.63000000006</v>
      </c>
      <c r="H17" s="779">
        <v>517441.16000000015</v>
      </c>
      <c r="I17" s="779">
        <v>482174.60000000015</v>
      </c>
      <c r="J17" s="123">
        <v>486014.30371933634</v>
      </c>
      <c r="K17" s="123">
        <v>492955.17758914107</v>
      </c>
      <c r="L17" s="123">
        <v>471502.18117754912</v>
      </c>
      <c r="M17" s="123">
        <v>516119.47413596848</v>
      </c>
      <c r="N17" s="123">
        <v>475749.51810322661</v>
      </c>
      <c r="O17" s="123">
        <v>468584.52730546973</v>
      </c>
      <c r="P17" s="203">
        <f t="shared" si="0"/>
        <v>5906895.462030692</v>
      </c>
      <c r="Q17" s="203"/>
    </row>
    <row r="18" spans="1:17">
      <c r="A18" s="322">
        <f t="shared" si="1"/>
        <v>7</v>
      </c>
      <c r="B18" s="397">
        <v>9020</v>
      </c>
      <c r="C18" s="203" t="s">
        <v>951</v>
      </c>
      <c r="D18" s="779">
        <v>0</v>
      </c>
      <c r="E18" s="779">
        <v>0</v>
      </c>
      <c r="F18" s="779">
        <v>0</v>
      </c>
      <c r="G18" s="779">
        <v>0</v>
      </c>
      <c r="H18" s="779">
        <v>647.53</v>
      </c>
      <c r="I18" s="779">
        <v>0</v>
      </c>
      <c r="J18" s="123">
        <v>67.282277472184802</v>
      </c>
      <c r="K18" s="123">
        <v>66.293853951210082</v>
      </c>
      <c r="L18" s="123">
        <v>62.892051514964223</v>
      </c>
      <c r="M18" s="123">
        <v>72.828722985771051</v>
      </c>
      <c r="N18" s="123">
        <v>71.924197482491806</v>
      </c>
      <c r="O18" s="123">
        <v>54.784094648613255</v>
      </c>
      <c r="P18" s="203">
        <f t="shared" si="0"/>
        <v>1043.535198055235</v>
      </c>
      <c r="Q18" s="203"/>
    </row>
    <row r="19" spans="1:17">
      <c r="A19" s="322">
        <f t="shared" si="1"/>
        <v>8</v>
      </c>
      <c r="B19" s="397">
        <v>9030</v>
      </c>
      <c r="C19" s="203" t="s">
        <v>956</v>
      </c>
      <c r="D19" s="779">
        <v>2002011.2499999998</v>
      </c>
      <c r="E19" s="779">
        <v>2081127.2300000002</v>
      </c>
      <c r="F19" s="779">
        <v>1934126.7400000002</v>
      </c>
      <c r="G19" s="779">
        <v>1931715.2699999998</v>
      </c>
      <c r="H19" s="779">
        <v>2068679.1599999997</v>
      </c>
      <c r="I19" s="779">
        <v>1808885.1700000004</v>
      </c>
      <c r="J19" s="123">
        <v>1951397.8726052137</v>
      </c>
      <c r="K19" s="123">
        <v>2041452.5456392185</v>
      </c>
      <c r="L19" s="123">
        <v>1905383.5533197431</v>
      </c>
      <c r="M19" s="123">
        <v>2078745.277267073</v>
      </c>
      <c r="N19" s="123">
        <v>1955371.2923865118</v>
      </c>
      <c r="O19" s="123">
        <v>1903225.0414688229</v>
      </c>
      <c r="P19" s="203">
        <f t="shared" si="0"/>
        <v>23662120.402686585</v>
      </c>
      <c r="Q19" s="203"/>
    </row>
    <row r="20" spans="1:17">
      <c r="A20" s="322">
        <f t="shared" si="1"/>
        <v>9</v>
      </c>
      <c r="B20" s="397">
        <v>9200</v>
      </c>
      <c r="C20" s="203" t="s">
        <v>187</v>
      </c>
      <c r="D20" s="779">
        <v>397661.68</v>
      </c>
      <c r="E20" s="779">
        <v>345241.76</v>
      </c>
      <c r="F20" s="779">
        <v>332031.28999999998</v>
      </c>
      <c r="G20" s="779">
        <v>327601.55</v>
      </c>
      <c r="H20" s="779">
        <v>366879.32</v>
      </c>
      <c r="I20" s="779">
        <v>374650.87</v>
      </c>
      <c r="J20" s="123">
        <v>357551.84747406084</v>
      </c>
      <c r="K20" s="123">
        <v>365099.56907697639</v>
      </c>
      <c r="L20" s="123">
        <v>349087.72095105256</v>
      </c>
      <c r="M20" s="123">
        <v>381126.70957916311</v>
      </c>
      <c r="N20" s="123">
        <v>349065.10628278391</v>
      </c>
      <c r="O20" s="123">
        <v>349065.23505700979</v>
      </c>
      <c r="P20" s="203">
        <f t="shared" si="0"/>
        <v>4295062.6584210461</v>
      </c>
      <c r="Q20" s="203"/>
    </row>
    <row r="21" spans="1:17">
      <c r="A21" s="322">
        <f t="shared" si="1"/>
        <v>10</v>
      </c>
      <c r="B21" s="397">
        <v>9210</v>
      </c>
      <c r="C21" s="203" t="s">
        <v>963</v>
      </c>
      <c r="D21" s="779">
        <v>827251.4</v>
      </c>
      <c r="E21" s="779">
        <v>819939.57999999961</v>
      </c>
      <c r="F21" s="779">
        <v>894493.91</v>
      </c>
      <c r="G21" s="779">
        <v>879145.65</v>
      </c>
      <c r="H21" s="779">
        <v>936394.11999999988</v>
      </c>
      <c r="I21" s="779">
        <v>874386.96000000031</v>
      </c>
      <c r="J21" s="123">
        <v>250285.00072836917</v>
      </c>
      <c r="K21" s="123">
        <v>218204.73640235869</v>
      </c>
      <c r="L21" s="123">
        <v>219028.16632233048</v>
      </c>
      <c r="M21" s="123">
        <v>274115.33519323886</v>
      </c>
      <c r="N21" s="123">
        <v>216051.37562745909</v>
      </c>
      <c r="O21" s="123">
        <v>208814.04274894169</v>
      </c>
      <c r="P21" s="203">
        <f t="shared" si="0"/>
        <v>6618110.277022697</v>
      </c>
      <c r="Q21" s="203"/>
    </row>
    <row r="22" spans="1:17">
      <c r="A22" s="322">
        <f t="shared" si="1"/>
        <v>11</v>
      </c>
      <c r="B22" s="397">
        <v>9220</v>
      </c>
      <c r="C22" s="203" t="s">
        <v>964</v>
      </c>
      <c r="D22" s="779">
        <v>-5012946.4200000009</v>
      </c>
      <c r="E22" s="779">
        <v>-5016265.3699999992</v>
      </c>
      <c r="F22" s="779">
        <v>-4967862.3299999991</v>
      </c>
      <c r="G22" s="779">
        <v>-4893450.7599999988</v>
      </c>
      <c r="H22" s="779">
        <v>-5310774.2</v>
      </c>
      <c r="I22" s="779">
        <v>-4726287.3599999975</v>
      </c>
      <c r="J22" s="123">
        <f t="shared" ref="J22:O22" si="2">-(SUM(J12:J21)+SUM(J23:J28))</f>
        <v>-4257402.8</v>
      </c>
      <c r="K22" s="123">
        <f t="shared" si="2"/>
        <v>-4290022.42</v>
      </c>
      <c r="L22" s="123">
        <f t="shared" si="2"/>
        <v>-4100092.34</v>
      </c>
      <c r="M22" s="123">
        <f t="shared" si="2"/>
        <v>-4469999</v>
      </c>
      <c r="N22" s="123">
        <f t="shared" si="2"/>
        <v>-4111676.4000000004</v>
      </c>
      <c r="O22" s="123">
        <f t="shared" si="2"/>
        <v>-4042121.9699999997</v>
      </c>
      <c r="P22" s="203">
        <f t="shared" si="0"/>
        <v>-55198901.369999982</v>
      </c>
      <c r="Q22" s="768"/>
    </row>
    <row r="23" spans="1:17">
      <c r="A23" s="322">
        <f t="shared" si="1"/>
        <v>12</v>
      </c>
      <c r="B23" s="397">
        <v>9230</v>
      </c>
      <c r="C23" s="203" t="s">
        <v>965</v>
      </c>
      <c r="D23" s="779">
        <v>45897.87</v>
      </c>
      <c r="E23" s="779">
        <v>39094.75</v>
      </c>
      <c r="F23" s="779">
        <v>61427.96</v>
      </c>
      <c r="G23" s="779">
        <v>49206.939999999995</v>
      </c>
      <c r="H23" s="779">
        <v>408.03</v>
      </c>
      <c r="I23" s="779">
        <v>68225.12000000001</v>
      </c>
      <c r="J23" s="123">
        <v>23493.647262455484</v>
      </c>
      <c r="K23" s="123">
        <v>18405.812904484945</v>
      </c>
      <c r="L23" s="123">
        <v>17979.433014054684</v>
      </c>
      <c r="M23" s="123">
        <v>27198.700198579809</v>
      </c>
      <c r="N23" s="123">
        <v>17905.950000505873</v>
      </c>
      <c r="O23" s="123">
        <v>17884.130417478467</v>
      </c>
      <c r="P23" s="203">
        <f t="shared" si="0"/>
        <v>387128.34379755921</v>
      </c>
      <c r="Q23" s="203"/>
    </row>
    <row r="24" spans="1:17">
      <c r="A24" s="322">
        <f t="shared" si="1"/>
        <v>13</v>
      </c>
      <c r="B24" s="397">
        <v>9240</v>
      </c>
      <c r="C24" s="203" t="s">
        <v>966</v>
      </c>
      <c r="D24" s="779">
        <v>10471.56</v>
      </c>
      <c r="E24" s="779">
        <v>10471.56</v>
      </c>
      <c r="F24" s="779">
        <v>10471.56</v>
      </c>
      <c r="G24" s="779">
        <v>10471.56</v>
      </c>
      <c r="H24" s="779">
        <v>10471.56</v>
      </c>
      <c r="I24" s="779">
        <v>10471.56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203">
        <f t="shared" si="0"/>
        <v>62829.359999999993</v>
      </c>
      <c r="Q24" s="203"/>
    </row>
    <row r="25" spans="1:17">
      <c r="A25" s="322">
        <f t="shared" si="1"/>
        <v>14</v>
      </c>
      <c r="B25" s="397">
        <v>9250</v>
      </c>
      <c r="C25" t="s">
        <v>967</v>
      </c>
      <c r="D25" s="779">
        <v>0</v>
      </c>
      <c r="E25" s="779">
        <v>263.10000000000002</v>
      </c>
      <c r="F25" s="779">
        <v>0</v>
      </c>
      <c r="G25" s="779">
        <v>0</v>
      </c>
      <c r="H25" s="779">
        <v>0</v>
      </c>
      <c r="I25" s="779">
        <v>0</v>
      </c>
      <c r="J25" s="123">
        <v>22.285494374872915</v>
      </c>
      <c r="K25" s="123">
        <v>16.128740866532681</v>
      </c>
      <c r="L25" s="123">
        <v>16.128740866532681</v>
      </c>
      <c r="M25" s="123">
        <v>24.99427988755988</v>
      </c>
      <c r="N25" s="123">
        <v>16.128740866532681</v>
      </c>
      <c r="O25" s="123">
        <v>16.128740866532681</v>
      </c>
      <c r="P25" s="203">
        <f t="shared" si="0"/>
        <v>374.89473772856348</v>
      </c>
      <c r="Q25" s="203"/>
    </row>
    <row r="26" spans="1:17">
      <c r="A26" s="322">
        <f t="shared" si="1"/>
        <v>15</v>
      </c>
      <c r="B26" s="397">
        <v>9260</v>
      </c>
      <c r="C26" s="203" t="s">
        <v>968</v>
      </c>
      <c r="D26" s="779">
        <v>1082828.1199999996</v>
      </c>
      <c r="E26" s="779">
        <v>1057005.1400000001</v>
      </c>
      <c r="F26" s="779">
        <v>1090778.6600000001</v>
      </c>
      <c r="G26" s="779">
        <v>1030066.7700000003</v>
      </c>
      <c r="H26" s="779">
        <v>1252829.4999999998</v>
      </c>
      <c r="I26" s="779">
        <v>951298.00999999989</v>
      </c>
      <c r="J26" s="123">
        <v>1049930.7690482407</v>
      </c>
      <c r="K26" s="123">
        <v>1013616.7286260744</v>
      </c>
      <c r="L26" s="123">
        <v>984005.84349530435</v>
      </c>
      <c r="M26" s="123">
        <v>1053202.1013875802</v>
      </c>
      <c r="N26" s="123">
        <v>962214.24396622425</v>
      </c>
      <c r="O26" s="123">
        <v>959194.79637543834</v>
      </c>
      <c r="P26" s="203">
        <f>SUM(D26:O26)</f>
        <v>12486970.682898862</v>
      </c>
      <c r="Q26" s="203"/>
    </row>
    <row r="27" spans="1:17">
      <c r="A27" s="322">
        <f t="shared" si="1"/>
        <v>16</v>
      </c>
      <c r="B27" s="397">
        <v>9310</v>
      </c>
      <c r="C27" s="203" t="s">
        <v>189</v>
      </c>
      <c r="D27" s="779">
        <v>151119.92000000001</v>
      </c>
      <c r="E27" s="779">
        <v>150819.15</v>
      </c>
      <c r="F27" s="779">
        <v>150915.37999999998</v>
      </c>
      <c r="G27" s="779">
        <v>150928.35999999999</v>
      </c>
      <c r="H27" s="779">
        <v>150935.1</v>
      </c>
      <c r="I27" s="779">
        <v>151108.78</v>
      </c>
      <c r="J27" s="123">
        <v>136663.21028857684</v>
      </c>
      <c r="K27" s="123">
        <v>138182.07091391427</v>
      </c>
      <c r="L27" s="123">
        <v>151047.2027226068</v>
      </c>
      <c r="M27" s="123">
        <v>137376.75824928418</v>
      </c>
      <c r="N27" s="123">
        <v>133211.70401175355</v>
      </c>
      <c r="O27" s="123">
        <v>133313.26431375064</v>
      </c>
      <c r="P27" s="203">
        <f>SUM(D27:O27)</f>
        <v>1735620.9004998861</v>
      </c>
      <c r="Q27" s="203"/>
    </row>
    <row r="28" spans="1:17">
      <c r="A28" s="322">
        <f t="shared" si="1"/>
        <v>17</v>
      </c>
      <c r="B28" s="397">
        <v>9320</v>
      </c>
      <c r="C28" s="203" t="s">
        <v>190</v>
      </c>
      <c r="D28" s="779">
        <v>3000</v>
      </c>
      <c r="E28" s="779">
        <v>3318.9800000000005</v>
      </c>
      <c r="F28" s="779">
        <v>8399.9599999999991</v>
      </c>
      <c r="G28" s="779">
        <v>144.44999999999999</v>
      </c>
      <c r="H28" s="779">
        <v>4235.5200000000004</v>
      </c>
      <c r="I28" s="779">
        <v>1235.8900000000001</v>
      </c>
      <c r="J28" s="123">
        <v>11.381380207247659</v>
      </c>
      <c r="K28" s="123">
        <v>59.470274956789574</v>
      </c>
      <c r="L28" s="123">
        <v>13.432079343688679</v>
      </c>
      <c r="M28" s="123">
        <v>52.395362936068054</v>
      </c>
      <c r="N28" s="123">
        <v>55.984086424839838</v>
      </c>
      <c r="O28" s="123">
        <v>10.356030639027152</v>
      </c>
      <c r="P28" s="203">
        <f>SUM(D28:O28)</f>
        <v>20537.819214507661</v>
      </c>
      <c r="Q28" s="203"/>
    </row>
    <row r="29" spans="1:17">
      <c r="A29" s="322">
        <f t="shared" si="1"/>
        <v>18</v>
      </c>
      <c r="B29" s="203"/>
      <c r="C29" s="240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87"/>
      <c r="Q29" s="287"/>
    </row>
    <row r="30" spans="1:17" ht="15.75" thickBot="1">
      <c r="A30" s="322">
        <f t="shared" si="1"/>
        <v>19</v>
      </c>
      <c r="B30" s="287" t="s">
        <v>751</v>
      </c>
      <c r="C30" s="240"/>
      <c r="D30" s="861">
        <f>SUM(D12:D28)</f>
        <v>1.9999998708954081E-2</v>
      </c>
      <c r="E30" s="861">
        <f t="shared" ref="E30:P30" si="3">SUM(E12:E29)</f>
        <v>3.0000000367181201E-2</v>
      </c>
      <c r="F30" s="861">
        <f t="shared" si="3"/>
        <v>1.0000001297157723E-2</v>
      </c>
      <c r="G30" s="861">
        <f t="shared" si="3"/>
        <v>498.32000000092665</v>
      </c>
      <c r="H30" s="861">
        <f t="shared" si="3"/>
        <v>-498.39000000070155</v>
      </c>
      <c r="I30" s="861">
        <f t="shared" si="3"/>
        <v>-3.9999996587766873E-2</v>
      </c>
      <c r="J30" s="861">
        <f t="shared" si="3"/>
        <v>4.0056136185739888E-10</v>
      </c>
      <c r="K30" s="861">
        <f t="shared" si="3"/>
        <v>3.8743763752790983E-10</v>
      </c>
      <c r="L30" s="861">
        <f t="shared" si="3"/>
        <v>6.8689942622768285E-11</v>
      </c>
      <c r="M30" s="861">
        <f t="shared" si="3"/>
        <v>4.9553250391909387E-11</v>
      </c>
      <c r="N30" s="861">
        <f t="shared" si="3"/>
        <v>-4.3663561655193917E-10</v>
      </c>
      <c r="O30" s="861">
        <f t="shared" si="3"/>
        <v>2.0270185530080198E-10</v>
      </c>
      <c r="P30" s="289">
        <f t="shared" si="3"/>
        <v>-4.9999984024907462E-2</v>
      </c>
      <c r="Q30" s="290"/>
    </row>
    <row r="31" spans="1:17" ht="15.75" thickTop="1">
      <c r="A31" s="322">
        <f t="shared" si="1"/>
        <v>20</v>
      </c>
      <c r="B31" s="287"/>
      <c r="C31" s="24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87"/>
      <c r="Q31" s="287"/>
    </row>
    <row r="32" spans="1:17">
      <c r="A32" s="322">
        <f t="shared" si="1"/>
        <v>21</v>
      </c>
      <c r="B32" s="476">
        <f>B22</f>
        <v>9220</v>
      </c>
      <c r="C32" s="479" t="str">
        <f>C22</f>
        <v>A&amp;G-Administrative expense transferred-Credit</v>
      </c>
      <c r="D32" s="477">
        <f>D22</f>
        <v>-5012946.4200000009</v>
      </c>
      <c r="E32" s="477">
        <f t="shared" ref="E32:I32" si="4">E22</f>
        <v>-5016265.3699999992</v>
      </c>
      <c r="F32" s="477">
        <f t="shared" si="4"/>
        <v>-4967862.3299999991</v>
      </c>
      <c r="G32" s="477">
        <f t="shared" si="4"/>
        <v>-4893450.7599999988</v>
      </c>
      <c r="H32" s="477">
        <f t="shared" si="4"/>
        <v>-5310774.2</v>
      </c>
      <c r="I32" s="477">
        <f t="shared" si="4"/>
        <v>-4726287.3599999975</v>
      </c>
      <c r="J32" s="477">
        <f t="shared" ref="J32:K32" si="5">-(J30-J22)</f>
        <v>-4257402.8</v>
      </c>
      <c r="K32" s="477">
        <f t="shared" si="5"/>
        <v>-4290022.42</v>
      </c>
      <c r="L32" s="480">
        <f>L22</f>
        <v>-4100092.34</v>
      </c>
      <c r="M32" s="480">
        <f>M22</f>
        <v>-4469999</v>
      </c>
      <c r="N32" s="480">
        <f>N22</f>
        <v>-4111676.4000000004</v>
      </c>
      <c r="O32" s="480">
        <f>O22</f>
        <v>-4042121.9699999997</v>
      </c>
      <c r="P32" s="203">
        <f t="shared" ref="P32" si="6">SUM(D32:O32)</f>
        <v>-55198901.369999982</v>
      </c>
      <c r="Q32" s="287"/>
    </row>
    <row r="33" spans="1:17">
      <c r="A33" s="322">
        <f t="shared" si="1"/>
        <v>22</v>
      </c>
      <c r="B33" s="291"/>
      <c r="C33" s="478" t="s">
        <v>200</v>
      </c>
      <c r="D33" s="499">
        <f>D34/D32</f>
        <v>5.729041684032201E-2</v>
      </c>
      <c r="E33" s="499">
        <f t="shared" ref="E33:I33" si="7">E34/E32</f>
        <v>5.7295505480803553E-2</v>
      </c>
      <c r="F33" s="499">
        <f t="shared" si="7"/>
        <v>5.7427173107673465E-2</v>
      </c>
      <c r="G33" s="499">
        <f t="shared" si="7"/>
        <v>5.7290170832331025E-2</v>
      </c>
      <c r="H33" s="499">
        <f t="shared" si="7"/>
        <v>5.7398273494662984E-2</v>
      </c>
      <c r="I33" s="499">
        <f t="shared" si="7"/>
        <v>5.7270584579943981E-2</v>
      </c>
      <c r="J33" s="499">
        <f>Allocation!$I$15</f>
        <v>5.712253040952902E-2</v>
      </c>
      <c r="K33" s="499">
        <f>Allocation!$I$15</f>
        <v>5.712253040952902E-2</v>
      </c>
      <c r="L33" s="499">
        <f>Allocation!$I$15</f>
        <v>5.712253040952902E-2</v>
      </c>
      <c r="M33" s="499">
        <f>Allocation!$I$15</f>
        <v>5.712253040952902E-2</v>
      </c>
      <c r="N33" s="499">
        <f>Allocation!$I$15</f>
        <v>5.712253040952902E-2</v>
      </c>
      <c r="O33" s="499">
        <f>Allocation!$I$15</f>
        <v>5.712253040952902E-2</v>
      </c>
      <c r="P33" s="499">
        <f t="shared" ref="P33" si="8">P34/P32</f>
        <v>5.7234982167503064E-2</v>
      </c>
      <c r="Q33" s="287"/>
    </row>
    <row r="34" spans="1:17">
      <c r="A34" s="322">
        <f t="shared" si="1"/>
        <v>23</v>
      </c>
      <c r="B34" s="291"/>
      <c r="C34" s="291" t="s">
        <v>215</v>
      </c>
      <c r="D34" s="291">
        <v>-287193.78999999998</v>
      </c>
      <c r="E34" s="291">
        <v>-287409.46000000002</v>
      </c>
      <c r="F34" s="291">
        <v>-285290.28999999998</v>
      </c>
      <c r="G34" s="291">
        <v>-280346.63</v>
      </c>
      <c r="H34" s="291">
        <v>-304829.27</v>
      </c>
      <c r="I34" s="291">
        <v>-270677.24</v>
      </c>
      <c r="J34" s="291">
        <f t="shared" ref="J34:O34" si="9">J32*J33</f>
        <v>-243193.62090861399</v>
      </c>
      <c r="K34" s="291">
        <f t="shared" si="9"/>
        <v>-245056.93614401127</v>
      </c>
      <c r="L34" s="291">
        <f t="shared" si="9"/>
        <v>-234207.64937352698</v>
      </c>
      <c r="M34" s="291">
        <f t="shared" si="9"/>
        <v>-255337.65380806432</v>
      </c>
      <c r="N34" s="291">
        <f t="shared" si="9"/>
        <v>-234869.36019314281</v>
      </c>
      <c r="O34" s="291">
        <f t="shared" si="9"/>
        <v>-230896.23515035035</v>
      </c>
      <c r="P34" s="203">
        <f>SUM(D34:O34)</f>
        <v>-3159308.1355777094</v>
      </c>
      <c r="Q34" s="287"/>
    </row>
    <row r="35" spans="1:17">
      <c r="A35" s="322">
        <f t="shared" si="1"/>
        <v>24</v>
      </c>
      <c r="B35" s="287"/>
      <c r="C35" s="240"/>
      <c r="D35" s="287"/>
      <c r="E35" s="287"/>
      <c r="F35" s="287"/>
      <c r="G35" s="287"/>
      <c r="H35" s="287"/>
      <c r="I35" s="291"/>
      <c r="J35" s="291"/>
      <c r="K35" s="287"/>
      <c r="L35" s="287"/>
      <c r="M35" s="287"/>
      <c r="N35" s="287"/>
      <c r="O35" s="294"/>
      <c r="P35" s="247"/>
      <c r="Q35" s="287"/>
    </row>
    <row r="36" spans="1:17">
      <c r="A36" s="287"/>
      <c r="B36" s="287"/>
      <c r="C36" s="240"/>
      <c r="D36" s="287"/>
      <c r="E36" s="287"/>
      <c r="F36" s="287"/>
      <c r="G36" s="287"/>
      <c r="H36" s="287"/>
      <c r="I36" s="291"/>
      <c r="J36" s="291"/>
      <c r="K36" s="287"/>
      <c r="L36" s="287"/>
      <c r="M36" s="287"/>
      <c r="N36" s="287"/>
      <c r="O36" s="294"/>
      <c r="P36" s="293"/>
      <c r="Q36" s="287"/>
    </row>
    <row r="37" spans="1:17">
      <c r="A37" s="287"/>
      <c r="B37" s="287" t="s">
        <v>578</v>
      </c>
      <c r="C37" s="240"/>
      <c r="D37" s="290"/>
      <c r="E37" s="290"/>
      <c r="F37" s="290"/>
      <c r="G37" s="290"/>
      <c r="H37" s="290"/>
      <c r="I37" s="862"/>
      <c r="J37" s="291"/>
      <c r="K37" s="287"/>
      <c r="L37" s="287"/>
      <c r="M37" s="287"/>
      <c r="N37" s="287"/>
      <c r="O37" s="287"/>
      <c r="P37" s="290"/>
      <c r="Q37" s="287"/>
    </row>
    <row r="38" spans="1:17">
      <c r="A38" s="287"/>
      <c r="B38" s="287"/>
      <c r="C38" s="287"/>
      <c r="D38" s="293"/>
      <c r="E38" s="293"/>
      <c r="F38" s="293"/>
      <c r="G38" s="293"/>
      <c r="H38" s="293"/>
      <c r="I38" s="294"/>
      <c r="J38" s="291"/>
      <c r="K38" s="293"/>
      <c r="L38" s="293"/>
      <c r="M38" s="293"/>
      <c r="N38" s="293"/>
      <c r="O38" s="294"/>
      <c r="P38" s="293"/>
      <c r="Q38" s="293"/>
    </row>
    <row r="39" spans="1:17">
      <c r="A39" s="287"/>
      <c r="B39" s="287"/>
      <c r="C39" s="287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768"/>
      <c r="Q39" s="294"/>
    </row>
    <row r="40" spans="1:17">
      <c r="A40" s="287"/>
      <c r="B40" s="287" t="s">
        <v>972</v>
      </c>
      <c r="C40" s="287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3"/>
      <c r="Q40" s="293"/>
    </row>
    <row r="41" spans="1:17">
      <c r="A41" s="287"/>
      <c r="B41" s="287" t="s">
        <v>1624</v>
      </c>
      <c r="C41" s="287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957"/>
      <c r="Q41" s="287"/>
    </row>
    <row r="42" spans="1:17">
      <c r="A42" s="287"/>
      <c r="B42" s="1" t="s">
        <v>1397</v>
      </c>
      <c r="C42" s="287"/>
      <c r="D42" s="1005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87"/>
      <c r="Q42" s="287"/>
    </row>
    <row r="43" spans="1:17">
      <c r="A43" s="287"/>
      <c r="B43" s="287"/>
      <c r="C43" s="287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4"/>
      <c r="P43" s="293"/>
      <c r="Q43" s="287"/>
    </row>
    <row r="44" spans="1:17">
      <c r="A44" s="287"/>
      <c r="B44" s="287"/>
      <c r="C44" s="287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4"/>
      <c r="P44" s="293"/>
      <c r="Q44" s="287"/>
    </row>
    <row r="45" spans="1:17">
      <c r="A45" s="287"/>
      <c r="B45" s="287"/>
      <c r="C45" s="287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4"/>
      <c r="P45" s="293"/>
      <c r="Q45" s="287"/>
    </row>
    <row r="46" spans="1:17">
      <c r="A46" s="287"/>
      <c r="B46" s="287"/>
      <c r="C46" s="768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87"/>
      <c r="Q46" s="287"/>
    </row>
    <row r="47" spans="1:17">
      <c r="A47" s="287"/>
      <c r="B47" s="287"/>
      <c r="C47" s="287"/>
      <c r="D47" s="287"/>
      <c r="E47" s="287"/>
      <c r="F47" s="287"/>
      <c r="G47" s="287"/>
      <c r="H47" s="287"/>
      <c r="I47" s="291"/>
      <c r="J47" s="291"/>
      <c r="K47" s="291"/>
      <c r="L47" s="287"/>
      <c r="M47" s="287"/>
      <c r="N47" s="287"/>
      <c r="O47" s="291"/>
      <c r="P47" s="287"/>
      <c r="Q47" s="287"/>
    </row>
    <row r="48" spans="1:17">
      <c r="A48" s="287"/>
      <c r="B48" s="287"/>
      <c r="C48" s="287"/>
      <c r="D48" s="287"/>
      <c r="E48" s="287"/>
      <c r="F48" s="287"/>
      <c r="G48" s="287"/>
      <c r="H48" s="287"/>
      <c r="I48" s="291"/>
      <c r="J48" s="291"/>
      <c r="K48" s="291"/>
      <c r="L48" s="287"/>
      <c r="M48" s="287"/>
      <c r="N48" s="287"/>
      <c r="O48" s="291"/>
      <c r="P48" s="287"/>
      <c r="Q48" s="287"/>
    </row>
    <row r="49" spans="1:17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91"/>
      <c r="P49" s="287"/>
      <c r="Q49" s="287"/>
    </row>
    <row r="50" spans="1:17">
      <c r="A50" s="287"/>
    </row>
    <row r="51" spans="1:17">
      <c r="E51" s="1055"/>
      <c r="F51" s="1055"/>
      <c r="G51" s="1055"/>
      <c r="H51" s="1055"/>
      <c r="I51" s="1055"/>
      <c r="J51" s="1055"/>
      <c r="K51" s="1055"/>
    </row>
    <row r="52" spans="1:17">
      <c r="C52" s="768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2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D12" sqref="D12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0.5546875" bestFit="1" customWidth="1"/>
    <col min="16" max="16" width="12.44140625" customWidth="1"/>
    <col min="17" max="17" width="12.5546875" customWidth="1"/>
  </cols>
  <sheetData>
    <row r="1" spans="1:18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  <c r="R1" s="1"/>
    </row>
    <row r="2" spans="1:18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  <c r="R2" s="1"/>
    </row>
    <row r="3" spans="1:18" ht="15.75">
      <c r="A3" s="1266" t="s">
        <v>195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  <c r="R3" s="1"/>
    </row>
    <row r="4" spans="1:18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60"/>
      <c r="R4" s="60"/>
    </row>
    <row r="5" spans="1:18">
      <c r="A5" s="1"/>
      <c r="B5" s="40"/>
      <c r="C5" s="40"/>
      <c r="D5" s="40"/>
      <c r="E5" s="40"/>
      <c r="F5" s="40"/>
      <c r="G5" s="272"/>
      <c r="H5" s="83"/>
      <c r="I5" s="83"/>
      <c r="J5" s="83"/>
      <c r="K5" s="83"/>
      <c r="L5" s="83"/>
      <c r="M5" s="83"/>
      <c r="N5" s="83"/>
      <c r="O5" s="83"/>
      <c r="P5" s="60"/>
      <c r="Q5" s="60"/>
      <c r="R5" s="60"/>
    </row>
    <row r="6" spans="1:18" ht="15.75">
      <c r="A6" s="245" t="str">
        <f>'C.2.2 B 09'!A6</f>
        <v>Data:___X____Base Period________Forecasted Period</v>
      </c>
      <c r="B6" s="274"/>
      <c r="C6" s="245"/>
      <c r="D6" s="60"/>
      <c r="E6" s="60"/>
      <c r="F6" s="911"/>
      <c r="G6" s="60"/>
      <c r="H6" s="60"/>
      <c r="I6" s="60"/>
      <c r="J6" s="60"/>
      <c r="K6" s="60"/>
      <c r="L6" s="60"/>
      <c r="M6" s="60"/>
      <c r="N6" s="60"/>
      <c r="O6" s="60"/>
      <c r="P6" s="662" t="s">
        <v>1524</v>
      </c>
      <c r="Q6" s="60"/>
      <c r="R6" s="60"/>
    </row>
    <row r="7" spans="1:18">
      <c r="A7" s="245" t="str">
        <f>'C.2.2 B 09'!A7</f>
        <v>Type of Filing:___X____Original________Updated ________Revised</v>
      </c>
      <c r="B7" s="274"/>
      <c r="C7" s="24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63" t="s">
        <v>38</v>
      </c>
      <c r="Q7" s="60"/>
      <c r="R7" s="60"/>
    </row>
    <row r="8" spans="1:18">
      <c r="A8" s="263" t="str">
        <f>'C.2.2 B 09'!A8</f>
        <v>Workpaper Reference No(s).____________________</v>
      </c>
      <c r="B8" s="394"/>
      <c r="C8" s="275"/>
      <c r="D8" s="260"/>
      <c r="E8" s="260"/>
      <c r="F8" s="260"/>
      <c r="G8" s="260"/>
      <c r="H8" s="260"/>
      <c r="I8" s="260"/>
      <c r="J8" s="260"/>
      <c r="K8" s="260"/>
      <c r="L8" s="260"/>
      <c r="M8" s="86"/>
      <c r="N8" s="394"/>
      <c r="O8" s="394"/>
      <c r="P8" s="664" t="str">
        <f>C.1!J9</f>
        <v>Witness: Waller, Smith</v>
      </c>
      <c r="Q8" s="60"/>
      <c r="R8" s="60"/>
    </row>
    <row r="9" spans="1:18">
      <c r="A9" s="665" t="s">
        <v>98</v>
      </c>
      <c r="B9" s="666" t="s">
        <v>105</v>
      </c>
      <c r="C9" s="667"/>
      <c r="D9" s="278" t="str">
        <f>'C.2.2 B 09'!D9</f>
        <v>actual</v>
      </c>
      <c r="E9" s="278" t="str">
        <f>'C.2.2 B 09'!F9</f>
        <v>actual</v>
      </c>
      <c r="F9" s="278" t="str">
        <f>'C.2.2 B 09'!F9</f>
        <v>actual</v>
      </c>
      <c r="G9" s="278" t="str">
        <f>'C.2.2 B 09'!G9</f>
        <v>actual</v>
      </c>
      <c r="H9" s="278" t="str">
        <f>'C.2.2 B 09'!H9</f>
        <v>actual</v>
      </c>
      <c r="I9" s="278" t="str">
        <f>'C.2.2 B 09'!I9</f>
        <v>actual</v>
      </c>
      <c r="J9" s="278" t="str">
        <f>'C.2.2 B 09'!J9</f>
        <v>Forecasted</v>
      </c>
      <c r="K9" s="278" t="str">
        <f>'C.2.2 B 09'!K9</f>
        <v>Budgeted</v>
      </c>
      <c r="L9" s="278" t="str">
        <f>'C.2.2 B 09'!L9</f>
        <v>Budgeted</v>
      </c>
      <c r="M9" s="278" t="str">
        <f>'C.2.2 B 09'!M9</f>
        <v>Budgeted</v>
      </c>
      <c r="N9" s="278" t="str">
        <f>'C.2.2 B 09'!N9</f>
        <v>Budgeted</v>
      </c>
      <c r="O9" s="278" t="str">
        <f>'C.2.2 B 09'!O9</f>
        <v>Budgeted</v>
      </c>
      <c r="P9" s="395"/>
      <c r="Q9" s="104"/>
      <c r="R9" s="104"/>
    </row>
    <row r="10" spans="1:18">
      <c r="A10" s="668" t="s">
        <v>104</v>
      </c>
      <c r="B10" s="297" t="s">
        <v>104</v>
      </c>
      <c r="C10" s="669" t="s">
        <v>971</v>
      </c>
      <c r="D10" s="280">
        <f>'C.2.2 B 09'!D10</f>
        <v>42094</v>
      </c>
      <c r="E10" s="280">
        <f>'C.2.2 B 09'!E10</f>
        <v>42095</v>
      </c>
      <c r="F10" s="280">
        <f>'C.2.2 B 09'!F10</f>
        <v>42155</v>
      </c>
      <c r="G10" s="280">
        <f>'C.2.2 B 09'!G10</f>
        <v>42185</v>
      </c>
      <c r="H10" s="280">
        <f>'C.2.2 B 09'!H10</f>
        <v>42216</v>
      </c>
      <c r="I10" s="280">
        <f>'C.2.2 B 09'!I10</f>
        <v>42247</v>
      </c>
      <c r="J10" s="280">
        <f>'C.2.2 B 09'!J10</f>
        <v>42277</v>
      </c>
      <c r="K10" s="280">
        <f>'C.2.2 B 09'!K10</f>
        <v>42308</v>
      </c>
      <c r="L10" s="280">
        <f>'C.2.2 B 09'!L10</f>
        <v>42338</v>
      </c>
      <c r="M10" s="280">
        <f>'C.2.2 B 09'!M10</f>
        <v>42369</v>
      </c>
      <c r="N10" s="280">
        <f>'C.2.2 B 09'!N10</f>
        <v>42400</v>
      </c>
      <c r="O10" s="280">
        <f>'C.2.2 B 09'!O10</f>
        <v>42429</v>
      </c>
      <c r="P10" s="280" t="str">
        <f>'C.2.2 B 09'!P10</f>
        <v>Total</v>
      </c>
      <c r="Q10" s="282"/>
      <c r="R10" s="104"/>
    </row>
    <row r="11" spans="1:18">
      <c r="A11" s="60"/>
      <c r="B11" s="60"/>
      <c r="C11" s="60"/>
      <c r="D11" s="258" t="s">
        <v>151</v>
      </c>
      <c r="E11" s="258" t="s">
        <v>151</v>
      </c>
      <c r="F11" s="258" t="s">
        <v>151</v>
      </c>
      <c r="G11" s="258" t="s">
        <v>151</v>
      </c>
      <c r="H11" s="258" t="s">
        <v>151</v>
      </c>
      <c r="I11" s="258" t="s">
        <v>151</v>
      </c>
      <c r="J11" s="258" t="s">
        <v>151</v>
      </c>
      <c r="K11" s="258" t="s">
        <v>151</v>
      </c>
      <c r="L11" s="258" t="s">
        <v>151</v>
      </c>
      <c r="M11" s="258" t="s">
        <v>151</v>
      </c>
      <c r="N11" s="258" t="s">
        <v>151</v>
      </c>
      <c r="O11" s="283" t="s">
        <v>151</v>
      </c>
      <c r="P11" s="258" t="s">
        <v>151</v>
      </c>
      <c r="Q11" s="258"/>
      <c r="R11" s="60"/>
    </row>
    <row r="12" spans="1:18" s="1055" customFormat="1">
      <c r="A12" s="60"/>
      <c r="B12" s="1107" t="s">
        <v>750</v>
      </c>
      <c r="C12" s="130" t="s">
        <v>741</v>
      </c>
      <c r="D12" s="779">
        <v>2841005.8499999996</v>
      </c>
      <c r="E12" s="779">
        <v>3329272.2600000002</v>
      </c>
      <c r="F12" s="779">
        <v>89772.510000000009</v>
      </c>
      <c r="G12" s="779">
        <v>-280720.73999999929</v>
      </c>
      <c r="H12" s="779">
        <v>-545820.43999999994</v>
      </c>
      <c r="I12" s="779">
        <v>612234.46</v>
      </c>
      <c r="J12" s="779"/>
      <c r="K12" s="123"/>
      <c r="L12" s="123"/>
      <c r="M12" s="123"/>
      <c r="N12" s="123"/>
      <c r="O12" s="123"/>
      <c r="P12" s="203">
        <f t="shared" ref="P12:P15" si="0">SUM(D12:O12)</f>
        <v>6045743.8999999994</v>
      </c>
      <c r="Q12" s="258"/>
      <c r="R12" s="60"/>
    </row>
    <row r="13" spans="1:18" s="1055" customFormat="1">
      <c r="A13" s="60"/>
      <c r="B13" s="60"/>
      <c r="C13" s="60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03">
        <f t="shared" si="0"/>
        <v>0</v>
      </c>
      <c r="Q13" s="258"/>
      <c r="R13" s="60"/>
    </row>
    <row r="14" spans="1:18">
      <c r="A14" s="104">
        <v>1</v>
      </c>
      <c r="B14" s="393">
        <v>4030</v>
      </c>
      <c r="C14" s="60" t="s">
        <v>96</v>
      </c>
      <c r="D14" s="779">
        <v>-3.637978807091713E-12</v>
      </c>
      <c r="E14" s="779">
        <v>-7.9580786405131221E-13</v>
      </c>
      <c r="F14" s="779">
        <v>1.4495071809506044E-12</v>
      </c>
      <c r="G14" s="779">
        <v>-1.0231815394945443E-12</v>
      </c>
      <c r="H14" s="779">
        <v>1.7053025658242404E-12</v>
      </c>
      <c r="I14" s="779">
        <v>2.2026824808563106E-13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3">
        <f t="shared" si="0"/>
        <v>-2.0818902157770935E-12</v>
      </c>
      <c r="Q14" s="768"/>
      <c r="R14" s="203"/>
    </row>
    <row r="15" spans="1:18">
      <c r="A15" s="104">
        <f>A14+1</f>
        <v>2</v>
      </c>
      <c r="B15" s="393" t="s">
        <v>1454</v>
      </c>
      <c r="C15" s="60" t="s">
        <v>879</v>
      </c>
      <c r="D15" s="779">
        <v>0</v>
      </c>
      <c r="E15" s="779">
        <v>0</v>
      </c>
      <c r="F15" s="779">
        <v>0</v>
      </c>
      <c r="G15" s="779">
        <v>0</v>
      </c>
      <c r="H15" s="779">
        <v>0</v>
      </c>
      <c r="I15" s="779">
        <v>0</v>
      </c>
      <c r="J15" s="123"/>
      <c r="K15" s="123"/>
      <c r="L15" s="123"/>
      <c r="M15" s="123"/>
      <c r="N15" s="123"/>
      <c r="O15" s="123"/>
      <c r="P15" s="203">
        <f t="shared" si="0"/>
        <v>0</v>
      </c>
      <c r="Q15" s="768"/>
      <c r="R15" s="203"/>
    </row>
    <row r="16" spans="1:18">
      <c r="A16" s="104">
        <f t="shared" ref="A16:A54" si="1">A15+1</f>
        <v>3</v>
      </c>
      <c r="B16" s="397">
        <v>4081</v>
      </c>
      <c r="C16" s="60" t="s">
        <v>880</v>
      </c>
      <c r="D16" s="779">
        <v>1.4551915228366852E-11</v>
      </c>
      <c r="E16" s="779">
        <v>2.000000000800356E-2</v>
      </c>
      <c r="F16" s="779">
        <v>9.9999999990814104E-3</v>
      </c>
      <c r="G16" s="779">
        <v>-9.9999999972624209E-3</v>
      </c>
      <c r="H16" s="779">
        <v>1.9099388737231493E-11</v>
      </c>
      <c r="I16" s="779">
        <v>-1.9999999989522621E-2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203">
        <f t="shared" ref="P16:P48" si="2">SUM(D16:O16)</f>
        <v>5.3951232370508251E-11</v>
      </c>
      <c r="Q16" s="203"/>
      <c r="R16" s="203"/>
    </row>
    <row r="17" spans="1:18">
      <c r="A17" s="104">
        <f t="shared" si="1"/>
        <v>4</v>
      </c>
      <c r="B17" s="397">
        <v>8170</v>
      </c>
      <c r="C17" s="60" t="s">
        <v>905</v>
      </c>
      <c r="D17" s="779">
        <v>41.25</v>
      </c>
      <c r="E17" s="779">
        <v>40.92</v>
      </c>
      <c r="F17" s="779">
        <v>38.36</v>
      </c>
      <c r="G17" s="779">
        <v>37.630000000000003</v>
      </c>
      <c r="H17" s="779">
        <v>41.48</v>
      </c>
      <c r="I17" s="779">
        <v>42.81</v>
      </c>
      <c r="J17" s="123">
        <v>38.982137567098867</v>
      </c>
      <c r="K17" s="123">
        <v>40.632852957823019</v>
      </c>
      <c r="L17" s="123">
        <v>41.089256801354722</v>
      </c>
      <c r="M17" s="123">
        <v>44.444441813263438</v>
      </c>
      <c r="N17" s="123">
        <v>47.069106559098891</v>
      </c>
      <c r="O17" s="123">
        <v>48.143642935461813</v>
      </c>
      <c r="P17" s="203">
        <f t="shared" si="2"/>
        <v>502.81143863410074</v>
      </c>
      <c r="Q17" s="203"/>
      <c r="R17" s="203"/>
    </row>
    <row r="18" spans="1:18">
      <c r="A18" s="104">
        <f t="shared" si="1"/>
        <v>5</v>
      </c>
      <c r="B18" s="397">
        <v>8180</v>
      </c>
      <c r="C18" s="60" t="s">
        <v>906</v>
      </c>
      <c r="D18" s="779">
        <v>43.100000000000023</v>
      </c>
      <c r="E18" s="779">
        <v>42.759999999999991</v>
      </c>
      <c r="F18" s="779">
        <v>40.080000000000013</v>
      </c>
      <c r="G18" s="779">
        <v>39.319999999999965</v>
      </c>
      <c r="H18" s="779">
        <v>43.349999999999994</v>
      </c>
      <c r="I18" s="779">
        <v>30.579999999999984</v>
      </c>
      <c r="J18" s="123">
        <v>38.457980963804403</v>
      </c>
      <c r="K18" s="123">
        <v>40.086500717598199</v>
      </c>
      <c r="L18" s="123">
        <v>40.53676772248312</v>
      </c>
      <c r="M18" s="123">
        <v>43.846838677312746</v>
      </c>
      <c r="N18" s="123">
        <v>46.43621199369295</v>
      </c>
      <c r="O18" s="123">
        <v>47.496300077265801</v>
      </c>
      <c r="P18" s="203">
        <f t="shared" si="2"/>
        <v>496.05060015215719</v>
      </c>
      <c r="Q18" s="203"/>
      <c r="R18" s="203"/>
    </row>
    <row r="19" spans="1:18">
      <c r="A19" s="104">
        <f t="shared" si="1"/>
        <v>6</v>
      </c>
      <c r="B19" s="397">
        <v>8190</v>
      </c>
      <c r="C19" s="60" t="s">
        <v>907</v>
      </c>
      <c r="D19" s="779">
        <v>880.41</v>
      </c>
      <c r="E19" s="779">
        <v>553.48</v>
      </c>
      <c r="F19" s="779">
        <v>1520.59</v>
      </c>
      <c r="G19" s="779">
        <v>4.5</v>
      </c>
      <c r="H19" s="779">
        <v>0</v>
      </c>
      <c r="I19" s="779">
        <v>5.48</v>
      </c>
      <c r="J19" s="123">
        <v>476.63843073690202</v>
      </c>
      <c r="K19" s="123">
        <v>496.82189020147672</v>
      </c>
      <c r="L19" s="123">
        <v>502.40238489314919</v>
      </c>
      <c r="M19" s="123">
        <v>543.42656208598441</v>
      </c>
      <c r="N19" s="123">
        <v>575.51859612368037</v>
      </c>
      <c r="O19" s="123">
        <v>588.65705810047075</v>
      </c>
      <c r="P19" s="203">
        <f t="shared" si="2"/>
        <v>6147.924922141663</v>
      </c>
      <c r="Q19" s="203"/>
      <c r="R19" s="203"/>
    </row>
    <row r="20" spans="1:18">
      <c r="A20" s="104">
        <f t="shared" si="1"/>
        <v>7</v>
      </c>
      <c r="B20" s="397">
        <v>8210</v>
      </c>
      <c r="C20" s="60" t="s">
        <v>909</v>
      </c>
      <c r="D20" s="779">
        <v>778.32999999999993</v>
      </c>
      <c r="E20" s="779">
        <v>213.39999999999998</v>
      </c>
      <c r="F20" s="779">
        <v>119.17999999999999</v>
      </c>
      <c r="G20" s="779">
        <v>151.1</v>
      </c>
      <c r="H20" s="779">
        <v>139.33000000000001</v>
      </c>
      <c r="I20" s="779">
        <v>15.97</v>
      </c>
      <c r="J20" s="123">
        <v>227.88110288812078</v>
      </c>
      <c r="K20" s="123">
        <v>237.53082625552543</v>
      </c>
      <c r="L20" s="123">
        <v>240.19886391886183</v>
      </c>
      <c r="M20" s="123">
        <v>259.81254620068631</v>
      </c>
      <c r="N20" s="123">
        <v>275.15576579614947</v>
      </c>
      <c r="O20" s="123">
        <v>281.43727188640696</v>
      </c>
      <c r="P20" s="203">
        <f t="shared" si="2"/>
        <v>2939.3263769457503</v>
      </c>
      <c r="Q20" s="203"/>
      <c r="R20" s="203"/>
    </row>
    <row r="21" spans="1:18">
      <c r="A21" s="104">
        <f t="shared" si="1"/>
        <v>8</v>
      </c>
      <c r="B21" s="397">
        <v>8240</v>
      </c>
      <c r="C21" s="60" t="s">
        <v>910</v>
      </c>
      <c r="D21" s="779">
        <v>58.33</v>
      </c>
      <c r="E21" s="779">
        <v>39.68</v>
      </c>
      <c r="F21" s="779">
        <v>15.11</v>
      </c>
      <c r="G21" s="779">
        <v>4.7699999999999996</v>
      </c>
      <c r="H21" s="779">
        <v>0</v>
      </c>
      <c r="I21" s="779">
        <v>0</v>
      </c>
      <c r="J21" s="123">
        <v>18.954853362694514</v>
      </c>
      <c r="K21" s="123">
        <v>19.757504785307304</v>
      </c>
      <c r="L21" s="123">
        <v>19.979428683488173</v>
      </c>
      <c r="M21" s="123">
        <v>21.610869232277278</v>
      </c>
      <c r="N21" s="123">
        <v>22.887098256350455</v>
      </c>
      <c r="O21" s="123">
        <v>23.409585752367878</v>
      </c>
      <c r="P21" s="203">
        <f t="shared" si="2"/>
        <v>244.48934007248562</v>
      </c>
      <c r="Q21" s="203"/>
      <c r="R21" s="203"/>
    </row>
    <row r="22" spans="1:18">
      <c r="A22" s="104">
        <f t="shared" si="1"/>
        <v>9</v>
      </c>
      <c r="B22" s="397">
        <v>8250</v>
      </c>
      <c r="C22" s="60" t="s">
        <v>922</v>
      </c>
      <c r="D22" s="779">
        <v>2558.46</v>
      </c>
      <c r="E22" s="779">
        <v>3774.05</v>
      </c>
      <c r="F22" s="779">
        <v>2399.5500000000002</v>
      </c>
      <c r="G22" s="779">
        <v>1008.2900000000001</v>
      </c>
      <c r="H22" s="779">
        <v>289.12</v>
      </c>
      <c r="I22" s="779">
        <v>544.21</v>
      </c>
      <c r="J22" s="123">
        <v>1700.0810408351495</v>
      </c>
      <c r="K22" s="123">
        <v>1772.0717041166185</v>
      </c>
      <c r="L22" s="123">
        <v>1791.9762955469105</v>
      </c>
      <c r="M22" s="123">
        <v>1938.3019406560832</v>
      </c>
      <c r="N22" s="123">
        <v>2052.7682847672213</v>
      </c>
      <c r="O22" s="123">
        <v>2099.6307462727736</v>
      </c>
      <c r="P22" s="203">
        <f t="shared" si="2"/>
        <v>21928.510012194762</v>
      </c>
      <c r="Q22" s="203"/>
      <c r="R22" s="203"/>
    </row>
    <row r="23" spans="1:18">
      <c r="A23" s="104">
        <f t="shared" si="1"/>
        <v>10</v>
      </c>
      <c r="B23" s="397">
        <v>8560</v>
      </c>
      <c r="C23" s="60" t="s">
        <v>928</v>
      </c>
      <c r="D23" s="779">
        <v>615.09999999999991</v>
      </c>
      <c r="E23" s="779">
        <v>54.980000000000018</v>
      </c>
      <c r="F23" s="779">
        <v>51.529999999999973</v>
      </c>
      <c r="G23" s="779">
        <v>50.56</v>
      </c>
      <c r="H23" s="779">
        <v>55.729999999999961</v>
      </c>
      <c r="I23" s="779">
        <v>125.81</v>
      </c>
      <c r="J23" s="123">
        <v>186.6020142957847</v>
      </c>
      <c r="K23" s="123">
        <v>178.03136367119168</v>
      </c>
      <c r="L23" s="123">
        <v>193.665517757609</v>
      </c>
      <c r="M23" s="123">
        <v>193.23683912238252</v>
      </c>
      <c r="N23" s="123">
        <v>202.36081226440996</v>
      </c>
      <c r="O23" s="123">
        <v>189.55526525305982</v>
      </c>
      <c r="P23" s="203">
        <f t="shared" si="2"/>
        <v>2097.1618123644375</v>
      </c>
      <c r="Q23" s="203"/>
      <c r="R23" s="203"/>
    </row>
    <row r="24" spans="1:18">
      <c r="A24" s="104">
        <f t="shared" si="1"/>
        <v>11</v>
      </c>
      <c r="B24" s="397">
        <v>8570</v>
      </c>
      <c r="C24" s="60" t="s">
        <v>929</v>
      </c>
      <c r="D24" s="779">
        <v>82.49</v>
      </c>
      <c r="E24" s="779">
        <v>81.84</v>
      </c>
      <c r="F24" s="779">
        <v>76.709999999999994</v>
      </c>
      <c r="G24" s="779">
        <v>75.260000000000005</v>
      </c>
      <c r="H24" s="779">
        <v>82.96</v>
      </c>
      <c r="I24" s="779">
        <v>85.63</v>
      </c>
      <c r="J24" s="123">
        <v>77.96266729185632</v>
      </c>
      <c r="K24" s="123">
        <v>81.264029988528776</v>
      </c>
      <c r="L24" s="123">
        <v>82.176818850933742</v>
      </c>
      <c r="M24" s="123">
        <v>88.887050488073015</v>
      </c>
      <c r="N24" s="123">
        <v>94.136271723825345</v>
      </c>
      <c r="O24" s="123">
        <v>96.285300156634662</v>
      </c>
      <c r="P24" s="203">
        <f t="shared" si="2"/>
        <v>1005.6021384998518</v>
      </c>
      <c r="Q24" s="203"/>
      <c r="R24" s="285"/>
    </row>
    <row r="25" spans="1:18" s="1055" customFormat="1">
      <c r="A25" s="104">
        <f t="shared" si="1"/>
        <v>12</v>
      </c>
      <c r="B25" s="397">
        <v>8650</v>
      </c>
      <c r="C25" s="1073" t="s">
        <v>1494</v>
      </c>
      <c r="D25" s="779">
        <v>0</v>
      </c>
      <c r="E25" s="779">
        <v>0</v>
      </c>
      <c r="F25" s="779">
        <v>0</v>
      </c>
      <c r="G25" s="779">
        <v>0</v>
      </c>
      <c r="H25" s="779">
        <v>0</v>
      </c>
      <c r="I25" s="779">
        <v>15.5</v>
      </c>
      <c r="J25" s="123">
        <v>3.7732903974057486</v>
      </c>
      <c r="K25" s="123">
        <v>2.2271475890565529</v>
      </c>
      <c r="L25" s="123">
        <v>5.8506048296608864</v>
      </c>
      <c r="M25" s="123">
        <v>3.1597896998298647</v>
      </c>
      <c r="N25" s="123">
        <v>6.0495593765710938</v>
      </c>
      <c r="O25" s="123">
        <v>3.5106920959932033</v>
      </c>
      <c r="P25" s="203">
        <f t="shared" si="2"/>
        <v>40.071083988517358</v>
      </c>
      <c r="Q25" s="203"/>
      <c r="R25" s="285"/>
    </row>
    <row r="26" spans="1:18">
      <c r="A26" s="104">
        <f t="shared" si="1"/>
        <v>13</v>
      </c>
      <c r="B26" s="397">
        <v>8700</v>
      </c>
      <c r="C26" s="60" t="s">
        <v>932</v>
      </c>
      <c r="D26" s="779">
        <v>275478.31000000006</v>
      </c>
      <c r="E26" s="779">
        <v>270493.21999999997</v>
      </c>
      <c r="F26" s="779">
        <v>291757.97999999969</v>
      </c>
      <c r="G26" s="779">
        <v>254036.04999999987</v>
      </c>
      <c r="H26" s="779">
        <v>320551.94000000024</v>
      </c>
      <c r="I26" s="779">
        <v>247207.14000000016</v>
      </c>
      <c r="J26" s="123">
        <v>406080.52724166895</v>
      </c>
      <c r="K26" s="123">
        <v>346617.30142905965</v>
      </c>
      <c r="L26" s="123">
        <v>405652.82422056032</v>
      </c>
      <c r="M26" s="123">
        <v>378850.93050992128</v>
      </c>
      <c r="N26" s="123">
        <v>401050.26015284751</v>
      </c>
      <c r="O26" s="123">
        <v>405791.55289602425</v>
      </c>
      <c r="P26" s="203">
        <f t="shared" si="2"/>
        <v>4003568.036450082</v>
      </c>
      <c r="Q26" s="203"/>
      <c r="R26" s="285"/>
    </row>
    <row r="27" spans="1:18">
      <c r="A27" s="104">
        <f t="shared" si="1"/>
        <v>14</v>
      </c>
      <c r="B27" s="397">
        <v>8711</v>
      </c>
      <c r="C27" s="60" t="s">
        <v>194</v>
      </c>
      <c r="D27" s="779">
        <v>7997.85</v>
      </c>
      <c r="E27" s="779">
        <v>16844.57</v>
      </c>
      <c r="F27" s="779">
        <v>0</v>
      </c>
      <c r="G27" s="779">
        <v>156.66999999999999</v>
      </c>
      <c r="H27" s="779">
        <v>0</v>
      </c>
      <c r="I27" s="779">
        <v>4309.78</v>
      </c>
      <c r="J27" s="123">
        <v>7134.895337407318</v>
      </c>
      <c r="K27" s="123">
        <v>4211.3018811917382</v>
      </c>
      <c r="L27" s="123">
        <v>11062.878475735681</v>
      </c>
      <c r="M27" s="123">
        <v>5974.830034816292</v>
      </c>
      <c r="N27" s="123">
        <v>11439.080601626016</v>
      </c>
      <c r="O27" s="123">
        <v>6638.3495646124074</v>
      </c>
      <c r="P27" s="203">
        <f t="shared" si="2"/>
        <v>75770.205895389445</v>
      </c>
      <c r="Q27" s="203"/>
      <c r="R27" s="285"/>
    </row>
    <row r="28" spans="1:18">
      <c r="A28" s="104">
        <f t="shared" si="1"/>
        <v>15</v>
      </c>
      <c r="B28" s="397">
        <v>8740</v>
      </c>
      <c r="C28" s="60" t="s">
        <v>934</v>
      </c>
      <c r="D28" s="779">
        <v>7666.4500000000007</v>
      </c>
      <c r="E28" s="779">
        <v>12004.859999999999</v>
      </c>
      <c r="F28" s="779">
        <v>4450.4000000000005</v>
      </c>
      <c r="G28" s="779">
        <v>5701.5299999999979</v>
      </c>
      <c r="H28" s="779">
        <v>11810.709999999997</v>
      </c>
      <c r="I28" s="779">
        <v>9252.1499999999978</v>
      </c>
      <c r="J28" s="123">
        <v>622.16978309193507</v>
      </c>
      <c r="K28" s="123">
        <v>186.08280391789407</v>
      </c>
      <c r="L28" s="123">
        <v>506.69603624273037</v>
      </c>
      <c r="M28" s="123">
        <v>141.3501852521016</v>
      </c>
      <c r="N28" s="123">
        <v>1758.2683722417257</v>
      </c>
      <c r="O28" s="123">
        <v>452.12725049548129</v>
      </c>
      <c r="P28" s="203">
        <f t="shared" si="2"/>
        <v>54552.794431241862</v>
      </c>
      <c r="Q28" s="203"/>
      <c r="R28" s="285"/>
    </row>
    <row r="29" spans="1:18">
      <c r="A29" s="104">
        <f t="shared" si="1"/>
        <v>16</v>
      </c>
      <c r="B29" s="397">
        <v>8750</v>
      </c>
      <c r="C29" s="60" t="s">
        <v>935</v>
      </c>
      <c r="D29" s="779">
        <v>270.56</v>
      </c>
      <c r="E29" s="779">
        <v>517</v>
      </c>
      <c r="F29" s="779">
        <v>1497.26</v>
      </c>
      <c r="G29" s="779">
        <v>2584.36</v>
      </c>
      <c r="H29" s="779">
        <v>292.10000000000002</v>
      </c>
      <c r="I29" s="779">
        <v>6783.24</v>
      </c>
      <c r="J29" s="123">
        <v>11519.457437557836</v>
      </c>
      <c r="K29" s="123">
        <v>10343.893971034831</v>
      </c>
      <c r="L29" s="123">
        <v>12955.74727096441</v>
      </c>
      <c r="M29" s="123">
        <v>10927.545929181664</v>
      </c>
      <c r="N29" s="123">
        <v>13162.272750333235</v>
      </c>
      <c r="O29" s="123">
        <v>10985.741271633295</v>
      </c>
      <c r="P29" s="203">
        <f t="shared" si="2"/>
        <v>81839.178630705268</v>
      </c>
      <c r="Q29" s="203"/>
      <c r="R29" s="285"/>
    </row>
    <row r="30" spans="1:18">
      <c r="A30" s="104">
        <f t="shared" si="1"/>
        <v>17</v>
      </c>
      <c r="B30" s="397">
        <v>8760</v>
      </c>
      <c r="C30" t="s">
        <v>936</v>
      </c>
      <c r="D30" s="779">
        <v>0</v>
      </c>
      <c r="E30" s="779">
        <v>0</v>
      </c>
      <c r="F30" s="779">
        <v>0</v>
      </c>
      <c r="G30" s="779">
        <v>720</v>
      </c>
      <c r="H30" s="779">
        <v>0</v>
      </c>
      <c r="I30" s="779">
        <v>0</v>
      </c>
      <c r="J30" s="123">
        <v>175.27542491175089</v>
      </c>
      <c r="K30" s="123">
        <v>103.45459768520762</v>
      </c>
      <c r="L30" s="123">
        <v>271.77003079715081</v>
      </c>
      <c r="M30" s="123">
        <v>146.77732799209693</v>
      </c>
      <c r="N30" s="123">
        <v>281.01179039556047</v>
      </c>
      <c r="O30" s="123">
        <v>163.07731026549072</v>
      </c>
      <c r="P30" s="203">
        <f t="shared" si="2"/>
        <v>1861.3664820472573</v>
      </c>
      <c r="Q30" s="203"/>
      <c r="R30" s="285"/>
    </row>
    <row r="31" spans="1:18">
      <c r="A31" s="104">
        <f t="shared" si="1"/>
        <v>18</v>
      </c>
      <c r="B31" s="397">
        <v>8770</v>
      </c>
      <c r="C31" s="60" t="s">
        <v>937</v>
      </c>
      <c r="D31" s="779">
        <v>572.4</v>
      </c>
      <c r="E31" s="779">
        <v>15.5</v>
      </c>
      <c r="F31" s="779">
        <v>15</v>
      </c>
      <c r="G31" s="779">
        <v>3590.5</v>
      </c>
      <c r="H31" s="779">
        <v>0</v>
      </c>
      <c r="I31" s="779">
        <v>0</v>
      </c>
      <c r="J31" s="123">
        <v>931.83404808620855</v>
      </c>
      <c r="K31" s="123">
        <v>803.21184313128913</v>
      </c>
      <c r="L31" s="123">
        <v>911.71110018709828</v>
      </c>
      <c r="M31" s="123">
        <v>868.76372149375891</v>
      </c>
      <c r="N31" s="123">
        <v>971.89744986463938</v>
      </c>
      <c r="O31" s="123">
        <v>893.951716412049</v>
      </c>
      <c r="P31" s="203">
        <f t="shared" si="2"/>
        <v>9574.7698791750427</v>
      </c>
      <c r="Q31" s="203"/>
      <c r="R31" s="285"/>
    </row>
    <row r="32" spans="1:18">
      <c r="A32" s="104">
        <f t="shared" si="1"/>
        <v>19</v>
      </c>
      <c r="B32" s="397">
        <v>8800</v>
      </c>
      <c r="C32" s="60" t="s">
        <v>940</v>
      </c>
      <c r="D32" s="779">
        <v>0</v>
      </c>
      <c r="E32" s="779">
        <v>0</v>
      </c>
      <c r="F32" s="779">
        <v>503.71000000000004</v>
      </c>
      <c r="G32" s="779">
        <v>0</v>
      </c>
      <c r="H32" s="779">
        <v>0</v>
      </c>
      <c r="I32" s="779">
        <v>0</v>
      </c>
      <c r="J32" s="123">
        <v>119.98222151656657</v>
      </c>
      <c r="K32" s="123">
        <v>105.86530967153556</v>
      </c>
      <c r="L32" s="123">
        <v>171.68814656514871</v>
      </c>
      <c r="M32" s="123">
        <v>95.416527945257712</v>
      </c>
      <c r="N32" s="123">
        <v>118.00720025284338</v>
      </c>
      <c r="O32" s="123">
        <v>87.317310778426901</v>
      </c>
      <c r="P32" s="203">
        <f t="shared" si="2"/>
        <v>1201.9867167297789</v>
      </c>
      <c r="Q32" s="203"/>
      <c r="R32" s="285"/>
    </row>
    <row r="33" spans="1:18">
      <c r="A33" s="104">
        <f t="shared" si="1"/>
        <v>20</v>
      </c>
      <c r="B33" s="397">
        <v>8810</v>
      </c>
      <c r="C33" s="60" t="s">
        <v>941</v>
      </c>
      <c r="D33" s="779">
        <v>25712.25</v>
      </c>
      <c r="E33" s="779">
        <v>27867.590000000004</v>
      </c>
      <c r="F33" s="779">
        <v>22685.14</v>
      </c>
      <c r="G33" s="779">
        <v>24792.54</v>
      </c>
      <c r="H33" s="779">
        <v>23789.679999999993</v>
      </c>
      <c r="I33" s="779">
        <v>25854.180000000008</v>
      </c>
      <c r="J33" s="123">
        <v>24230.405967051531</v>
      </c>
      <c r="K33" s="123">
        <v>25256.452934959845</v>
      </c>
      <c r="L33" s="123">
        <v>25540.143135238384</v>
      </c>
      <c r="M33" s="123">
        <v>27625.649472421137</v>
      </c>
      <c r="N33" s="123">
        <v>29257.081104653567</v>
      </c>
      <c r="O33" s="123">
        <v>29924.988362966993</v>
      </c>
      <c r="P33" s="203">
        <f t="shared" si="2"/>
        <v>312536.10097729141</v>
      </c>
      <c r="Q33" s="203"/>
      <c r="R33" s="285"/>
    </row>
    <row r="34" spans="1:18">
      <c r="A34" s="104">
        <f t="shared" si="1"/>
        <v>21</v>
      </c>
      <c r="B34" s="397">
        <v>9010</v>
      </c>
      <c r="C34" t="s">
        <v>186</v>
      </c>
      <c r="D34" s="779">
        <v>0</v>
      </c>
      <c r="E34" s="779">
        <v>0</v>
      </c>
      <c r="F34" s="779">
        <v>5000</v>
      </c>
      <c r="G34" s="779">
        <v>0</v>
      </c>
      <c r="H34" s="779">
        <v>0</v>
      </c>
      <c r="I34" s="779">
        <v>0</v>
      </c>
      <c r="J34" s="123">
        <v>1454.2343243365067</v>
      </c>
      <c r="K34" s="123">
        <v>693.73047083823781</v>
      </c>
      <c r="L34" s="123">
        <v>1508.435452625813</v>
      </c>
      <c r="M34" s="123">
        <v>657.67943269280556</v>
      </c>
      <c r="N34" s="123">
        <v>2238.760859782531</v>
      </c>
      <c r="O34" s="123">
        <v>3439.51083849305</v>
      </c>
      <c r="P34" s="203">
        <f t="shared" si="2"/>
        <v>14992.351378768943</v>
      </c>
      <c r="Q34" s="203"/>
      <c r="R34" s="285"/>
    </row>
    <row r="35" spans="1:18">
      <c r="A35" s="104">
        <f t="shared" si="1"/>
        <v>22</v>
      </c>
      <c r="B35" s="397">
        <v>9030</v>
      </c>
      <c r="C35" s="60" t="s">
        <v>956</v>
      </c>
      <c r="D35" s="779">
        <v>261150.09999999998</v>
      </c>
      <c r="E35" s="779">
        <v>262590.69</v>
      </c>
      <c r="F35" s="779">
        <v>235445.98</v>
      </c>
      <c r="G35" s="779">
        <v>239238.05000000002</v>
      </c>
      <c r="H35" s="779">
        <v>222692.06</v>
      </c>
      <c r="I35" s="779">
        <v>220918.12</v>
      </c>
      <c r="J35" s="123">
        <v>314343.05825612717</v>
      </c>
      <c r="K35" s="123">
        <v>288462.75780198793</v>
      </c>
      <c r="L35" s="123">
        <v>274148.50667064369</v>
      </c>
      <c r="M35" s="123">
        <v>299979.43386213487</v>
      </c>
      <c r="N35" s="123">
        <v>293961.31332805741</v>
      </c>
      <c r="O35" s="123">
        <v>302813.92033512215</v>
      </c>
      <c r="P35" s="203">
        <f t="shared" si="2"/>
        <v>3215743.9902540734</v>
      </c>
      <c r="Q35" s="203"/>
      <c r="R35" s="285"/>
    </row>
    <row r="36" spans="1:18">
      <c r="A36" s="104">
        <f t="shared" si="1"/>
        <v>23</v>
      </c>
      <c r="B36" s="397">
        <v>9100</v>
      </c>
      <c r="C36" s="60" t="s">
        <v>959</v>
      </c>
      <c r="D36" s="779">
        <v>80.69</v>
      </c>
      <c r="E36" s="779">
        <v>6.83</v>
      </c>
      <c r="F36" s="779">
        <v>0</v>
      </c>
      <c r="G36" s="779">
        <v>0</v>
      </c>
      <c r="H36" s="779">
        <v>61.29</v>
      </c>
      <c r="I36" s="779">
        <v>72.63</v>
      </c>
      <c r="J36" s="123">
        <v>64.405129756215203</v>
      </c>
      <c r="K36" s="123">
        <v>30.723935092483874</v>
      </c>
      <c r="L36" s="123">
        <v>66.805589325892001</v>
      </c>
      <c r="M36" s="123">
        <v>29.127306715098971</v>
      </c>
      <c r="N36" s="123">
        <v>99.150240958048727</v>
      </c>
      <c r="O36" s="123">
        <v>152.32905601518019</v>
      </c>
      <c r="P36" s="203">
        <f t="shared" si="2"/>
        <v>663.98125786291905</v>
      </c>
      <c r="Q36" s="203"/>
      <c r="R36" s="285"/>
    </row>
    <row r="37" spans="1:18">
      <c r="A37" s="104">
        <f t="shared" si="1"/>
        <v>24</v>
      </c>
      <c r="B37" s="397">
        <v>9110</v>
      </c>
      <c r="C37" s="60" t="s">
        <v>960</v>
      </c>
      <c r="D37" s="779">
        <v>8143.9500000000007</v>
      </c>
      <c r="E37" s="779">
        <v>11938.72</v>
      </c>
      <c r="F37" s="779">
        <v>8546.0499999999993</v>
      </c>
      <c r="G37" s="779">
        <v>15853.81</v>
      </c>
      <c r="H37" s="779">
        <v>9151.119999999999</v>
      </c>
      <c r="I37" s="779">
        <v>9859.86</v>
      </c>
      <c r="J37" s="123">
        <v>13670.830328662136</v>
      </c>
      <c r="K37" s="123">
        <v>13022.559284605268</v>
      </c>
      <c r="L37" s="123">
        <v>14699.802734631512</v>
      </c>
      <c r="M37" s="123">
        <v>13127.955055746314</v>
      </c>
      <c r="N37" s="123">
        <v>12988.494378943051</v>
      </c>
      <c r="O37" s="123">
        <v>11999.957307701816</v>
      </c>
      <c r="P37" s="203">
        <f t="shared" si="2"/>
        <v>143003.10909029009</v>
      </c>
      <c r="Q37" s="203"/>
      <c r="R37" s="285"/>
    </row>
    <row r="38" spans="1:18">
      <c r="A38" s="104">
        <f t="shared" si="1"/>
        <v>25</v>
      </c>
      <c r="B38" s="397">
        <v>9120</v>
      </c>
      <c r="C38" s="60" t="s">
        <v>961</v>
      </c>
      <c r="D38" s="779">
        <v>138.62</v>
      </c>
      <c r="E38" s="779">
        <v>0</v>
      </c>
      <c r="F38" s="779">
        <v>0</v>
      </c>
      <c r="G38" s="779">
        <v>0</v>
      </c>
      <c r="H38" s="779">
        <v>0</v>
      </c>
      <c r="I38" s="779">
        <v>0</v>
      </c>
      <c r="J38" s="123">
        <v>40.31719240790531</v>
      </c>
      <c r="K38" s="123">
        <v>19.232983573519306</v>
      </c>
      <c r="L38" s="123">
        <v>41.819864488598043</v>
      </c>
      <c r="M38" s="123">
        <v>18.23350459197534</v>
      </c>
      <c r="N38" s="123">
        <v>62.067406076610887</v>
      </c>
      <c r="O38" s="123">
        <v>95.356998486381315</v>
      </c>
      <c r="P38" s="203">
        <f t="shared" si="2"/>
        <v>415.64794962499025</v>
      </c>
      <c r="Q38" s="203"/>
      <c r="R38" s="285"/>
    </row>
    <row r="39" spans="1:18">
      <c r="A39" s="104">
        <f t="shared" si="1"/>
        <v>26</v>
      </c>
      <c r="B39" s="397">
        <v>9130</v>
      </c>
      <c r="C39" s="60" t="s">
        <v>962</v>
      </c>
      <c r="D39" s="779">
        <v>0</v>
      </c>
      <c r="E39" s="779">
        <v>0</v>
      </c>
      <c r="F39" s="779">
        <v>2321.0499999999997</v>
      </c>
      <c r="G39" s="779">
        <v>149.52000000000001</v>
      </c>
      <c r="H39" s="779">
        <v>0</v>
      </c>
      <c r="I39" s="779">
        <v>0</v>
      </c>
      <c r="J39" s="123">
        <v>718.55753893520853</v>
      </c>
      <c r="K39" s="123">
        <v>342.78193786776501</v>
      </c>
      <c r="L39" s="123">
        <v>745.33907523875087</v>
      </c>
      <c r="M39" s="123">
        <v>324.96861520557286</v>
      </c>
      <c r="N39" s="123">
        <v>1106.2030834705852</v>
      </c>
      <c r="O39" s="123">
        <v>1699.5104584511546</v>
      </c>
      <c r="P39" s="203">
        <f t="shared" si="2"/>
        <v>7407.9307091690362</v>
      </c>
      <c r="Q39" s="203"/>
      <c r="R39" s="285"/>
    </row>
    <row r="40" spans="1:18">
      <c r="A40" s="104">
        <f t="shared" si="1"/>
        <v>27</v>
      </c>
      <c r="B40" s="397">
        <v>9200</v>
      </c>
      <c r="C40" s="60" t="s">
        <v>187</v>
      </c>
      <c r="D40" s="779">
        <v>-4567.08</v>
      </c>
      <c r="E40" s="779">
        <v>-4656.62</v>
      </c>
      <c r="F40" s="779">
        <v>-5150.38</v>
      </c>
      <c r="G40" s="779">
        <v>-4164.2</v>
      </c>
      <c r="H40" s="779">
        <v>-4788.71</v>
      </c>
      <c r="I40" s="779">
        <v>-3965.03</v>
      </c>
      <c r="J40" s="123">
        <v>-283.95160440359831</v>
      </c>
      <c r="K40" s="123">
        <v>-4687.5100222886695</v>
      </c>
      <c r="L40" s="123">
        <v>6168.4446094830464</v>
      </c>
      <c r="M40" s="123">
        <v>2090.3916893289288</v>
      </c>
      <c r="N40" s="123">
        <v>-9840.1927948807952</v>
      </c>
      <c r="O40" s="123">
        <v>201.99809256353538</v>
      </c>
      <c r="P40" s="203">
        <f t="shared" si="2"/>
        <v>-33642.840030197556</v>
      </c>
      <c r="Q40" s="203"/>
      <c r="R40" s="285"/>
    </row>
    <row r="41" spans="1:18">
      <c r="A41" s="104">
        <f t="shared" si="1"/>
        <v>28</v>
      </c>
      <c r="B41" s="397">
        <v>9210</v>
      </c>
      <c r="C41" s="60" t="s">
        <v>963</v>
      </c>
      <c r="D41" s="779">
        <v>0</v>
      </c>
      <c r="E41" s="779">
        <v>579.5200000000001</v>
      </c>
      <c r="F41" s="779">
        <v>358</v>
      </c>
      <c r="G41" s="779">
        <v>46.04</v>
      </c>
      <c r="H41" s="779">
        <v>2250</v>
      </c>
      <c r="I41" s="779">
        <v>-1.04</v>
      </c>
      <c r="J41" s="123">
        <v>729.83285910272127</v>
      </c>
      <c r="K41" s="123">
        <v>652.13282996501925</v>
      </c>
      <c r="L41" s="123">
        <v>749.66413721502727</v>
      </c>
      <c r="M41" s="123">
        <v>650.33386263195234</v>
      </c>
      <c r="N41" s="123">
        <v>695.48782963388658</v>
      </c>
      <c r="O41" s="123">
        <v>643.74142306234444</v>
      </c>
      <c r="P41" s="203">
        <f t="shared" si="2"/>
        <v>7353.7129416109501</v>
      </c>
      <c r="Q41" s="203"/>
      <c r="R41" s="203"/>
    </row>
    <row r="42" spans="1:18">
      <c r="A42" s="104">
        <f t="shared" si="1"/>
        <v>29</v>
      </c>
      <c r="B42" s="397">
        <v>9220</v>
      </c>
      <c r="C42" s="60" t="s">
        <v>964</v>
      </c>
      <c r="D42" s="779">
        <v>-755677.71999999962</v>
      </c>
      <c r="E42" s="779">
        <v>-785580.09999999974</v>
      </c>
      <c r="F42" s="779">
        <v>-919770.84000000008</v>
      </c>
      <c r="G42" s="779">
        <v>-721489.99999999977</v>
      </c>
      <c r="H42" s="779">
        <v>-1326376.6400000004</v>
      </c>
      <c r="I42" s="779">
        <v>-697810.12999999977</v>
      </c>
      <c r="J42" s="123">
        <f t="shared" ref="J42:O42" si="3">-(SUM(J14:J41,J43:J48))</f>
        <v>-1017790.1900000002</v>
      </c>
      <c r="K42" s="123">
        <f t="shared" si="3"/>
        <v>-916521.27595000016</v>
      </c>
      <c r="L42" s="123">
        <f t="shared" si="3"/>
        <v>-1002397.8340699999</v>
      </c>
      <c r="M42" s="123">
        <f t="shared" si="3"/>
        <v>-1010687.7516400003</v>
      </c>
      <c r="N42" s="123">
        <f t="shared" si="3"/>
        <v>-1017875.4980199998</v>
      </c>
      <c r="O42" s="123">
        <f t="shared" si="3"/>
        <v>-1026475.31204</v>
      </c>
      <c r="P42" s="203">
        <f t="shared" si="2"/>
        <v>-11198453.291720001</v>
      </c>
      <c r="Q42" s="768"/>
      <c r="R42" s="203"/>
    </row>
    <row r="43" spans="1:18">
      <c r="A43" s="104">
        <f t="shared" si="1"/>
        <v>30</v>
      </c>
      <c r="B43" s="397">
        <v>9230</v>
      </c>
      <c r="C43" s="60" t="s">
        <v>965</v>
      </c>
      <c r="D43" s="779">
        <v>22567.24</v>
      </c>
      <c r="E43" s="779">
        <v>12254.419999999998</v>
      </c>
      <c r="F43" s="779">
        <v>15853.769999999999</v>
      </c>
      <c r="G43" s="779">
        <v>9835.6299999999992</v>
      </c>
      <c r="H43" s="779">
        <v>0</v>
      </c>
      <c r="I43" s="779">
        <v>16709.309999999998</v>
      </c>
      <c r="J43" s="123">
        <v>16875.986616682592</v>
      </c>
      <c r="K43" s="123">
        <v>15430.160048711428</v>
      </c>
      <c r="L43" s="123">
        <v>14651.152353422915</v>
      </c>
      <c r="M43" s="123">
        <v>16042.360262033562</v>
      </c>
      <c r="N43" s="123">
        <v>15779.729789946392</v>
      </c>
      <c r="O43" s="123">
        <v>16284.024839064059</v>
      </c>
      <c r="P43" s="203">
        <f t="shared" si="2"/>
        <v>172283.78390986097</v>
      </c>
      <c r="Q43" s="203"/>
      <c r="R43" s="203"/>
    </row>
    <row r="44" spans="1:18">
      <c r="A44" s="104">
        <f t="shared" si="1"/>
        <v>31</v>
      </c>
      <c r="B44" s="397">
        <v>9240</v>
      </c>
      <c r="C44" s="60" t="s">
        <v>966</v>
      </c>
      <c r="D44" s="779">
        <v>-668.09000000000015</v>
      </c>
      <c r="E44" s="779">
        <v>-827.91000000000008</v>
      </c>
      <c r="F44" s="779">
        <v>-800.05</v>
      </c>
      <c r="G44" s="779">
        <v>-873.82999999999993</v>
      </c>
      <c r="H44" s="779">
        <v>-836.98</v>
      </c>
      <c r="I44" s="779">
        <v>-886.79</v>
      </c>
      <c r="J44" s="123">
        <v>-9034.7089966792264</v>
      </c>
      <c r="K44" s="123">
        <v>-6911.2243741196362</v>
      </c>
      <c r="L44" s="123">
        <v>-7030.016583731237</v>
      </c>
      <c r="M44" s="123">
        <v>-6899.7982577722532</v>
      </c>
      <c r="N44" s="123">
        <v>-6999.0872687909032</v>
      </c>
      <c r="O44" s="123">
        <v>-7021.7424994796829</v>
      </c>
      <c r="P44" s="203">
        <f t="shared" si="2"/>
        <v>-48790.227980572941</v>
      </c>
      <c r="Q44" s="203"/>
      <c r="R44" s="203"/>
    </row>
    <row r="45" spans="1:18">
      <c r="A45" s="104">
        <f t="shared" si="1"/>
        <v>32</v>
      </c>
      <c r="B45" s="397">
        <v>9250</v>
      </c>
      <c r="C45" s="60" t="s">
        <v>967</v>
      </c>
      <c r="D45" s="779">
        <v>25270.67</v>
      </c>
      <c r="E45" s="779">
        <v>14117.62</v>
      </c>
      <c r="F45" s="779">
        <v>24049.98</v>
      </c>
      <c r="G45" s="779">
        <v>23671.69</v>
      </c>
      <c r="H45" s="779">
        <v>23973.800000000003</v>
      </c>
      <c r="I45" s="779">
        <v>72437.69</v>
      </c>
      <c r="J45" s="123">
        <v>69118.86138759664</v>
      </c>
      <c r="K45" s="123">
        <v>57886.239977794605</v>
      </c>
      <c r="L45" s="123">
        <v>56709.994827744944</v>
      </c>
      <c r="M45" s="123">
        <v>59314.163914020392</v>
      </c>
      <c r="N45" s="123">
        <v>56639.380554347248</v>
      </c>
      <c r="O45" s="123">
        <v>56691.125887914241</v>
      </c>
      <c r="P45" s="203">
        <f t="shared" si="2"/>
        <v>539881.21654941805</v>
      </c>
      <c r="Q45" s="203"/>
      <c r="R45" s="203"/>
    </row>
    <row r="46" spans="1:18">
      <c r="A46" s="104">
        <f t="shared" si="1"/>
        <v>33</v>
      </c>
      <c r="B46" s="396">
        <v>9260</v>
      </c>
      <c r="C46" s="60" t="s">
        <v>968</v>
      </c>
      <c r="D46" s="779">
        <v>113470.74999999996</v>
      </c>
      <c r="E46" s="779">
        <v>149784.31999999998</v>
      </c>
      <c r="F46" s="779">
        <v>293007.1499999995</v>
      </c>
      <c r="G46" s="779">
        <v>137531.18000000014</v>
      </c>
      <c r="H46" s="779">
        <v>709528.64</v>
      </c>
      <c r="I46" s="779">
        <v>81144.219999999987</v>
      </c>
      <c r="J46" s="123">
        <v>141759.23581915745</v>
      </c>
      <c r="K46" s="123">
        <v>149339.82045462413</v>
      </c>
      <c r="L46" s="123">
        <v>167812.05951962198</v>
      </c>
      <c r="M46" s="123">
        <v>178522.26228787206</v>
      </c>
      <c r="N46" s="123">
        <v>183552.37270742506</v>
      </c>
      <c r="O46" s="123">
        <v>172358.82403770534</v>
      </c>
      <c r="P46" s="203">
        <f t="shared" si="2"/>
        <v>2477810.8348264056</v>
      </c>
      <c r="Q46" s="203"/>
      <c r="R46" s="203"/>
    </row>
    <row r="47" spans="1:18">
      <c r="A47" s="104">
        <f t="shared" si="1"/>
        <v>34</v>
      </c>
      <c r="B47" s="397">
        <v>9302</v>
      </c>
      <c r="C47" s="60" t="s">
        <v>875</v>
      </c>
      <c r="D47" s="779">
        <v>7323.2</v>
      </c>
      <c r="E47" s="779">
        <v>7243.6</v>
      </c>
      <c r="F47" s="779">
        <v>15963.6</v>
      </c>
      <c r="G47" s="779">
        <v>7243.6</v>
      </c>
      <c r="H47" s="779">
        <v>7243.6</v>
      </c>
      <c r="I47" s="779">
        <v>7243.6</v>
      </c>
      <c r="J47" s="123">
        <v>14743.463191357721</v>
      </c>
      <c r="K47" s="123">
        <v>11737.433062865735</v>
      </c>
      <c r="L47" s="123">
        <v>12127.970059160927</v>
      </c>
      <c r="M47" s="123">
        <v>19055.595601028941</v>
      </c>
      <c r="N47" s="123">
        <v>6224.086290409844</v>
      </c>
      <c r="O47" s="123">
        <v>8793.8826905976894</v>
      </c>
      <c r="P47" s="203">
        <f t="shared" si="2"/>
        <v>124943.63089542085</v>
      </c>
      <c r="Q47" s="203"/>
      <c r="R47" s="203"/>
    </row>
    <row r="48" spans="1:18">
      <c r="A48" s="104">
        <f t="shared" si="1"/>
        <v>35</v>
      </c>
      <c r="B48" s="397">
        <v>9310</v>
      </c>
      <c r="C48" s="60" t="s">
        <v>189</v>
      </c>
      <c r="D48" s="779">
        <v>12.38</v>
      </c>
      <c r="E48" s="779">
        <v>5.0599999999999996</v>
      </c>
      <c r="F48" s="779">
        <v>5.0599999999999996</v>
      </c>
      <c r="G48" s="779">
        <v>5.44</v>
      </c>
      <c r="H48" s="779">
        <v>5.44</v>
      </c>
      <c r="I48" s="779">
        <v>5.0999999999999996</v>
      </c>
      <c r="J48" s="123">
        <v>6.1869773296843249</v>
      </c>
      <c r="K48" s="123">
        <v>6.4489675471933596</v>
      </c>
      <c r="L48" s="123">
        <v>6.5214048328155494</v>
      </c>
      <c r="M48" s="123">
        <v>7.0539167703624557</v>
      </c>
      <c r="N48" s="123">
        <v>7.4704855450366079</v>
      </c>
      <c r="O48" s="123">
        <v>7.6410285838588194</v>
      </c>
      <c r="P48" s="203">
        <f t="shared" si="2"/>
        <v>79.802780608951139</v>
      </c>
      <c r="Q48" s="203"/>
      <c r="R48" s="203"/>
    </row>
    <row r="49" spans="1:18">
      <c r="A49" s="104">
        <f t="shared" si="1"/>
        <v>36</v>
      </c>
      <c r="B49" s="203"/>
      <c r="C49" s="240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91"/>
      <c r="P49" s="287"/>
      <c r="Q49" s="287"/>
      <c r="R49" s="287"/>
    </row>
    <row r="50" spans="1:18" ht="15.75" thickBot="1">
      <c r="A50" s="104">
        <f t="shared" si="1"/>
        <v>37</v>
      </c>
      <c r="B50" s="287" t="s">
        <v>751</v>
      </c>
      <c r="C50" s="240"/>
      <c r="D50" s="861">
        <f t="shared" ref="D50:O50" si="4">SUM(D14:D49)</f>
        <v>3.9097436399515573E-10</v>
      </c>
      <c r="E50" s="861">
        <f t="shared" si="4"/>
        <v>2.0000000219224212E-2</v>
      </c>
      <c r="F50" s="861">
        <f t="shared" si="4"/>
        <v>-2.0000000749351265E-2</v>
      </c>
      <c r="G50" s="861">
        <f t="shared" si="4"/>
        <v>4.2877257300233396E-10</v>
      </c>
      <c r="H50" s="861">
        <f t="shared" si="4"/>
        <v>1.9999999981737737E-2</v>
      </c>
      <c r="I50" s="861">
        <f t="shared" si="4"/>
        <v>3.8162362159255281E-10</v>
      </c>
      <c r="J50" s="861">
        <f t="shared" si="4"/>
        <v>-7.7832851275161374E-11</v>
      </c>
      <c r="K50" s="861">
        <f t="shared" si="4"/>
        <v>5.3813842271210888E-11</v>
      </c>
      <c r="L50" s="861">
        <f t="shared" si="4"/>
        <v>-2.0647483722768811E-11</v>
      </c>
      <c r="M50" s="861">
        <f t="shared" si="4"/>
        <v>-4.5794479319738457E-11</v>
      </c>
      <c r="N50" s="861">
        <f t="shared" si="4"/>
        <v>1.5395862362765911E-10</v>
      </c>
      <c r="O50" s="861">
        <f t="shared" si="4"/>
        <v>8.6899376583460253E-12</v>
      </c>
      <c r="P50" s="289">
        <f>SUM(P12:P49)</f>
        <v>6045743.919999999</v>
      </c>
      <c r="Q50" s="287"/>
      <c r="R50" s="287"/>
    </row>
    <row r="51" spans="1:18" ht="15.75" thickTop="1">
      <c r="A51" s="104">
        <f t="shared" si="1"/>
        <v>38</v>
      </c>
      <c r="B51" s="287"/>
      <c r="C51" s="240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87"/>
      <c r="Q51" s="287"/>
      <c r="R51" s="287"/>
    </row>
    <row r="52" spans="1:18">
      <c r="A52" s="104">
        <f t="shared" si="1"/>
        <v>39</v>
      </c>
      <c r="B52" s="397">
        <f>B42</f>
        <v>9220</v>
      </c>
      <c r="C52" s="407" t="str">
        <f>C42</f>
        <v>A&amp;G-Administrative expense transferred-Credit</v>
      </c>
      <c r="D52" s="477">
        <f t="shared" ref="D52:K52" si="5">-(D50-D42)</f>
        <v>-755677.72</v>
      </c>
      <c r="E52" s="477">
        <f t="shared" si="5"/>
        <v>-785580.12</v>
      </c>
      <c r="F52" s="477">
        <f t="shared" si="5"/>
        <v>-919770.81999999937</v>
      </c>
      <c r="G52" s="477">
        <f t="shared" si="5"/>
        <v>-721490.00000000023</v>
      </c>
      <c r="H52" s="477">
        <f t="shared" si="5"/>
        <v>-1326376.6600000004</v>
      </c>
      <c r="I52" s="477">
        <f t="shared" si="5"/>
        <v>-697810.13000000012</v>
      </c>
      <c r="J52" s="477">
        <f t="shared" si="5"/>
        <v>-1017790.1900000001</v>
      </c>
      <c r="K52" s="477">
        <f t="shared" si="5"/>
        <v>-916521.27595000016</v>
      </c>
      <c r="L52" s="1123">
        <f>L42</f>
        <v>-1002397.8340699999</v>
      </c>
      <c r="M52" s="1123">
        <f>M42</f>
        <v>-1010687.7516400003</v>
      </c>
      <c r="N52" s="1123">
        <f>N42</f>
        <v>-1017875.4980199998</v>
      </c>
      <c r="O52" s="1123">
        <f>O42</f>
        <v>-1026475.31204</v>
      </c>
      <c r="P52" s="203">
        <f t="shared" ref="P52" si="6">SUM(D52:O52)</f>
        <v>-11198453.311720001</v>
      </c>
      <c r="Q52" s="287"/>
      <c r="R52" s="287"/>
    </row>
    <row r="53" spans="1:18">
      <c r="A53" s="104">
        <f t="shared" si="1"/>
        <v>40</v>
      </c>
      <c r="B53" s="287"/>
      <c r="C53" s="478" t="s">
        <v>200</v>
      </c>
      <c r="D53" s="499">
        <f>D54/D52</f>
        <v>0.49099999931187599</v>
      </c>
      <c r="E53" s="499">
        <f t="shared" ref="E53:I53" si="7">E54/E52</f>
        <v>0.4909999886453339</v>
      </c>
      <c r="F53" s="499">
        <f t="shared" si="7"/>
        <v>0.49099999715146464</v>
      </c>
      <c r="G53" s="499">
        <f t="shared" si="7"/>
        <v>0.49099999999999988</v>
      </c>
      <c r="H53" s="499">
        <f t="shared" si="7"/>
        <v>0.49099999995476379</v>
      </c>
      <c r="I53" s="499">
        <f t="shared" si="7"/>
        <v>0.49100000884194667</v>
      </c>
      <c r="J53" s="499">
        <f>Allocation!$I$17</f>
        <v>0.49090457251500325</v>
      </c>
      <c r="K53" s="499">
        <f>Allocation!$I$17</f>
        <v>0.49090457251500325</v>
      </c>
      <c r="L53" s="499">
        <f>Allocation!$I$17</f>
        <v>0.49090457251500325</v>
      </c>
      <c r="M53" s="499">
        <f>Allocation!$I$17</f>
        <v>0.49090457251500325</v>
      </c>
      <c r="N53" s="499">
        <f>Allocation!$I$17</f>
        <v>0.49090457251500325</v>
      </c>
      <c r="O53" s="499">
        <f>Allocation!$I$17</f>
        <v>0.49090457251500325</v>
      </c>
      <c r="P53" s="499">
        <f t="shared" ref="P53" si="8">P54/P52</f>
        <v>0.49094894086145091</v>
      </c>
      <c r="Q53" s="287"/>
      <c r="R53" s="287"/>
    </row>
    <row r="54" spans="1:18">
      <c r="A54" s="104">
        <f t="shared" si="1"/>
        <v>41</v>
      </c>
      <c r="B54" s="287"/>
      <c r="C54" s="291" t="s">
        <v>215</v>
      </c>
      <c r="D54" s="291">
        <v>-371037.76</v>
      </c>
      <c r="E54" s="291">
        <v>-385719.83</v>
      </c>
      <c r="F54" s="291">
        <v>-451607.47</v>
      </c>
      <c r="G54" s="291">
        <v>-354251.59</v>
      </c>
      <c r="H54" s="291">
        <v>-651250.93999999994</v>
      </c>
      <c r="I54" s="291">
        <v>-342624.78</v>
      </c>
      <c r="J54" s="291">
        <f t="shared" ref="J54:O54" si="9">J52*J53</f>
        <v>-499637.85813191393</v>
      </c>
      <c r="K54" s="291">
        <f t="shared" si="9"/>
        <v>-449924.48517114017</v>
      </c>
      <c r="L54" s="291">
        <f t="shared" si="9"/>
        <v>-492081.68022409844</v>
      </c>
      <c r="M54" s="291">
        <f t="shared" si="9"/>
        <v>-496151.23866498412</v>
      </c>
      <c r="N54" s="291">
        <f t="shared" si="9"/>
        <v>-499679.73622900405</v>
      </c>
      <c r="O54" s="291">
        <f t="shared" si="9"/>
        <v>-503901.42425420077</v>
      </c>
      <c r="P54" s="203">
        <f>SUM(D54:O54)</f>
        <v>-5497868.7926753415</v>
      </c>
      <c r="Q54" s="287"/>
      <c r="R54" s="287"/>
    </row>
    <row r="55" spans="1:18">
      <c r="A55" s="287"/>
      <c r="B55" s="287"/>
      <c r="C55" s="240"/>
      <c r="D55" s="860"/>
      <c r="E55" s="860"/>
      <c r="F55" s="860"/>
      <c r="G55" s="860"/>
      <c r="H55" s="860"/>
      <c r="I55" s="860"/>
      <c r="J55" s="294"/>
      <c r="K55" s="293"/>
      <c r="L55" s="293"/>
      <c r="M55" s="293"/>
      <c r="N55" s="294"/>
      <c r="O55" s="293"/>
      <c r="P55" s="293"/>
      <c r="Q55" s="287"/>
      <c r="R55" s="287"/>
    </row>
    <row r="56" spans="1:18">
      <c r="A56" s="287"/>
      <c r="B56" s="287"/>
      <c r="C56" s="240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94"/>
      <c r="O56" s="293"/>
      <c r="P56" s="287"/>
      <c r="Q56" s="287"/>
      <c r="R56" s="287"/>
    </row>
    <row r="57" spans="1:18">
      <c r="A57" s="287"/>
      <c r="B57" s="287" t="s">
        <v>578</v>
      </c>
      <c r="C57" s="240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94"/>
      <c r="O57" s="293"/>
      <c r="P57" s="287"/>
      <c r="Q57" s="287"/>
      <c r="R57" s="287"/>
    </row>
    <row r="58" spans="1:18">
      <c r="A58" s="287"/>
      <c r="B58" s="287"/>
      <c r="C58" s="240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94"/>
      <c r="O58" s="293"/>
      <c r="P58" s="287"/>
      <c r="Q58" s="287"/>
      <c r="R58" s="287"/>
    </row>
    <row r="59" spans="1:18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94"/>
      <c r="O59" s="293"/>
      <c r="P59" s="287"/>
      <c r="Q59" s="287"/>
      <c r="R59" s="287"/>
    </row>
    <row r="60" spans="1:18">
      <c r="A60" s="287"/>
      <c r="B60" s="287" t="s">
        <v>972</v>
      </c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94"/>
      <c r="O60" s="293"/>
      <c r="P60" s="287"/>
      <c r="Q60" s="287"/>
      <c r="R60" s="287"/>
    </row>
    <row r="61" spans="1:18">
      <c r="A61" s="287"/>
      <c r="B61" s="287" t="s">
        <v>1625</v>
      </c>
      <c r="C61" s="291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94"/>
      <c r="O61" s="293"/>
      <c r="P61" s="287"/>
      <c r="Q61" s="957"/>
      <c r="R61" s="287"/>
    </row>
    <row r="62" spans="1:18">
      <c r="A62" s="287"/>
      <c r="B62" s="1" t="s">
        <v>1397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94"/>
      <c r="O62" s="293"/>
      <c r="P62" s="287"/>
      <c r="Q62" s="287"/>
      <c r="R62" s="287"/>
    </row>
    <row r="63" spans="1:18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94"/>
      <c r="O63" s="293"/>
      <c r="P63" s="287"/>
      <c r="Q63" s="287"/>
      <c r="R63" s="287"/>
    </row>
    <row r="64" spans="1:18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94"/>
      <c r="O64" s="293"/>
      <c r="P64" s="287"/>
      <c r="Q64" s="287"/>
      <c r="R64" s="287"/>
    </row>
    <row r="65" spans="1:18">
      <c r="A65" s="287"/>
      <c r="B65" s="287"/>
      <c r="C65" s="768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94"/>
      <c r="O65" s="293"/>
      <c r="P65" s="287"/>
      <c r="Q65" s="768"/>
      <c r="R65" s="287"/>
    </row>
    <row r="66" spans="1:18">
      <c r="A66" s="287"/>
      <c r="B66" s="287"/>
      <c r="C66" s="287"/>
      <c r="D66" s="287"/>
      <c r="E66" s="291"/>
      <c r="F66" s="291"/>
      <c r="G66" s="291"/>
      <c r="H66" s="291"/>
      <c r="I66" s="291"/>
      <c r="J66" s="291"/>
      <c r="K66" s="291"/>
      <c r="L66" s="287"/>
      <c r="M66" s="287"/>
      <c r="N66" s="291"/>
      <c r="O66" s="616"/>
      <c r="P66" s="291"/>
      <c r="Q66" s="287"/>
      <c r="R66" s="287"/>
    </row>
    <row r="67" spans="1:18">
      <c r="A67" s="287"/>
      <c r="B67" s="287"/>
      <c r="C67" s="287"/>
      <c r="D67" s="287"/>
      <c r="E67" s="287"/>
      <c r="F67" s="287"/>
      <c r="G67" s="287"/>
      <c r="H67" s="287"/>
      <c r="I67" s="291"/>
      <c r="J67" s="291"/>
      <c r="K67" s="291"/>
      <c r="L67" s="287"/>
      <c r="M67" s="287"/>
      <c r="N67" s="291"/>
      <c r="O67" s="232"/>
      <c r="P67" s="291"/>
      <c r="Q67" s="287"/>
      <c r="R67" s="287"/>
    </row>
    <row r="68" spans="1:18">
      <c r="A68" s="287"/>
      <c r="B68" s="287"/>
      <c r="C68" s="287"/>
      <c r="D68" s="287"/>
      <c r="E68" s="287"/>
      <c r="F68" s="287"/>
      <c r="G68" s="287"/>
      <c r="H68" s="287"/>
      <c r="I68" s="291"/>
      <c r="J68" s="291"/>
      <c r="K68" s="291"/>
      <c r="L68" s="287"/>
      <c r="M68" s="287"/>
      <c r="N68" s="291"/>
      <c r="O68" s="232"/>
      <c r="P68" s="291"/>
      <c r="Q68" s="287"/>
      <c r="R68" s="287"/>
    </row>
    <row r="69" spans="1:18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91"/>
      <c r="O69" s="287"/>
      <c r="P69" s="287"/>
      <c r="Q69" s="287"/>
      <c r="R69" s="287"/>
    </row>
    <row r="70" spans="1:18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91"/>
      <c r="O70" s="287"/>
      <c r="P70" s="287"/>
      <c r="Q70" s="287"/>
      <c r="R70" s="287"/>
    </row>
    <row r="71" spans="1:18">
      <c r="E71" s="1055"/>
      <c r="F71" s="1055"/>
      <c r="G71" s="1055"/>
      <c r="H71" s="1055"/>
      <c r="I71" s="1055"/>
      <c r="J71" s="1055"/>
      <c r="K71" s="1055"/>
    </row>
    <row r="72" spans="1:18">
      <c r="C72" s="768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58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7"/>
  <sheetViews>
    <sheetView view="pageBreakPreview" zoomScale="60" zoomScaleNormal="75" workbookViewId="0">
      <pane xSplit="3" ySplit="10" topLeftCell="D11" activePane="bottomRight" state="frozen"/>
      <selection activeCell="E55" sqref="E55"/>
      <selection pane="topRight" activeCell="E55" sqref="E55"/>
      <selection pane="bottomLeft" activeCell="E55" sqref="E55"/>
      <selection pane="bottomRight" activeCell="D11" sqref="D11"/>
    </sheetView>
  </sheetViews>
  <sheetFormatPr defaultColWidth="7.109375" defaultRowHeight="15"/>
  <cols>
    <col min="1" max="1" width="4.6640625" customWidth="1"/>
    <col min="2" max="2" width="9.109375" customWidth="1"/>
    <col min="3" max="3" width="42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5.21875" customWidth="1"/>
    <col min="10" max="10" width="12.5546875" customWidth="1"/>
    <col min="11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20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  <c r="R1" s="1"/>
      <c r="S1" s="1"/>
    </row>
    <row r="2" spans="1:20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R2" s="1"/>
      <c r="S2" s="1"/>
    </row>
    <row r="3" spans="1:20">
      <c r="A3" s="1266" t="s">
        <v>432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  <c r="R3" s="1"/>
      <c r="S3" s="1"/>
    </row>
    <row r="4" spans="1:20">
      <c r="A4" s="1266" t="str">
        <f>'Table of Contents'!A4:C4</f>
        <v>Forecasted Test Period: Twelve Months Ended May 31, 2017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"/>
      <c r="R4" s="1"/>
      <c r="S4" s="1"/>
    </row>
    <row r="5" spans="1:20">
      <c r="A5" s="77"/>
      <c r="B5" s="77"/>
      <c r="C5" s="77"/>
      <c r="D5" s="1044"/>
      <c r="E5" s="105"/>
      <c r="F5" s="1044"/>
      <c r="G5" s="1003"/>
      <c r="H5" s="1003"/>
      <c r="I5" s="1003"/>
      <c r="J5" s="1003"/>
      <c r="K5" s="1003"/>
      <c r="L5" s="1044"/>
      <c r="M5" s="917"/>
      <c r="N5" s="1044"/>
      <c r="O5" s="105"/>
      <c r="P5" s="77"/>
      <c r="Q5" s="1"/>
      <c r="R5" s="1"/>
      <c r="S5" s="1"/>
    </row>
    <row r="6" spans="1:20">
      <c r="A6" s="4" t="str">
        <f>'C.2.1 F'!A6</f>
        <v>Data:________Base Period___X____Forecasted Period</v>
      </c>
      <c r="B6" s="1"/>
      <c r="C6" s="7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7"/>
      <c r="P6" s="232" t="s">
        <v>1524</v>
      </c>
      <c r="Q6" s="1"/>
      <c r="R6" s="1"/>
      <c r="S6" s="1"/>
    </row>
    <row r="7" spans="1:20">
      <c r="A7" s="4" t="str">
        <f>'C.2.1 F'!A7</f>
        <v>Type of Filing:___X____Original________Updated ________Revised</v>
      </c>
      <c r="B7" s="1"/>
      <c r="C7" s="7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70" t="s">
        <v>38</v>
      </c>
      <c r="Q7" s="1"/>
      <c r="R7" s="1"/>
      <c r="S7" s="1"/>
    </row>
    <row r="8" spans="1:20">
      <c r="A8" s="73" t="str">
        <f>'C.2.1 F'!A8</f>
        <v>Workpaper Reference No(s).____________________</v>
      </c>
      <c r="B8" s="1"/>
      <c r="C8" s="7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71" t="str">
        <f>'C.2.2 B 09'!P8</f>
        <v>Witness: Waller, Smith</v>
      </c>
      <c r="Q8" s="1"/>
      <c r="R8" s="1"/>
      <c r="S8" s="1"/>
    </row>
    <row r="9" spans="1:20">
      <c r="A9" s="638" t="s">
        <v>98</v>
      </c>
      <c r="B9" s="436" t="s">
        <v>105</v>
      </c>
      <c r="C9" s="672"/>
      <c r="D9" s="470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674"/>
      <c r="Q9" s="77"/>
      <c r="R9" s="77"/>
      <c r="S9" s="77"/>
    </row>
    <row r="10" spans="1:20">
      <c r="A10" s="640" t="s">
        <v>104</v>
      </c>
      <c r="B10" s="80" t="s">
        <v>104</v>
      </c>
      <c r="C10" s="673" t="s">
        <v>971</v>
      </c>
      <c r="D10" s="447">
        <v>42551</v>
      </c>
      <c r="E10" s="447">
        <v>42582</v>
      </c>
      <c r="F10" s="447">
        <v>42613</v>
      </c>
      <c r="G10" s="447">
        <v>42643</v>
      </c>
      <c r="H10" s="447">
        <v>42674</v>
      </c>
      <c r="I10" s="447">
        <v>42704</v>
      </c>
      <c r="J10" s="447">
        <v>42735</v>
      </c>
      <c r="K10" s="447">
        <v>42766</v>
      </c>
      <c r="L10" s="447">
        <v>42794</v>
      </c>
      <c r="M10" s="447">
        <v>42825</v>
      </c>
      <c r="N10" s="447">
        <v>42855</v>
      </c>
      <c r="O10" s="447">
        <v>42886</v>
      </c>
      <c r="P10" s="464" t="s">
        <v>101</v>
      </c>
      <c r="Q10" s="296"/>
      <c r="R10" s="77"/>
      <c r="S10" s="77"/>
    </row>
    <row r="11" spans="1:20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59" t="s">
        <v>151</v>
      </c>
      <c r="P11" s="2" t="s">
        <v>151</v>
      </c>
      <c r="Q11" s="2"/>
      <c r="R11" s="1"/>
      <c r="S11" s="1"/>
    </row>
    <row r="12" spans="1:20">
      <c r="A12" s="777">
        <v>1</v>
      </c>
      <c r="B12" s="465">
        <v>4091</v>
      </c>
      <c r="C12" s="1113" t="s">
        <v>684</v>
      </c>
      <c r="D12" s="517">
        <f>E!$G$23/12</f>
        <v>902429.58284794644</v>
      </c>
      <c r="E12" s="517">
        <f>E!$G$23/12</f>
        <v>902429.58284794644</v>
      </c>
      <c r="F12" s="517">
        <f>E!$G$23/12</f>
        <v>902429.58284794644</v>
      </c>
      <c r="G12" s="517">
        <f>E!$G$23/12</f>
        <v>902429.58284794644</v>
      </c>
      <c r="H12" s="517">
        <f>E!$G$23/12</f>
        <v>902429.58284794644</v>
      </c>
      <c r="I12" s="517">
        <f>E!$G$23/12</f>
        <v>902429.58284794644</v>
      </c>
      <c r="J12" s="517">
        <f>E!$G$23/12</f>
        <v>902429.58284794644</v>
      </c>
      <c r="K12" s="517">
        <f>E!$G$23/12</f>
        <v>902429.58284794644</v>
      </c>
      <c r="L12" s="517">
        <f>E!$G$23/12</f>
        <v>902429.58284794644</v>
      </c>
      <c r="M12" s="517">
        <f>E!$G$23/12</f>
        <v>902429.58284794644</v>
      </c>
      <c r="N12" s="517">
        <f>E!$G$23/12</f>
        <v>902429.58284794644</v>
      </c>
      <c r="O12" s="517">
        <f>E!$G$23/12</f>
        <v>902429.58284794644</v>
      </c>
      <c r="P12" s="107">
        <f>SUM(D12:O12)</f>
        <v>10829154.99417536</v>
      </c>
      <c r="Q12" s="768"/>
      <c r="S12" s="768"/>
    </row>
    <row r="13" spans="1:20">
      <c r="A13" s="777">
        <f>A12+1</f>
        <v>2</v>
      </c>
      <c r="B13" s="465"/>
      <c r="C13" s="27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107"/>
      <c r="Q13" s="1"/>
      <c r="S13" s="1"/>
    </row>
    <row r="14" spans="1:20">
      <c r="A14" s="1110">
        <f t="shared" ref="A14:A77" si="0">A13+1</f>
        <v>3</v>
      </c>
      <c r="B14" s="465">
        <v>4030</v>
      </c>
      <c r="C14" s="1" t="s">
        <v>96</v>
      </c>
      <c r="D14" s="123">
        <f>'B.3.1 F'!$H$228/12</f>
        <v>1614717.2538325824</v>
      </c>
      <c r="E14" s="123">
        <f>'B.3.1 F'!$H$228/12</f>
        <v>1614717.2538325824</v>
      </c>
      <c r="F14" s="123">
        <f>'B.3.1 F'!$H$228/12</f>
        <v>1614717.2538325824</v>
      </c>
      <c r="G14" s="123">
        <f>'B.3.1 F'!$H$228/12</f>
        <v>1614717.2538325824</v>
      </c>
      <c r="H14" s="123">
        <f>'B.3.1 F'!$H$228/12</f>
        <v>1614717.2538325824</v>
      </c>
      <c r="I14" s="123">
        <f>'B.3.1 F'!$H$228/12</f>
        <v>1614717.2538325824</v>
      </c>
      <c r="J14" s="123">
        <f>'B.3.1 F'!$H$228/12</f>
        <v>1614717.2538325824</v>
      </c>
      <c r="K14" s="123">
        <f>'B.3.1 F'!$H$228/12</f>
        <v>1614717.2538325824</v>
      </c>
      <c r="L14" s="123">
        <f>'B.3.1 F'!$H$228/12</f>
        <v>1614717.2538325824</v>
      </c>
      <c r="M14" s="123">
        <f>'B.3.1 F'!$H$228/12</f>
        <v>1614717.2538325824</v>
      </c>
      <c r="N14" s="123">
        <f>'B.3.1 F'!$H$228/12</f>
        <v>1614717.2538325824</v>
      </c>
      <c r="O14" s="123">
        <f>'B.3.1 F'!$H$228/12</f>
        <v>1614717.2538325824</v>
      </c>
      <c r="P14" s="107">
        <f t="shared" ref="P14:P23" si="1">SUM(D14:O14)</f>
        <v>19376607.045990989</v>
      </c>
      <c r="Q14" s="768"/>
      <c r="S14" s="768"/>
    </row>
    <row r="15" spans="1:20">
      <c r="A15" s="1110">
        <f t="shared" si="0"/>
        <v>4</v>
      </c>
      <c r="B15" s="465">
        <v>4060</v>
      </c>
      <c r="C15" s="1" t="s">
        <v>879</v>
      </c>
      <c r="D15" s="123">
        <f>'C.2.2 B 09'!O15</f>
        <v>4037.2</v>
      </c>
      <c r="E15" s="123">
        <f>D15</f>
        <v>4037.2</v>
      </c>
      <c r="F15" s="123">
        <f t="shared" ref="F15:O15" si="2">E15</f>
        <v>4037.2</v>
      </c>
      <c r="G15" s="123">
        <f t="shared" si="2"/>
        <v>4037.2</v>
      </c>
      <c r="H15" s="123">
        <f t="shared" si="2"/>
        <v>4037.2</v>
      </c>
      <c r="I15" s="123">
        <f t="shared" si="2"/>
        <v>4037.2</v>
      </c>
      <c r="J15" s="123">
        <f t="shared" si="2"/>
        <v>4037.2</v>
      </c>
      <c r="K15" s="123">
        <f t="shared" si="2"/>
        <v>4037.2</v>
      </c>
      <c r="L15" s="123">
        <f t="shared" si="2"/>
        <v>4037.2</v>
      </c>
      <c r="M15" s="123">
        <f t="shared" si="2"/>
        <v>4037.2</v>
      </c>
      <c r="N15" s="123">
        <f t="shared" si="2"/>
        <v>4037.2</v>
      </c>
      <c r="O15" s="123">
        <f t="shared" si="2"/>
        <v>4037.2</v>
      </c>
      <c r="P15" s="107">
        <f t="shared" si="1"/>
        <v>48446.399999999994</v>
      </c>
      <c r="Q15" s="1"/>
      <c r="S15" s="1"/>
    </row>
    <row r="16" spans="1:20">
      <c r="A16" s="1110">
        <f t="shared" si="0"/>
        <v>5</v>
      </c>
      <c r="B16" s="465">
        <v>4081</v>
      </c>
      <c r="C16" s="203" t="s">
        <v>880</v>
      </c>
      <c r="D16" s="123">
        <f>'C.2.3 F'!C25</f>
        <v>474078.58412594919</v>
      </c>
      <c r="E16" s="123">
        <f>'C.2.3 F'!D25</f>
        <v>496683.80826868454</v>
      </c>
      <c r="F16" s="123">
        <f>'C.2.3 F'!E25</f>
        <v>477532.59479307721</v>
      </c>
      <c r="G16" s="123">
        <f>'C.2.3 F'!F25</f>
        <v>475466.46204850817</v>
      </c>
      <c r="H16" s="123">
        <f>'C.2.3 F'!G25</f>
        <v>530426.63686514727</v>
      </c>
      <c r="I16" s="123">
        <f>'C.2.3 F'!H25</f>
        <v>515122.87686514732</v>
      </c>
      <c r="J16" s="123">
        <f>'C.2.3 F'!I25</f>
        <v>479903.18686514732</v>
      </c>
      <c r="K16" s="123">
        <f>'C.2.3 F'!J25</f>
        <v>538468.69686514733</v>
      </c>
      <c r="L16" s="123">
        <f>'C.2.3 F'!K25</f>
        <v>491713.02686514729</v>
      </c>
      <c r="M16" s="123">
        <f>'C.2.3 F'!L25</f>
        <v>499474.1549545477</v>
      </c>
      <c r="N16" s="123">
        <f>'C.2.3 F'!M25</f>
        <v>594132.68837168661</v>
      </c>
      <c r="O16" s="123">
        <f>'C.2.3 F'!N25</f>
        <v>527217.4358050864</v>
      </c>
      <c r="P16" s="107">
        <f t="shared" si="1"/>
        <v>6100220.1526932763</v>
      </c>
      <c r="Q16" s="887"/>
      <c r="S16" s="887"/>
      <c r="T16" s="106"/>
    </row>
    <row r="17" spans="1:19">
      <c r="A17" s="1110">
        <f t="shared" si="0"/>
        <v>6</v>
      </c>
      <c r="B17" s="465">
        <v>4800</v>
      </c>
      <c r="C17" s="466" t="s">
        <v>881</v>
      </c>
      <c r="D17" s="123">
        <v>-4201268.6228973651</v>
      </c>
      <c r="E17" s="123">
        <v>-3877378.1406009444</v>
      </c>
      <c r="F17" s="123">
        <v>-3821140.5303760283</v>
      </c>
      <c r="G17" s="123">
        <v>-3845344.2182956291</v>
      </c>
      <c r="H17" s="123">
        <v>-4867276.7173198052</v>
      </c>
      <c r="I17" s="123">
        <v>-8345706.3607764542</v>
      </c>
      <c r="J17" s="123">
        <v>-12478366.792133136</v>
      </c>
      <c r="K17" s="123">
        <v>-14143816.410609035</v>
      </c>
      <c r="L17" s="123">
        <v>-13587612.431186128</v>
      </c>
      <c r="M17" s="123">
        <v>-12857074.65086887</v>
      </c>
      <c r="N17" s="123">
        <v>-8294818.5120518543</v>
      </c>
      <c r="O17" s="123">
        <v>-5503226.438238184</v>
      </c>
      <c r="P17" s="123">
        <f t="shared" si="1"/>
        <v>-95823029.825353429</v>
      </c>
    </row>
    <row r="18" spans="1:19" s="1055" customFormat="1">
      <c r="A18" s="1110">
        <f t="shared" si="0"/>
        <v>7</v>
      </c>
      <c r="B18" s="1058">
        <v>4805</v>
      </c>
      <c r="C18" s="471" t="s">
        <v>1357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9">
      <c r="A19" s="1110">
        <f t="shared" si="0"/>
        <v>8</v>
      </c>
      <c r="B19" s="465">
        <v>4811</v>
      </c>
      <c r="C19" s="471" t="s">
        <v>1446</v>
      </c>
      <c r="D19" s="123">
        <v>-1840387.2281287462</v>
      </c>
      <c r="E19" s="123">
        <v>-1721802.6777845549</v>
      </c>
      <c r="F19" s="123">
        <v>-1690360.4602324376</v>
      </c>
      <c r="G19" s="123">
        <v>-1697937.2651399029</v>
      </c>
      <c r="H19" s="123">
        <v>-2075771.1460299401</v>
      </c>
      <c r="I19" s="123">
        <v>-3426761.7529234421</v>
      </c>
      <c r="J19" s="123">
        <v>-5072886.3369821701</v>
      </c>
      <c r="K19" s="123">
        <v>-5747048.040673296</v>
      </c>
      <c r="L19" s="123">
        <v>-5642685.2126848055</v>
      </c>
      <c r="M19" s="123">
        <v>-5127401.3287257254</v>
      </c>
      <c r="N19" s="123">
        <v>-3455972.9054769436</v>
      </c>
      <c r="O19" s="123">
        <v>-2363430.8658952895</v>
      </c>
      <c r="P19" s="123">
        <f t="shared" si="1"/>
        <v>-39862445.220677249</v>
      </c>
    </row>
    <row r="20" spans="1:19">
      <c r="A20" s="1110">
        <f t="shared" si="0"/>
        <v>9</v>
      </c>
      <c r="B20" s="465">
        <v>4812</v>
      </c>
      <c r="C20" s="107" t="s">
        <v>1447</v>
      </c>
      <c r="D20" s="123">
        <v>-248583.40862098554</v>
      </c>
      <c r="E20" s="123">
        <v>-152992.77479779642</v>
      </c>
      <c r="F20" s="123">
        <v>-213968.12308367409</v>
      </c>
      <c r="G20" s="123">
        <v>-170704.17731956393</v>
      </c>
      <c r="H20" s="123">
        <v>-236478.17521546903</v>
      </c>
      <c r="I20" s="123">
        <v>-306081.07370747271</v>
      </c>
      <c r="J20" s="123">
        <v>-575973.29941798933</v>
      </c>
      <c r="K20" s="123">
        <v>-753210.0668626983</v>
      </c>
      <c r="L20" s="123">
        <v>-591797.78317842353</v>
      </c>
      <c r="M20" s="123">
        <v>-960768.12766470993</v>
      </c>
      <c r="N20" s="123">
        <v>-361428.99045902566</v>
      </c>
      <c r="O20" s="123">
        <v>-308541.23944735265</v>
      </c>
      <c r="P20" s="123">
        <f t="shared" si="1"/>
        <v>-4880527.2397751613</v>
      </c>
      <c r="Q20" s="1"/>
      <c r="R20" s="768"/>
    </row>
    <row r="21" spans="1:19" s="1055" customFormat="1">
      <c r="A21" s="1110">
        <f t="shared" si="0"/>
        <v>10</v>
      </c>
      <c r="B21" s="393">
        <v>4815</v>
      </c>
      <c r="C21" s="284" t="s">
        <v>1358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"/>
      <c r="R21" s="768"/>
    </row>
    <row r="22" spans="1:19" s="1055" customFormat="1">
      <c r="A22" s="1110">
        <f t="shared" si="0"/>
        <v>11</v>
      </c>
      <c r="B22" s="393">
        <v>4816</v>
      </c>
      <c r="C22" s="284" t="s">
        <v>1390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"/>
      <c r="R22" s="768"/>
    </row>
    <row r="23" spans="1:19" ht="15.75">
      <c r="A23" s="1110">
        <f t="shared" si="0"/>
        <v>12</v>
      </c>
      <c r="B23" s="465">
        <v>4820</v>
      </c>
      <c r="C23" s="107" t="s">
        <v>882</v>
      </c>
      <c r="D23" s="123">
        <v>-263072.62355836708</v>
      </c>
      <c r="E23" s="123">
        <v>-238326.25035950949</v>
      </c>
      <c r="F23" s="123">
        <v>-230068.91782624542</v>
      </c>
      <c r="G23" s="123">
        <v>-239375.29734039362</v>
      </c>
      <c r="H23" s="123">
        <v>-334521.73625627509</v>
      </c>
      <c r="I23" s="123">
        <v>-637713.83683892328</v>
      </c>
      <c r="J23" s="123">
        <v>-992365.42750667315</v>
      </c>
      <c r="K23" s="123">
        <v>-1141046.8454879541</v>
      </c>
      <c r="L23" s="123">
        <v>-1085110.9884618123</v>
      </c>
      <c r="M23" s="123">
        <v>-1031152.8350119655</v>
      </c>
      <c r="N23" s="123">
        <v>-619398.38989390922</v>
      </c>
      <c r="O23" s="123">
        <v>-377455.89542681194</v>
      </c>
      <c r="P23" s="123">
        <f t="shared" si="1"/>
        <v>-7189609.0439688396</v>
      </c>
      <c r="Q23" s="107"/>
      <c r="R23" s="823"/>
    </row>
    <row r="24" spans="1:19" s="1055" customFormat="1" ht="15.75">
      <c r="A24" s="1110">
        <f t="shared" si="0"/>
        <v>13</v>
      </c>
      <c r="B24" s="393">
        <v>4825</v>
      </c>
      <c r="C24" s="284" t="s">
        <v>1359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07"/>
      <c r="R24" s="823"/>
    </row>
    <row r="25" spans="1:19">
      <c r="A25" s="1110">
        <f t="shared" si="0"/>
        <v>14</v>
      </c>
      <c r="B25" s="465">
        <v>4870</v>
      </c>
      <c r="C25" s="1" t="s">
        <v>235</v>
      </c>
      <c r="D25" s="123">
        <v>-64359.484880450655</v>
      </c>
      <c r="E25" s="123">
        <v>-50430.816667139916</v>
      </c>
      <c r="F25" s="123">
        <v>-46693.460565744826</v>
      </c>
      <c r="G25" s="123">
        <v>-45925.383208012761</v>
      </c>
      <c r="H25" s="123">
        <v>-46253.95138550202</v>
      </c>
      <c r="I25" s="123">
        <v>-58211.918307893335</v>
      </c>
      <c r="J25" s="123">
        <v>-99267.594643623204</v>
      </c>
      <c r="K25" s="123">
        <v>-148251.73521202765</v>
      </c>
      <c r="L25" s="123">
        <v>-168154.64563045249</v>
      </c>
      <c r="M25" s="123">
        <v>-162432.45197172367</v>
      </c>
      <c r="N25" s="123">
        <v>-152013.47087655027</v>
      </c>
      <c r="O25" s="123">
        <v>-98892.265646552856</v>
      </c>
      <c r="P25" s="123">
        <f t="shared" ref="P25:P57" si="3">SUM(D25:O25)</f>
        <v>-1140887.1789956738</v>
      </c>
      <c r="Q25" s="1"/>
      <c r="R25" s="1"/>
    </row>
    <row r="26" spans="1:19">
      <c r="A26" s="1110">
        <f t="shared" si="0"/>
        <v>15</v>
      </c>
      <c r="B26" s="465">
        <v>4880</v>
      </c>
      <c r="C26" s="1" t="s">
        <v>883</v>
      </c>
      <c r="D26" s="123">
        <v>-53147</v>
      </c>
      <c r="E26" s="123">
        <v>-52352</v>
      </c>
      <c r="F26" s="123">
        <v>-49875</v>
      </c>
      <c r="G26" s="123">
        <v>-61445</v>
      </c>
      <c r="H26" s="123">
        <v>-120749</v>
      </c>
      <c r="I26" s="123">
        <v>-125695</v>
      </c>
      <c r="J26" s="123">
        <v>-56798</v>
      </c>
      <c r="K26" s="123">
        <v>-53861</v>
      </c>
      <c r="L26" s="123">
        <v>-48764</v>
      </c>
      <c r="M26" s="123">
        <v>-61274</v>
      </c>
      <c r="N26" s="123">
        <v>-55115</v>
      </c>
      <c r="O26" s="123">
        <v>-56750</v>
      </c>
      <c r="P26" s="123">
        <f t="shared" si="3"/>
        <v>-795825</v>
      </c>
      <c r="Q26" s="1"/>
      <c r="R26" s="1"/>
    </row>
    <row r="27" spans="1:19">
      <c r="A27" s="1110">
        <f t="shared" si="0"/>
        <v>16</v>
      </c>
      <c r="B27" s="465">
        <v>4893</v>
      </c>
      <c r="C27" s="1" t="s">
        <v>884</v>
      </c>
      <c r="D27" s="123">
        <v>-1054709.8433999999</v>
      </c>
      <c r="E27" s="123">
        <v>-1013351.0695</v>
      </c>
      <c r="F27" s="123">
        <v>-1068158.5239000001</v>
      </c>
      <c r="G27" s="123">
        <v>-1050910.6894999999</v>
      </c>
      <c r="H27" s="123">
        <v>-1190909.3454499999</v>
      </c>
      <c r="I27" s="123">
        <v>-1319362.7035000001</v>
      </c>
      <c r="J27" s="123">
        <v>-1329060.5179000003</v>
      </c>
      <c r="K27" s="123">
        <v>-1473667.6765999999</v>
      </c>
      <c r="L27" s="123">
        <v>-1424542.7038</v>
      </c>
      <c r="M27" s="123">
        <v>-1335401.2275</v>
      </c>
      <c r="N27" s="123">
        <v>-1140627.9108</v>
      </c>
      <c r="O27" s="123">
        <v>-1092901.6943000001</v>
      </c>
      <c r="P27" s="123">
        <f t="shared" si="3"/>
        <v>-14493603.90615</v>
      </c>
      <c r="Q27" s="963"/>
    </row>
    <row r="28" spans="1:19">
      <c r="A28" s="1110">
        <f t="shared" si="0"/>
        <v>17</v>
      </c>
      <c r="B28" s="465">
        <v>4950</v>
      </c>
      <c r="C28" s="1" t="s">
        <v>678</v>
      </c>
      <c r="D28" s="123">
        <v>-198243.80750000002</v>
      </c>
      <c r="E28" s="123">
        <v>-198681.44750000004</v>
      </c>
      <c r="F28" s="123">
        <v>-207453.83249999999</v>
      </c>
      <c r="G28" s="123">
        <v>-197356.58499999999</v>
      </c>
      <c r="H28" s="123">
        <v>-213502.51250000004</v>
      </c>
      <c r="I28" s="123">
        <v>-225558.07250000001</v>
      </c>
      <c r="J28" s="123">
        <v>-235550.01249999998</v>
      </c>
      <c r="K28" s="123">
        <v>-252288.6275</v>
      </c>
      <c r="L28" s="123">
        <v>-241810.63249999995</v>
      </c>
      <c r="M28" s="123">
        <v>-227856.71499999997</v>
      </c>
      <c r="N28" s="123">
        <v>-214959.52000000002</v>
      </c>
      <c r="O28" s="123">
        <v>-205466.29249999998</v>
      </c>
      <c r="P28" s="123">
        <f t="shared" si="3"/>
        <v>-2618728.0574999996</v>
      </c>
      <c r="Q28" s="768"/>
      <c r="R28" s="768"/>
    </row>
    <row r="29" spans="1:19" s="1055" customFormat="1">
      <c r="A29" s="1110">
        <f t="shared" si="0"/>
        <v>18</v>
      </c>
      <c r="B29" s="393">
        <v>7560</v>
      </c>
      <c r="C29" s="106" t="s">
        <v>1455</v>
      </c>
      <c r="D29" s="517">
        <v>8.5329614878992057</v>
      </c>
      <c r="E29" s="517">
        <v>9.1419011785462647</v>
      </c>
      <c r="F29" s="517">
        <v>8.8622999464698538</v>
      </c>
      <c r="G29" s="517">
        <v>8.7899527619551812</v>
      </c>
      <c r="H29" s="517">
        <v>8.8377941224042225</v>
      </c>
      <c r="I29" s="517">
        <v>8.3011196961340818</v>
      </c>
      <c r="J29" s="517">
        <v>8.3669483782588046</v>
      </c>
      <c r="K29" s="517">
        <v>8.2476765586461607</v>
      </c>
      <c r="L29" s="517">
        <v>7.8998085451070725</v>
      </c>
      <c r="M29" s="517">
        <v>8.6376749287450689</v>
      </c>
      <c r="N29" s="517">
        <v>9.7164149065414307</v>
      </c>
      <c r="O29" s="517">
        <v>8.3865780036485287</v>
      </c>
      <c r="P29" s="123">
        <f t="shared" si="3"/>
        <v>103.72113051435586</v>
      </c>
      <c r="Q29" s="1057"/>
      <c r="R29" s="768"/>
    </row>
    <row r="30" spans="1:19" s="1055" customFormat="1">
      <c r="A30" s="1110">
        <f t="shared" si="0"/>
        <v>19</v>
      </c>
      <c r="B30" s="393">
        <v>7590</v>
      </c>
      <c r="C30" s="130" t="s">
        <v>1401</v>
      </c>
      <c r="D30" s="517">
        <v>0</v>
      </c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123">
        <f t="shared" si="3"/>
        <v>0</v>
      </c>
      <c r="Q30" s="1057"/>
      <c r="R30" s="768"/>
    </row>
    <row r="31" spans="1:19">
      <c r="A31" s="1110">
        <f t="shared" si="0"/>
        <v>20</v>
      </c>
      <c r="B31" s="465">
        <v>8001</v>
      </c>
      <c r="C31" s="1" t="s">
        <v>885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146919.11091232725</v>
      </c>
      <c r="K31" s="123">
        <v>89603.973920114935</v>
      </c>
      <c r="L31" s="123">
        <v>396305.01818808267</v>
      </c>
      <c r="M31" s="123">
        <v>213051.43288701813</v>
      </c>
      <c r="N31" s="123">
        <v>463204.80290183751</v>
      </c>
      <c r="O31" s="123">
        <v>0</v>
      </c>
      <c r="P31" s="123">
        <f t="shared" si="3"/>
        <v>1309084.3388093805</v>
      </c>
      <c r="Q31" s="1"/>
      <c r="R31" s="768"/>
      <c r="S31" s="1"/>
    </row>
    <row r="32" spans="1:19">
      <c r="A32" s="1110">
        <f t="shared" si="0"/>
        <v>21</v>
      </c>
      <c r="B32" s="465">
        <v>8010</v>
      </c>
      <c r="C32" s="1" t="s">
        <v>1229</v>
      </c>
      <c r="D32" s="123">
        <v>6175.7763157554582</v>
      </c>
      <c r="E32" s="123">
        <v>5936.6494756029051</v>
      </c>
      <c r="F32" s="123">
        <v>5505.2318739390184</v>
      </c>
      <c r="G32" s="123">
        <v>7191.3206783476144</v>
      </c>
      <c r="H32" s="123">
        <v>4298.1121478770519</v>
      </c>
      <c r="I32" s="123">
        <v>5578.8915878009211</v>
      </c>
      <c r="J32" s="123">
        <v>5021.3425915770304</v>
      </c>
      <c r="K32" s="123">
        <v>4953.572093507003</v>
      </c>
      <c r="L32" s="123">
        <v>3351.2356136218468</v>
      </c>
      <c r="M32" s="123">
        <v>9363.5670674092598</v>
      </c>
      <c r="N32" s="123">
        <v>13724.989620946659</v>
      </c>
      <c r="O32" s="123">
        <v>10889.1653924206</v>
      </c>
      <c r="P32" s="123">
        <f t="shared" si="3"/>
        <v>81989.854458805363</v>
      </c>
      <c r="Q32" s="1"/>
      <c r="R32" s="768"/>
      <c r="S32" s="1"/>
    </row>
    <row r="33" spans="1:25">
      <c r="A33" s="1110">
        <f t="shared" si="0"/>
        <v>22</v>
      </c>
      <c r="B33" s="465">
        <v>8040</v>
      </c>
      <c r="C33" s="1" t="s">
        <v>886</v>
      </c>
      <c r="D33" s="123">
        <v>4473767.4124967093</v>
      </c>
      <c r="E33" s="123">
        <v>4984370.1328893434</v>
      </c>
      <c r="F33" s="123">
        <v>4042075.8170955428</v>
      </c>
      <c r="G33" s="123">
        <v>4203499.19793835</v>
      </c>
      <c r="H33" s="123">
        <v>4164915.5466492972</v>
      </c>
      <c r="I33" s="123">
        <v>5146802.4368380951</v>
      </c>
      <c r="J33" s="123">
        <v>4766797.5522712627</v>
      </c>
      <c r="K33" s="123">
        <v>3835234.7444325797</v>
      </c>
      <c r="L33" s="123">
        <v>2330260.1981907268</v>
      </c>
      <c r="M33" s="123">
        <v>3864089.5099203326</v>
      </c>
      <c r="N33" s="123">
        <v>2470964.1835634005</v>
      </c>
      <c r="O33" s="123">
        <v>10347908.833334723</v>
      </c>
      <c r="P33" s="123">
        <f t="shared" si="3"/>
        <v>54630685.565620363</v>
      </c>
      <c r="Q33" s="1"/>
      <c r="R33" s="1"/>
      <c r="S33" s="1"/>
    </row>
    <row r="34" spans="1:25">
      <c r="A34" s="1110">
        <f t="shared" si="0"/>
        <v>23</v>
      </c>
      <c r="B34" s="465">
        <v>8050</v>
      </c>
      <c r="C34" s="1" t="s">
        <v>887</v>
      </c>
      <c r="D34" s="123">
        <v>-938.81157300945495</v>
      </c>
      <c r="E34" s="123">
        <v>-2611.4601455664251</v>
      </c>
      <c r="F34" s="123">
        <v>-1609.1119269959356</v>
      </c>
      <c r="G34" s="123">
        <v>-226.12477396937496</v>
      </c>
      <c r="H34" s="123">
        <v>-15.567180247612981</v>
      </c>
      <c r="I34" s="123">
        <v>-21.672399465480957</v>
      </c>
      <c r="J34" s="123">
        <v>0</v>
      </c>
      <c r="K34" s="123">
        <v>0</v>
      </c>
      <c r="L34" s="123">
        <v>-224.82233701872514</v>
      </c>
      <c r="M34" s="123">
        <v>23720.533307298792</v>
      </c>
      <c r="N34" s="123">
        <v>-17.443541308645315</v>
      </c>
      <c r="O34" s="123">
        <v>-1417.4060072164689</v>
      </c>
      <c r="P34" s="123">
        <f t="shared" si="3"/>
        <v>16638.113422500668</v>
      </c>
      <c r="Q34" s="1"/>
      <c r="R34" s="1"/>
      <c r="S34" s="1"/>
    </row>
    <row r="35" spans="1:25">
      <c r="A35" s="1110">
        <f t="shared" si="0"/>
        <v>24</v>
      </c>
      <c r="B35" s="465">
        <v>8051</v>
      </c>
      <c r="C35" s="1" t="s">
        <v>888</v>
      </c>
      <c r="D35" s="123">
        <v>1077682.4352895038</v>
      </c>
      <c r="E35" s="123">
        <v>855624.99680327752</v>
      </c>
      <c r="F35" s="123">
        <v>725665.86855211493</v>
      </c>
      <c r="G35" s="123">
        <v>729239.12473403872</v>
      </c>
      <c r="H35" s="123">
        <v>945870.79456960026</v>
      </c>
      <c r="I35" s="123">
        <v>3023339.7183964993</v>
      </c>
      <c r="J35" s="123">
        <v>6572938.8884907691</v>
      </c>
      <c r="K35" s="123">
        <v>8091636.5581096858</v>
      </c>
      <c r="L35" s="123">
        <v>8181532.8845226504</v>
      </c>
      <c r="M35" s="123">
        <v>9502782.1550766472</v>
      </c>
      <c r="N35" s="123">
        <v>7190471.1113609802</v>
      </c>
      <c r="O35" s="123">
        <v>3129853.9243696271</v>
      </c>
      <c r="P35" s="123">
        <f t="shared" si="3"/>
        <v>50026638.460275397</v>
      </c>
      <c r="Q35" s="1"/>
      <c r="R35" s="1"/>
      <c r="S35" s="1"/>
    </row>
    <row r="36" spans="1:25">
      <c r="A36" s="1110">
        <f t="shared" si="0"/>
        <v>25</v>
      </c>
      <c r="B36" s="465">
        <v>8052</v>
      </c>
      <c r="C36" s="1" t="s">
        <v>889</v>
      </c>
      <c r="D36" s="123">
        <v>821094.97198128258</v>
      </c>
      <c r="E36" s="123">
        <v>762193.329973888</v>
      </c>
      <c r="F36" s="123">
        <v>677880.19513050572</v>
      </c>
      <c r="G36" s="123">
        <v>770336.59234322282</v>
      </c>
      <c r="H36" s="123">
        <v>948827.2739442992</v>
      </c>
      <c r="I36" s="123">
        <v>1354890.5097397051</v>
      </c>
      <c r="J36" s="123">
        <v>2837329.219648527</v>
      </c>
      <c r="K36" s="123">
        <v>3562542.5802478027</v>
      </c>
      <c r="L36" s="123">
        <v>3612688.1519557671</v>
      </c>
      <c r="M36" s="123">
        <v>4126387.6572248633</v>
      </c>
      <c r="N36" s="123">
        <v>3440145.9531220119</v>
      </c>
      <c r="O36" s="123">
        <v>1899794.0077016284</v>
      </c>
      <c r="P36" s="123">
        <f t="shared" si="3"/>
        <v>24814110.4430135</v>
      </c>
      <c r="Q36" s="1"/>
      <c r="R36" s="768"/>
      <c r="S36" s="1"/>
    </row>
    <row r="37" spans="1:25" ht="15.75">
      <c r="A37" s="1110">
        <f t="shared" si="0"/>
        <v>26</v>
      </c>
      <c r="B37" s="465">
        <v>8053</v>
      </c>
      <c r="C37" s="1" t="s">
        <v>890</v>
      </c>
      <c r="D37" s="123">
        <v>296792.54419777577</v>
      </c>
      <c r="E37" s="123">
        <v>180736.70846029368</v>
      </c>
      <c r="F37" s="123">
        <v>216320.14729032002</v>
      </c>
      <c r="G37" s="123">
        <v>145184.3134880467</v>
      </c>
      <c r="H37" s="123">
        <v>199457.00420816391</v>
      </c>
      <c r="I37" s="123">
        <v>227314.43721464049</v>
      </c>
      <c r="J37" s="123">
        <v>431075.72925873398</v>
      </c>
      <c r="K37" s="123">
        <v>531439.18794250628</v>
      </c>
      <c r="L37" s="123">
        <v>530543.21489946265</v>
      </c>
      <c r="M37" s="123">
        <v>760216.79047914478</v>
      </c>
      <c r="N37" s="123">
        <v>625192.89821576187</v>
      </c>
      <c r="O37" s="123">
        <v>571070.33019069117</v>
      </c>
      <c r="P37" s="123">
        <f t="shared" si="3"/>
        <v>4715343.3058455419</v>
      </c>
      <c r="Q37" s="1"/>
      <c r="R37" s="823"/>
      <c r="S37" s="1"/>
    </row>
    <row r="38" spans="1:25">
      <c r="A38" s="1110">
        <f t="shared" si="0"/>
        <v>27</v>
      </c>
      <c r="B38" s="465">
        <v>8054</v>
      </c>
      <c r="C38" s="1" t="s">
        <v>891</v>
      </c>
      <c r="D38" s="123">
        <v>168725.59062571425</v>
      </c>
      <c r="E38" s="123">
        <v>139478.50643155121</v>
      </c>
      <c r="F38" s="123">
        <v>120599.89151730444</v>
      </c>
      <c r="G38" s="123">
        <v>144478.95373279441</v>
      </c>
      <c r="H38" s="123">
        <v>173663.46546173363</v>
      </c>
      <c r="I38" s="123">
        <v>297441.11327488447</v>
      </c>
      <c r="J38" s="123">
        <v>619686.2180469461</v>
      </c>
      <c r="K38" s="123">
        <v>765820.40704525355</v>
      </c>
      <c r="L38" s="123">
        <v>791195.61187929322</v>
      </c>
      <c r="M38" s="123">
        <v>895266.72508212272</v>
      </c>
      <c r="N38" s="123">
        <v>751961.26768360171</v>
      </c>
      <c r="O38" s="123">
        <v>480781.35286224191</v>
      </c>
      <c r="P38" s="123">
        <f t="shared" si="3"/>
        <v>5349099.1036434416</v>
      </c>
      <c r="Q38" s="1"/>
      <c r="R38" s="794"/>
      <c r="S38" s="1"/>
    </row>
    <row r="39" spans="1:25">
      <c r="A39" s="1110">
        <f t="shared" si="0"/>
        <v>28</v>
      </c>
      <c r="B39" s="465">
        <v>8058</v>
      </c>
      <c r="C39" s="1" t="s">
        <v>892</v>
      </c>
      <c r="D39" s="123">
        <v>-251539.35057493747</v>
      </c>
      <c r="E39" s="123">
        <v>-230242.5760504253</v>
      </c>
      <c r="F39" s="123">
        <v>-2463.94524158379</v>
      </c>
      <c r="G39" s="123">
        <v>-44132.335725606092</v>
      </c>
      <c r="H39" s="123">
        <v>676622.213157997</v>
      </c>
      <c r="I39" s="123">
        <v>2069022.2900035963</v>
      </c>
      <c r="J39" s="123">
        <v>1394960.7304291471</v>
      </c>
      <c r="K39" s="123">
        <v>990425.77923804952</v>
      </c>
      <c r="L39" s="123">
        <v>447999.20497353573</v>
      </c>
      <c r="M39" s="123">
        <v>-3054215.6151740667</v>
      </c>
      <c r="N39" s="123">
        <v>-5135995.5852569267</v>
      </c>
      <c r="O39" s="123">
        <v>-2376599.3805235992</v>
      </c>
      <c r="P39" s="123">
        <f t="shared" si="3"/>
        <v>-5516158.570744819</v>
      </c>
      <c r="Q39" s="1"/>
      <c r="R39" s="1"/>
      <c r="S39" s="1"/>
    </row>
    <row r="40" spans="1:25">
      <c r="A40" s="1110">
        <f t="shared" si="0"/>
        <v>29</v>
      </c>
      <c r="B40" s="465">
        <v>8059</v>
      </c>
      <c r="C40" s="1" t="s">
        <v>893</v>
      </c>
      <c r="D40" s="123">
        <v>-3017104.3519653128</v>
      </c>
      <c r="E40" s="123">
        <v>-3071812.8343516858</v>
      </c>
      <c r="F40" s="123">
        <v>-2652088.424796992</v>
      </c>
      <c r="G40" s="123">
        <v>-1969542.2773753323</v>
      </c>
      <c r="H40" s="123">
        <v>-2129996.6344442605</v>
      </c>
      <c r="I40" s="123">
        <v>-3343033.743989863</v>
      </c>
      <c r="J40" s="123">
        <v>-8614117.7869039308</v>
      </c>
      <c r="K40" s="123">
        <v>-8788002.894708287</v>
      </c>
      <c r="L40" s="123">
        <v>-10927965.574432731</v>
      </c>
      <c r="M40" s="123">
        <v>-12369994.034000657</v>
      </c>
      <c r="N40" s="123">
        <v>-14846413.530096607</v>
      </c>
      <c r="O40" s="123">
        <v>-8412086.1163306423</v>
      </c>
      <c r="P40" s="123">
        <f t="shared" si="3"/>
        <v>-80142158.203396305</v>
      </c>
      <c r="Q40" s="1"/>
      <c r="R40" s="1"/>
      <c r="S40" s="1"/>
    </row>
    <row r="41" spans="1:25">
      <c r="A41" s="1110">
        <f t="shared" si="0"/>
        <v>30</v>
      </c>
      <c r="B41" s="465">
        <v>8060</v>
      </c>
      <c r="C41" s="1" t="s">
        <v>894</v>
      </c>
      <c r="D41" s="123">
        <v>-1052381.6291968508</v>
      </c>
      <c r="E41" s="123">
        <v>-1294139.779390781</v>
      </c>
      <c r="F41" s="123">
        <v>-786058.38558499329</v>
      </c>
      <c r="G41" s="123">
        <v>-1242347.631316328</v>
      </c>
      <c r="H41" s="123">
        <v>-945738.8274722395</v>
      </c>
      <c r="I41" s="123">
        <v>-1038646.23580557</v>
      </c>
      <c r="J41" s="123">
        <v>682620.52517538192</v>
      </c>
      <c r="K41" s="123">
        <v>750798.45681039931</v>
      </c>
      <c r="L41" s="123">
        <v>1877942.431411627</v>
      </c>
      <c r="M41" s="123">
        <v>1163164.7240525619</v>
      </c>
      <c r="N41" s="123">
        <v>2500076.778483124</v>
      </c>
      <c r="O41" s="123">
        <v>-1949962.8557109453</v>
      </c>
      <c r="P41" s="123">
        <f t="shared" si="3"/>
        <v>-1334672.4285446138</v>
      </c>
      <c r="Q41" s="1"/>
      <c r="R41" s="1"/>
      <c r="S41" s="1"/>
    </row>
    <row r="42" spans="1:25">
      <c r="A42" s="1110">
        <f t="shared" si="0"/>
        <v>31</v>
      </c>
      <c r="B42" s="465">
        <v>8081</v>
      </c>
      <c r="C42" s="1" t="s">
        <v>895</v>
      </c>
      <c r="D42" s="123">
        <v>0</v>
      </c>
      <c r="E42" s="123">
        <v>0</v>
      </c>
      <c r="F42" s="123">
        <v>3624.5058774322029</v>
      </c>
      <c r="G42" s="123">
        <v>0</v>
      </c>
      <c r="H42" s="123">
        <v>0</v>
      </c>
      <c r="I42" s="123">
        <v>7382.7224704886212</v>
      </c>
      <c r="J42" s="123">
        <v>1436919.8074143117</v>
      </c>
      <c r="K42" s="123">
        <v>2636309.656346289</v>
      </c>
      <c r="L42" s="123">
        <v>4688638.8008926129</v>
      </c>
      <c r="M42" s="123">
        <v>5391206.4272765648</v>
      </c>
      <c r="N42" s="123">
        <v>5833492.8328729244</v>
      </c>
      <c r="O42" s="123">
        <v>5307.9441797296904</v>
      </c>
      <c r="P42" s="123">
        <f t="shared" si="3"/>
        <v>20002882.697330352</v>
      </c>
      <c r="Q42" s="963"/>
      <c r="R42" s="1"/>
      <c r="S42" s="1"/>
    </row>
    <row r="43" spans="1:25">
      <c r="A43" s="1110">
        <f t="shared" si="0"/>
        <v>32</v>
      </c>
      <c r="B43" s="465">
        <v>8082</v>
      </c>
      <c r="C43" s="1" t="s">
        <v>896</v>
      </c>
      <c r="D43" s="123">
        <v>-2161326.8022751957</v>
      </c>
      <c r="E43" s="123">
        <v>-2287493.5846953304</v>
      </c>
      <c r="F43" s="123">
        <v>-2158597.4561371356</v>
      </c>
      <c r="G43" s="123">
        <v>-2017322.9412127382</v>
      </c>
      <c r="H43" s="123">
        <v>-2034966.886721161</v>
      </c>
      <c r="I43" s="123">
        <v>-2010348.5637455545</v>
      </c>
      <c r="J43" s="123">
        <v>-41611.943123310652</v>
      </c>
      <c r="K43" s="123">
        <v>-24303.760891339494</v>
      </c>
      <c r="L43" s="123">
        <v>-2746.4228252360585</v>
      </c>
      <c r="M43" s="123">
        <v>-9990.6778759945064</v>
      </c>
      <c r="N43" s="123">
        <v>-29386.767758330592</v>
      </c>
      <c r="O43" s="123">
        <v>-3736489.2423288152</v>
      </c>
      <c r="P43" s="123">
        <f t="shared" si="3"/>
        <v>-16514585.049590139</v>
      </c>
      <c r="R43" s="1"/>
      <c r="S43" s="1"/>
    </row>
    <row r="44" spans="1:25" ht="15.75">
      <c r="A44" s="1110">
        <f t="shared" si="0"/>
        <v>33</v>
      </c>
      <c r="B44" s="465">
        <v>8120</v>
      </c>
      <c r="C44" s="1" t="s">
        <v>897</v>
      </c>
      <c r="D44" s="123">
        <v>1093.3733802116383</v>
      </c>
      <c r="E44" s="123">
        <v>149.90181659650241</v>
      </c>
      <c r="F44" s="123">
        <v>82.605549770274308</v>
      </c>
      <c r="G44" s="123">
        <v>205.31322317184672</v>
      </c>
      <c r="H44" s="123">
        <v>-427.71377965002563</v>
      </c>
      <c r="I44" s="123">
        <v>-731.01998096903617</v>
      </c>
      <c r="J44" s="123">
        <v>-1242.5909901977541</v>
      </c>
      <c r="K44" s="123">
        <v>-1101.4888561335572</v>
      </c>
      <c r="L44" s="123">
        <v>-3995.2263959909214</v>
      </c>
      <c r="M44" s="123">
        <v>-1512.7169461021156</v>
      </c>
      <c r="N44" s="123">
        <v>-2120.8614110384838</v>
      </c>
      <c r="O44" s="123">
        <v>-1255.6271880827946</v>
      </c>
      <c r="P44" s="123">
        <f t="shared" si="3"/>
        <v>-10856.051578414428</v>
      </c>
      <c r="Q44" s="1"/>
      <c r="R44" s="911"/>
    </row>
    <row r="45" spans="1:25">
      <c r="A45" s="1110">
        <f t="shared" si="0"/>
        <v>34</v>
      </c>
      <c r="B45" s="465">
        <v>8580</v>
      </c>
      <c r="C45" s="1" t="s">
        <v>1230</v>
      </c>
      <c r="D45" s="123">
        <v>1751808.4061979048</v>
      </c>
      <c r="E45" s="123">
        <v>1665750.8762184177</v>
      </c>
      <c r="F45" s="123">
        <v>1547147.823599203</v>
      </c>
      <c r="G45" s="123">
        <v>1018748.4560616708</v>
      </c>
      <c r="H45" s="123">
        <v>941504.25702073413</v>
      </c>
      <c r="I45" s="123">
        <v>1232286.1650440684</v>
      </c>
      <c r="J45" s="123">
        <v>1617451.3916623814</v>
      </c>
      <c r="K45" s="123">
        <v>1495406.2519967377</v>
      </c>
      <c r="L45" s="123">
        <v>1634439.1352983145</v>
      </c>
      <c r="M45" s="123">
        <v>1715388.5173654691</v>
      </c>
      <c r="N45" s="123">
        <v>3594354.1539540128</v>
      </c>
      <c r="O45" s="123">
        <v>3735849.6774707446</v>
      </c>
      <c r="P45" s="123">
        <f t="shared" si="3"/>
        <v>21950135.111889657</v>
      </c>
      <c r="Q45" s="768"/>
      <c r="R45" s="768"/>
      <c r="S45" s="768"/>
      <c r="T45" s="768"/>
    </row>
    <row r="46" spans="1:25">
      <c r="A46" s="1110">
        <f t="shared" si="0"/>
        <v>35</v>
      </c>
      <c r="B46" s="465">
        <v>8140</v>
      </c>
      <c r="C46" s="1" t="s">
        <v>898</v>
      </c>
      <c r="D46" s="517">
        <v>-6.1132019446031638</v>
      </c>
      <c r="E46" s="517">
        <v>-6.1132019446031638</v>
      </c>
      <c r="F46" s="517">
        <v>-6.1132019446031638</v>
      </c>
      <c r="G46" s="517">
        <v>-6.1665923545996977</v>
      </c>
      <c r="H46" s="517">
        <v>-6.1132019446031638</v>
      </c>
      <c r="I46" s="517">
        <v>-6.1132019446031638</v>
      </c>
      <c r="J46" s="517">
        <v>-6.1132019446031638</v>
      </c>
      <c r="K46" s="517">
        <v>-6.1132019446031638</v>
      </c>
      <c r="L46" s="517">
        <v>-6.1132019446031638</v>
      </c>
      <c r="M46" s="517">
        <v>-6.1132019446031638</v>
      </c>
      <c r="N46" s="517">
        <v>-6.1132019446031638</v>
      </c>
      <c r="O46" s="517">
        <v>-6.1132019446031638</v>
      </c>
      <c r="P46" s="107">
        <f t="shared" si="3"/>
        <v>-73.411813745234497</v>
      </c>
      <c r="Q46" s="768"/>
      <c r="R46" s="768"/>
      <c r="S46" s="1"/>
      <c r="Y46" s="930"/>
    </row>
    <row r="47" spans="1:25">
      <c r="A47" s="1110">
        <f t="shared" si="0"/>
        <v>36</v>
      </c>
      <c r="B47" s="465">
        <v>8160</v>
      </c>
      <c r="C47" s="1" t="s">
        <v>899</v>
      </c>
      <c r="D47" s="517">
        <v>7724.1798474401849</v>
      </c>
      <c r="E47" s="517">
        <v>7584.4239057910418</v>
      </c>
      <c r="F47" s="517">
        <v>7771.4404543842311</v>
      </c>
      <c r="G47" s="517">
        <v>7654.8688171620433</v>
      </c>
      <c r="H47" s="517">
        <v>7628.922544987844</v>
      </c>
      <c r="I47" s="517">
        <v>7489.7638815541386</v>
      </c>
      <c r="J47" s="517">
        <v>7798.7318158535008</v>
      </c>
      <c r="K47" s="517">
        <v>7488.0740974200744</v>
      </c>
      <c r="L47" s="517">
        <v>7563.2007337920113</v>
      </c>
      <c r="M47" s="517">
        <v>7910.1008609331993</v>
      </c>
      <c r="N47" s="517">
        <v>7636.2850516445606</v>
      </c>
      <c r="O47" s="517">
        <v>7756.9162093391888</v>
      </c>
      <c r="P47" s="107">
        <f t="shared" si="3"/>
        <v>92006.908220302023</v>
      </c>
      <c r="Q47" s="1"/>
      <c r="R47" s="1"/>
      <c r="S47" s="1"/>
      <c r="Y47" s="930"/>
    </row>
    <row r="48" spans="1:25">
      <c r="A48" s="1110">
        <f t="shared" si="0"/>
        <v>37</v>
      </c>
      <c r="B48" s="465">
        <v>8170</v>
      </c>
      <c r="C48" s="1" t="s">
        <v>905</v>
      </c>
      <c r="D48" s="517">
        <v>3075.6659633699819</v>
      </c>
      <c r="E48" s="517">
        <v>2971.9310262555946</v>
      </c>
      <c r="F48" s="517">
        <v>3097.1717375652397</v>
      </c>
      <c r="G48" s="517">
        <v>3021.8272444521544</v>
      </c>
      <c r="H48" s="517">
        <v>3043.3731036870918</v>
      </c>
      <c r="I48" s="517">
        <v>2939.0276381487611</v>
      </c>
      <c r="J48" s="517">
        <v>3176.6348526299553</v>
      </c>
      <c r="K48" s="517">
        <v>2940.6797149757899</v>
      </c>
      <c r="L48" s="517">
        <v>3007.8054791365503</v>
      </c>
      <c r="M48" s="517">
        <v>3156.1534797827212</v>
      </c>
      <c r="N48" s="517">
        <v>2958.5797750196784</v>
      </c>
      <c r="O48" s="517">
        <v>3045.9761936103387</v>
      </c>
      <c r="P48" s="107">
        <f t="shared" si="3"/>
        <v>36434.826208633858</v>
      </c>
      <c r="Q48" s="1"/>
      <c r="R48" s="1"/>
      <c r="S48" s="1"/>
      <c r="Y48" s="930"/>
    </row>
    <row r="49" spans="1:25">
      <c r="A49" s="1110">
        <f t="shared" si="0"/>
        <v>38</v>
      </c>
      <c r="B49" s="465">
        <v>8180</v>
      </c>
      <c r="C49" s="1" t="s">
        <v>906</v>
      </c>
      <c r="D49" s="517">
        <v>2324.0011363156045</v>
      </c>
      <c r="E49" s="517">
        <v>2266.9605814594679</v>
      </c>
      <c r="F49" s="517">
        <v>2222.0881120995386</v>
      </c>
      <c r="G49" s="517">
        <v>2206.2458007459081</v>
      </c>
      <c r="H49" s="517">
        <v>2145.6183437172594</v>
      </c>
      <c r="I49" s="517">
        <v>2094.9047943306991</v>
      </c>
      <c r="J49" s="517">
        <v>2249.1885997040445</v>
      </c>
      <c r="K49" s="517">
        <v>2092.3480273241248</v>
      </c>
      <c r="L49" s="517">
        <v>2221.4905781971779</v>
      </c>
      <c r="M49" s="517">
        <v>2223.8444746185023</v>
      </c>
      <c r="N49" s="517">
        <v>2130.936297123551</v>
      </c>
      <c r="O49" s="517">
        <v>2149.7881976870581</v>
      </c>
      <c r="P49" s="107">
        <f t="shared" si="3"/>
        <v>26327.414943322936</v>
      </c>
      <c r="Q49" s="1"/>
      <c r="R49" s="1"/>
      <c r="S49" s="1"/>
      <c r="Y49" s="930"/>
    </row>
    <row r="50" spans="1:25">
      <c r="A50" s="1110">
        <f t="shared" si="0"/>
        <v>39</v>
      </c>
      <c r="B50" s="465">
        <v>8190</v>
      </c>
      <c r="C50" s="1" t="s">
        <v>907</v>
      </c>
      <c r="D50" s="517">
        <v>57.58292137328246</v>
      </c>
      <c r="E50" s="517">
        <v>57.592788262940701</v>
      </c>
      <c r="F50" s="517">
        <v>55.480040514868769</v>
      </c>
      <c r="G50" s="517">
        <v>60.947086736709757</v>
      </c>
      <c r="H50" s="517">
        <v>57.353516188728236</v>
      </c>
      <c r="I50" s="517">
        <v>56.318726135819681</v>
      </c>
      <c r="J50" s="517">
        <v>60.176679992193883</v>
      </c>
      <c r="K50" s="517">
        <v>58.351305405418366</v>
      </c>
      <c r="L50" s="517">
        <v>60.272882166361782</v>
      </c>
      <c r="M50" s="517">
        <v>55.630510582157022</v>
      </c>
      <c r="N50" s="517">
        <v>58.334038348516437</v>
      </c>
      <c r="O50" s="517">
        <v>58.625111593434696</v>
      </c>
      <c r="P50" s="107">
        <f t="shared" si="3"/>
        <v>696.66560730043182</v>
      </c>
      <c r="Q50" s="1"/>
      <c r="R50" s="1"/>
      <c r="S50" s="1"/>
      <c r="Y50" s="930"/>
    </row>
    <row r="51" spans="1:25">
      <c r="A51" s="1110">
        <f t="shared" si="0"/>
        <v>40</v>
      </c>
      <c r="B51" s="465">
        <v>8200</v>
      </c>
      <c r="C51" s="1" t="s">
        <v>908</v>
      </c>
      <c r="D51" s="517">
        <v>225.9700595008818</v>
      </c>
      <c r="E51" s="517">
        <v>221.90138388223352</v>
      </c>
      <c r="F51" s="517">
        <v>225.52264566206208</v>
      </c>
      <c r="G51" s="517">
        <v>233.2289082031611</v>
      </c>
      <c r="H51" s="517">
        <v>228.52677997756399</v>
      </c>
      <c r="I51" s="517">
        <v>222.08135249816701</v>
      </c>
      <c r="J51" s="517">
        <v>238.83097570288231</v>
      </c>
      <c r="K51" s="517">
        <v>226.46704220111764</v>
      </c>
      <c r="L51" s="517">
        <v>230.61322215087313</v>
      </c>
      <c r="M51" s="517">
        <v>229.02172069980219</v>
      </c>
      <c r="N51" s="517">
        <v>226.42978512839841</v>
      </c>
      <c r="O51" s="517">
        <v>231.27049726138807</v>
      </c>
      <c r="P51" s="107">
        <f t="shared" si="3"/>
        <v>2739.864372868532</v>
      </c>
      <c r="Q51" s="1"/>
      <c r="R51" s="1"/>
      <c r="S51" s="1"/>
      <c r="Y51" s="930"/>
    </row>
    <row r="52" spans="1:25">
      <c r="A52" s="1110">
        <f t="shared" si="0"/>
        <v>41</v>
      </c>
      <c r="B52" s="465">
        <v>8210</v>
      </c>
      <c r="C52" s="1" t="s">
        <v>909</v>
      </c>
      <c r="D52" s="517">
        <v>3932.806246963356</v>
      </c>
      <c r="E52" s="517">
        <v>3882.2732480834657</v>
      </c>
      <c r="F52" s="517">
        <v>3904.643909067895</v>
      </c>
      <c r="G52" s="517">
        <v>3887.6179400797801</v>
      </c>
      <c r="H52" s="517">
        <v>3828.640625165242</v>
      </c>
      <c r="I52" s="517">
        <v>3777.0712286506541</v>
      </c>
      <c r="J52" s="517">
        <v>3909.1242539439404</v>
      </c>
      <c r="K52" s="517">
        <v>3781.4086229502764</v>
      </c>
      <c r="L52" s="517">
        <v>3846.0831282616637</v>
      </c>
      <c r="M52" s="517">
        <v>3955.5909687260687</v>
      </c>
      <c r="N52" s="517">
        <v>3870.0834747555145</v>
      </c>
      <c r="O52" s="517">
        <v>3904.3105415452428</v>
      </c>
      <c r="P52" s="107">
        <f t="shared" si="3"/>
        <v>46479.654188193097</v>
      </c>
      <c r="Q52" s="1"/>
      <c r="R52" s="1"/>
      <c r="S52" s="1"/>
      <c r="Y52" s="930"/>
    </row>
    <row r="53" spans="1:25">
      <c r="A53" s="1110">
        <f t="shared" si="0"/>
        <v>42</v>
      </c>
      <c r="B53" s="465">
        <v>8240</v>
      </c>
      <c r="C53" s="1" t="s">
        <v>910</v>
      </c>
      <c r="D53" s="517">
        <v>122.28756794177505</v>
      </c>
      <c r="E53" s="517">
        <v>121.77422395597529</v>
      </c>
      <c r="F53" s="517">
        <v>104.8249954743697</v>
      </c>
      <c r="G53" s="517">
        <v>110.64086300480642</v>
      </c>
      <c r="H53" s="517">
        <v>98.757307539375049</v>
      </c>
      <c r="I53" s="517">
        <v>98.746649160319009</v>
      </c>
      <c r="J53" s="517">
        <v>105.11658916523702</v>
      </c>
      <c r="K53" s="517">
        <v>99.159453310784343</v>
      </c>
      <c r="L53" s="517">
        <v>113.83917920073242</v>
      </c>
      <c r="M53" s="517">
        <v>100.5347746805683</v>
      </c>
      <c r="N53" s="517">
        <v>103.06027190373716</v>
      </c>
      <c r="O53" s="517">
        <v>99.357637227610212</v>
      </c>
      <c r="P53" s="107">
        <f t="shared" si="3"/>
        <v>1278.0995125652898</v>
      </c>
      <c r="Q53" s="1"/>
      <c r="R53" s="1"/>
      <c r="S53" s="1"/>
      <c r="Y53" s="930"/>
    </row>
    <row r="54" spans="1:25">
      <c r="A54" s="1110">
        <f t="shared" si="0"/>
        <v>43</v>
      </c>
      <c r="B54" s="465">
        <v>8250</v>
      </c>
      <c r="C54" s="1" t="s">
        <v>922</v>
      </c>
      <c r="D54" s="517">
        <v>609.08218256567534</v>
      </c>
      <c r="E54" s="517">
        <v>609.18463434096066</v>
      </c>
      <c r="F54" s="517">
        <v>587.24714795798582</v>
      </c>
      <c r="G54" s="517">
        <v>644.11123619581826</v>
      </c>
      <c r="H54" s="517">
        <v>606.70017879029103</v>
      </c>
      <c r="I54" s="517">
        <v>595.95554885724027</v>
      </c>
      <c r="J54" s="517">
        <v>636.01419299381087</v>
      </c>
      <c r="K54" s="517">
        <v>617.06061456602174</v>
      </c>
      <c r="L54" s="517">
        <v>637.01309780284305</v>
      </c>
      <c r="M54" s="517">
        <v>588.80953753108724</v>
      </c>
      <c r="N54" s="517">
        <v>616.88132395927232</v>
      </c>
      <c r="O54" s="517">
        <v>619.90365133019009</v>
      </c>
      <c r="P54" s="107">
        <f t="shared" si="3"/>
        <v>7367.963346891197</v>
      </c>
      <c r="Q54" s="1"/>
      <c r="R54" s="1"/>
      <c r="Y54" s="930"/>
    </row>
    <row r="55" spans="1:25">
      <c r="A55" s="1110">
        <f t="shared" si="0"/>
        <v>44</v>
      </c>
      <c r="B55" s="465">
        <v>8310</v>
      </c>
      <c r="C55" s="1" t="s">
        <v>923</v>
      </c>
      <c r="D55" s="517">
        <v>320.86994582042246</v>
      </c>
      <c r="E55" s="517">
        <v>320.86994582042246</v>
      </c>
      <c r="F55" s="517">
        <v>320.86994582042246</v>
      </c>
      <c r="G55" s="517">
        <v>320.85051005284851</v>
      </c>
      <c r="H55" s="517">
        <v>314.79626845355949</v>
      </c>
      <c r="I55" s="517">
        <v>314.79626845355949</v>
      </c>
      <c r="J55" s="517">
        <v>314.79626845355949</v>
      </c>
      <c r="K55" s="517">
        <v>314.79626845355949</v>
      </c>
      <c r="L55" s="517">
        <v>314.79626845355949</v>
      </c>
      <c r="M55" s="517">
        <v>325.59445698819292</v>
      </c>
      <c r="N55" s="517">
        <v>325.59445698819292</v>
      </c>
      <c r="O55" s="517">
        <v>325.59283734089507</v>
      </c>
      <c r="P55" s="107">
        <f t="shared" si="3"/>
        <v>3834.223441099195</v>
      </c>
      <c r="Q55" s="1"/>
      <c r="R55" s="467"/>
      <c r="S55" s="1"/>
      <c r="Y55" s="930"/>
    </row>
    <row r="56" spans="1:25">
      <c r="A56" s="1110">
        <f t="shared" si="0"/>
        <v>45</v>
      </c>
      <c r="B56" s="465">
        <v>8340</v>
      </c>
      <c r="C56" s="1" t="s">
        <v>924</v>
      </c>
      <c r="D56" s="517">
        <v>291.63693455376801</v>
      </c>
      <c r="E56" s="517">
        <v>287.47845085735457</v>
      </c>
      <c r="F56" s="517">
        <v>259.29260407842963</v>
      </c>
      <c r="G56" s="517">
        <v>264.40654277938745</v>
      </c>
      <c r="H56" s="517">
        <v>244.23689205496743</v>
      </c>
      <c r="I56" s="517">
        <v>241.8439858442643</v>
      </c>
      <c r="J56" s="517">
        <v>258.72590485209503</v>
      </c>
      <c r="K56" s="517">
        <v>241.17712111608319</v>
      </c>
      <c r="L56" s="517">
        <v>270.82546668482922</v>
      </c>
      <c r="M56" s="517">
        <v>252.4652030535687</v>
      </c>
      <c r="N56" s="517">
        <v>249.45589168697381</v>
      </c>
      <c r="O56" s="517">
        <v>244.5445432489982</v>
      </c>
      <c r="P56" s="107">
        <f t="shared" si="3"/>
        <v>3106.0895408107194</v>
      </c>
      <c r="Q56" s="1"/>
      <c r="R56" s="467"/>
      <c r="S56" s="1"/>
      <c r="Y56" s="930"/>
    </row>
    <row r="57" spans="1:25">
      <c r="A57" s="1110">
        <f t="shared" si="0"/>
        <v>46</v>
      </c>
      <c r="B57" s="465">
        <v>8350</v>
      </c>
      <c r="C57" s="1" t="s">
        <v>925</v>
      </c>
      <c r="D57" s="517">
        <v>200.02387050858761</v>
      </c>
      <c r="E57" s="517">
        <v>192.11756888816376</v>
      </c>
      <c r="F57" s="517">
        <v>207.27418458850309</v>
      </c>
      <c r="G57" s="517">
        <v>199.53451651951954</v>
      </c>
      <c r="H57" s="517">
        <v>205.01553721225585</v>
      </c>
      <c r="I57" s="517">
        <v>196.90601746478609</v>
      </c>
      <c r="J57" s="517">
        <v>213.34243458907835</v>
      </c>
      <c r="K57" s="517">
        <v>196.89403332156817</v>
      </c>
      <c r="L57" s="517">
        <v>197.42684005800976</v>
      </c>
      <c r="M57" s="517">
        <v>213.22992429452003</v>
      </c>
      <c r="N57" s="517">
        <v>197.04281007942797</v>
      </c>
      <c r="O57" s="517">
        <v>205.0210659736592</v>
      </c>
      <c r="P57" s="107">
        <f t="shared" si="3"/>
        <v>2423.8288034980792</v>
      </c>
      <c r="Q57" s="1"/>
      <c r="R57" s="467"/>
      <c r="S57" s="1"/>
      <c r="Y57" s="930"/>
    </row>
    <row r="58" spans="1:25">
      <c r="A58" s="1110">
        <f t="shared" si="0"/>
        <v>47</v>
      </c>
      <c r="B58" s="465">
        <v>8360</v>
      </c>
      <c r="C58" s="1" t="s">
        <v>926</v>
      </c>
      <c r="D58" s="517">
        <v>20.387912110986417</v>
      </c>
      <c r="E58" s="517">
        <v>19.568182237875604</v>
      </c>
      <c r="F58" s="517">
        <v>21.207641984097229</v>
      </c>
      <c r="G58" s="517">
        <v>20.387912110986417</v>
      </c>
      <c r="H58" s="517">
        <v>20.999549474316009</v>
      </c>
      <c r="I58" s="517">
        <v>20.155227705011875</v>
      </c>
      <c r="J58" s="517">
        <v>21.843871243620146</v>
      </c>
      <c r="K58" s="517">
        <v>20.155227705011875</v>
      </c>
      <c r="L58" s="517">
        <v>20.155227705011875</v>
      </c>
      <c r="M58" s="517">
        <v>21.843871243620146</v>
      </c>
      <c r="N58" s="517">
        <v>20.155227705011875</v>
      </c>
      <c r="O58" s="517">
        <v>20.999549474316009</v>
      </c>
      <c r="P58" s="107">
        <f t="shared" ref="P58:P93" si="4">SUM(D58:O58)</f>
        <v>247.85940069986549</v>
      </c>
      <c r="Q58" s="1"/>
      <c r="R58" s="467"/>
      <c r="S58" s="1"/>
      <c r="Y58" s="930"/>
    </row>
    <row r="59" spans="1:25">
      <c r="A59" s="1110">
        <f t="shared" si="0"/>
        <v>48</v>
      </c>
      <c r="B59" s="465">
        <v>8370</v>
      </c>
      <c r="C59" s="1" t="s">
        <v>1386</v>
      </c>
      <c r="D59" s="517">
        <v>0</v>
      </c>
      <c r="E59" s="517">
        <v>0</v>
      </c>
      <c r="F59" s="517">
        <v>0</v>
      </c>
      <c r="G59" s="517">
        <v>0</v>
      </c>
      <c r="H59" s="517">
        <v>0</v>
      </c>
      <c r="I59" s="517">
        <v>0</v>
      </c>
      <c r="J59" s="517">
        <v>0</v>
      </c>
      <c r="K59" s="517">
        <v>0</v>
      </c>
      <c r="L59" s="517">
        <v>0</v>
      </c>
      <c r="M59" s="517">
        <v>0</v>
      </c>
      <c r="N59" s="517">
        <v>0</v>
      </c>
      <c r="O59" s="517">
        <v>0</v>
      </c>
      <c r="P59" s="107">
        <f t="shared" si="4"/>
        <v>0</v>
      </c>
      <c r="Q59" s="1"/>
      <c r="R59" s="467"/>
      <c r="S59" s="1"/>
      <c r="Y59" s="930"/>
    </row>
    <row r="60" spans="1:25">
      <c r="A60" s="1110">
        <f t="shared" si="0"/>
        <v>49</v>
      </c>
      <c r="B60" s="465">
        <v>8410</v>
      </c>
      <c r="C60" s="1" t="s">
        <v>193</v>
      </c>
      <c r="D60" s="517">
        <v>10645.612227755166</v>
      </c>
      <c r="E60" s="517">
        <v>10222.484128913829</v>
      </c>
      <c r="F60" s="517">
        <v>11056.239172702401</v>
      </c>
      <c r="G60" s="517">
        <v>10640.369085146425</v>
      </c>
      <c r="H60" s="517">
        <v>10976.565567748243</v>
      </c>
      <c r="I60" s="517">
        <v>10512.911534171833</v>
      </c>
      <c r="J60" s="517">
        <v>11393.781023987289</v>
      </c>
      <c r="K60" s="517">
        <v>10509.83445295761</v>
      </c>
      <c r="L60" s="517">
        <v>10514.719087197984</v>
      </c>
      <c r="M60" s="517">
        <v>11388.892038266453</v>
      </c>
      <c r="N60" s="517">
        <v>10524.570644122701</v>
      </c>
      <c r="O60" s="517">
        <v>10950.171240844327</v>
      </c>
      <c r="P60" s="107">
        <f t="shared" si="4"/>
        <v>129336.15020381426</v>
      </c>
      <c r="Q60" s="1"/>
      <c r="R60" s="467"/>
      <c r="S60" s="1"/>
      <c r="Y60" s="930"/>
    </row>
    <row r="61" spans="1:25">
      <c r="A61" s="1110">
        <f t="shared" si="0"/>
        <v>50</v>
      </c>
      <c r="B61" s="465">
        <v>8520</v>
      </c>
      <c r="C61" s="1" t="s">
        <v>1387</v>
      </c>
      <c r="D61" s="517">
        <v>0</v>
      </c>
      <c r="E61" s="517">
        <v>0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107">
        <f t="shared" si="4"/>
        <v>0</v>
      </c>
      <c r="Q61" s="1"/>
      <c r="R61" s="467"/>
      <c r="S61" s="1"/>
      <c r="Y61" s="930"/>
    </row>
    <row r="62" spans="1:25" s="1055" customFormat="1">
      <c r="A62" s="1110">
        <f t="shared" si="0"/>
        <v>51</v>
      </c>
      <c r="B62" s="1058">
        <v>8550</v>
      </c>
      <c r="C62" s="119" t="s">
        <v>1463</v>
      </c>
      <c r="D62" s="517">
        <v>4.1529349398989162</v>
      </c>
      <c r="E62" s="517">
        <v>4.1536465493454777</v>
      </c>
      <c r="F62" s="517">
        <v>4.0012731766004173</v>
      </c>
      <c r="G62" s="517">
        <v>4.3955617387514199</v>
      </c>
      <c r="H62" s="517">
        <v>4.1363900202663526</v>
      </c>
      <c r="I62" s="517">
        <v>4.0617599795581762</v>
      </c>
      <c r="J62" s="517">
        <v>4.3399992731638681</v>
      </c>
      <c r="K62" s="517">
        <v>4.2083515255499222</v>
      </c>
      <c r="L62" s="517">
        <v>4.3469374652678461</v>
      </c>
      <c r="M62" s="517">
        <v>4.0121252206604856</v>
      </c>
      <c r="N62" s="517">
        <v>4.2071062090184386</v>
      </c>
      <c r="O62" s="517">
        <v>4.2280986876920137</v>
      </c>
      <c r="P62" s="107">
        <f t="shared" si="4"/>
        <v>50.244184785773342</v>
      </c>
      <c r="Q62" s="1"/>
      <c r="R62" s="467"/>
      <c r="S62" s="1"/>
      <c r="Y62" s="930"/>
    </row>
    <row r="63" spans="1:25">
      <c r="A63" s="1110">
        <f t="shared" si="0"/>
        <v>52</v>
      </c>
      <c r="B63" s="465">
        <v>8560</v>
      </c>
      <c r="C63" s="1" t="s">
        <v>928</v>
      </c>
      <c r="D63" s="517">
        <v>25812.842043372275</v>
      </c>
      <c r="E63" s="517">
        <v>25591.392860703771</v>
      </c>
      <c r="F63" s="517">
        <v>26017.977168608661</v>
      </c>
      <c r="G63" s="517">
        <v>25692.729134923837</v>
      </c>
      <c r="H63" s="517">
        <v>25640.959799519318</v>
      </c>
      <c r="I63" s="517">
        <v>24969.288971364091</v>
      </c>
      <c r="J63" s="517">
        <v>26055.178627343412</v>
      </c>
      <c r="K63" s="517">
        <v>24961.669237598609</v>
      </c>
      <c r="L63" s="517">
        <v>25124.024199215804</v>
      </c>
      <c r="M63" s="517">
        <v>26322.692453660671</v>
      </c>
      <c r="N63" s="517">
        <v>25889.446080857339</v>
      </c>
      <c r="O63" s="517">
        <v>25762.975515062768</v>
      </c>
      <c r="P63" s="107">
        <f t="shared" si="4"/>
        <v>307841.17609223054</v>
      </c>
      <c r="Q63" s="1"/>
      <c r="R63" s="467"/>
      <c r="S63" s="1"/>
      <c r="Y63" s="930"/>
    </row>
    <row r="64" spans="1:25">
      <c r="A64" s="1110">
        <f t="shared" si="0"/>
        <v>53</v>
      </c>
      <c r="B64" s="465">
        <v>8570</v>
      </c>
      <c r="C64" s="1" t="s">
        <v>929</v>
      </c>
      <c r="D64" s="517">
        <v>2819.8055510681033</v>
      </c>
      <c r="E64" s="517">
        <v>2739.7455682343807</v>
      </c>
      <c r="F64" s="517">
        <v>2822.6873972882563</v>
      </c>
      <c r="G64" s="517">
        <v>2807.3294873012223</v>
      </c>
      <c r="H64" s="517">
        <v>2797.2435011534976</v>
      </c>
      <c r="I64" s="517">
        <v>2708.2186208403709</v>
      </c>
      <c r="J64" s="517">
        <v>2921.8671166327777</v>
      </c>
      <c r="K64" s="517">
        <v>2725.768776736174</v>
      </c>
      <c r="L64" s="517">
        <v>2790.4832886671647</v>
      </c>
      <c r="M64" s="517">
        <v>2870.2927256163248</v>
      </c>
      <c r="N64" s="517">
        <v>2738.7683275646186</v>
      </c>
      <c r="O64" s="517">
        <v>2809.3750133042113</v>
      </c>
      <c r="P64" s="107">
        <f t="shared" si="4"/>
        <v>33551.585374407099</v>
      </c>
      <c r="Q64" s="1"/>
      <c r="R64" s="467"/>
      <c r="S64" s="1"/>
      <c r="Y64" s="930"/>
    </row>
    <row r="65" spans="1:25">
      <c r="A65" s="1110">
        <f t="shared" si="0"/>
        <v>54</v>
      </c>
      <c r="B65" s="465">
        <v>8630</v>
      </c>
      <c r="C65" s="1" t="s">
        <v>930</v>
      </c>
      <c r="D65" s="517">
        <v>486.12976965845797</v>
      </c>
      <c r="E65" s="517">
        <v>466.58411475136342</v>
      </c>
      <c r="F65" s="517">
        <v>505.6754245655527</v>
      </c>
      <c r="G65" s="517">
        <v>486.12976965845797</v>
      </c>
      <c r="H65" s="517">
        <v>500.71366274821179</v>
      </c>
      <c r="I65" s="517">
        <v>480.58163819390427</v>
      </c>
      <c r="J65" s="517">
        <v>520.84568730251931</v>
      </c>
      <c r="K65" s="517">
        <v>480.58163819390427</v>
      </c>
      <c r="L65" s="517">
        <v>480.58163819390427</v>
      </c>
      <c r="M65" s="517">
        <v>520.84568730251931</v>
      </c>
      <c r="N65" s="517">
        <v>480.58163819390427</v>
      </c>
      <c r="O65" s="517">
        <v>500.71366274821179</v>
      </c>
      <c r="P65" s="107">
        <f t="shared" si="4"/>
        <v>5909.9643315109106</v>
      </c>
      <c r="Q65" s="1"/>
      <c r="R65" s="467"/>
      <c r="S65" s="1"/>
      <c r="Y65" s="930"/>
    </row>
    <row r="66" spans="1:25">
      <c r="A66" s="1110">
        <f t="shared" si="0"/>
        <v>55</v>
      </c>
      <c r="B66" s="465">
        <v>8640</v>
      </c>
      <c r="C66" s="1" t="s">
        <v>1388</v>
      </c>
      <c r="D66" s="517">
        <v>0</v>
      </c>
      <c r="E66" s="517">
        <v>0</v>
      </c>
      <c r="F66" s="517">
        <v>0</v>
      </c>
      <c r="G66" s="517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0</v>
      </c>
      <c r="M66" s="517">
        <v>0</v>
      </c>
      <c r="N66" s="517">
        <v>0</v>
      </c>
      <c r="O66" s="517">
        <v>0</v>
      </c>
      <c r="P66" s="107">
        <f t="shared" si="4"/>
        <v>0</v>
      </c>
      <c r="Q66" s="1"/>
      <c r="R66" s="467"/>
      <c r="S66" s="1"/>
      <c r="Y66" s="930"/>
    </row>
    <row r="67" spans="1:25">
      <c r="A67" s="1110">
        <f t="shared" si="0"/>
        <v>56</v>
      </c>
      <c r="B67" s="465">
        <v>8650</v>
      </c>
      <c r="C67" s="1" t="s">
        <v>931</v>
      </c>
      <c r="D67" s="517">
        <v>478.03987248767186</v>
      </c>
      <c r="E67" s="517">
        <v>459.11404964614985</v>
      </c>
      <c r="F67" s="517">
        <v>496.26585987824342</v>
      </c>
      <c r="G67" s="517">
        <v>477.46005785412859</v>
      </c>
      <c r="H67" s="517">
        <v>491.12276721089353</v>
      </c>
      <c r="I67" s="517">
        <v>471.52000033118452</v>
      </c>
      <c r="J67" s="517">
        <v>510.86661983238918</v>
      </c>
      <c r="K67" s="517">
        <v>471.49801239757392</v>
      </c>
      <c r="L67" s="517">
        <v>472.12043912954903</v>
      </c>
      <c r="M67" s="517">
        <v>510.76090466699458</v>
      </c>
      <c r="N67" s="517">
        <v>471.87597138408449</v>
      </c>
      <c r="O67" s="517">
        <v>491.07086736121408</v>
      </c>
      <c r="P67" s="107">
        <f t="shared" si="4"/>
        <v>5801.7154221800774</v>
      </c>
      <c r="Q67" s="1"/>
      <c r="R67" s="467"/>
      <c r="S67" s="1"/>
      <c r="Y67" s="930"/>
    </row>
    <row r="68" spans="1:25">
      <c r="A68" s="1110">
        <f t="shared" si="0"/>
        <v>57</v>
      </c>
      <c r="B68" s="465">
        <v>8700</v>
      </c>
      <c r="C68" s="1" t="s">
        <v>932</v>
      </c>
      <c r="D68" s="517">
        <v>88762.110169980078</v>
      </c>
      <c r="E68" s="517">
        <v>86602.942689165386</v>
      </c>
      <c r="F68" s="517">
        <v>88417.214510360835</v>
      </c>
      <c r="G68" s="517">
        <v>90658.520908078834</v>
      </c>
      <c r="H68" s="517">
        <v>91585.963794476047</v>
      </c>
      <c r="I68" s="517">
        <v>86735.553157831106</v>
      </c>
      <c r="J68" s="517">
        <v>91562.138461354087</v>
      </c>
      <c r="K68" s="517">
        <v>87447.781151427393</v>
      </c>
      <c r="L68" s="517">
        <v>86534.246397565381</v>
      </c>
      <c r="M68" s="517">
        <v>90440.208532591059</v>
      </c>
      <c r="N68" s="517">
        <v>89515.107551907437</v>
      </c>
      <c r="O68" s="517">
        <v>88078.206284641521</v>
      </c>
      <c r="P68" s="107">
        <f t="shared" si="4"/>
        <v>1066339.993609379</v>
      </c>
      <c r="Q68" s="1"/>
      <c r="R68" s="467"/>
      <c r="S68" s="1"/>
      <c r="Y68" s="930"/>
    </row>
    <row r="69" spans="1:25">
      <c r="A69" s="1110">
        <f t="shared" si="0"/>
        <v>58</v>
      </c>
      <c r="B69" s="465">
        <v>8710</v>
      </c>
      <c r="C69" s="1" t="s">
        <v>933</v>
      </c>
      <c r="D69" s="517">
        <v>146.74119997432862</v>
      </c>
      <c r="E69" s="517">
        <v>146.76634422185785</v>
      </c>
      <c r="F69" s="517">
        <v>141.38233221966402</v>
      </c>
      <c r="G69" s="517">
        <v>155.31425689065324</v>
      </c>
      <c r="H69" s="517">
        <v>146.15659621927432</v>
      </c>
      <c r="I69" s="517">
        <v>143.51959325964756</v>
      </c>
      <c r="J69" s="517">
        <v>153.35099404357183</v>
      </c>
      <c r="K69" s="517">
        <v>148.69930825066649</v>
      </c>
      <c r="L69" s="517">
        <v>153.59615045698172</v>
      </c>
      <c r="M69" s="517">
        <v>141.7657819944846</v>
      </c>
      <c r="N69" s="517">
        <v>148.65530581749036</v>
      </c>
      <c r="O69" s="517">
        <v>149.39706111960228</v>
      </c>
      <c r="P69" s="107">
        <f t="shared" si="4"/>
        <v>1775.3449244682231</v>
      </c>
      <c r="Q69" s="1"/>
      <c r="R69" s="467"/>
      <c r="S69" s="1"/>
      <c r="Y69" s="930"/>
    </row>
    <row r="70" spans="1:25">
      <c r="A70" s="1110">
        <f t="shared" si="0"/>
        <v>59</v>
      </c>
      <c r="B70" s="465">
        <v>8711</v>
      </c>
      <c r="C70" s="119" t="s">
        <v>194</v>
      </c>
      <c r="D70" s="517">
        <v>964.0722296294233</v>
      </c>
      <c r="E70" s="517">
        <v>959.17136349513373</v>
      </c>
      <c r="F70" s="517">
        <v>805.63383541723613</v>
      </c>
      <c r="G70" s="517">
        <v>842.22430770086987</v>
      </c>
      <c r="H70" s="517">
        <v>741.74361145870284</v>
      </c>
      <c r="I70" s="517">
        <v>745.15439402452182</v>
      </c>
      <c r="J70" s="517">
        <v>792.45931606185661</v>
      </c>
      <c r="K70" s="517">
        <v>742.17037227376738</v>
      </c>
      <c r="L70" s="517">
        <v>874.83791984721836</v>
      </c>
      <c r="M70" s="517">
        <v>764.44453352455525</v>
      </c>
      <c r="N70" s="517">
        <v>779.21541365783446</v>
      </c>
      <c r="O70" s="517">
        <v>743.12025924923353</v>
      </c>
      <c r="P70" s="107">
        <f t="shared" si="4"/>
        <v>9754.2475563403532</v>
      </c>
      <c r="Q70" s="1"/>
      <c r="R70" s="467"/>
      <c r="S70" s="1"/>
      <c r="Y70" s="930"/>
    </row>
    <row r="71" spans="1:25">
      <c r="A71" s="1110">
        <f t="shared" si="0"/>
        <v>60</v>
      </c>
      <c r="B71" s="465">
        <v>8720</v>
      </c>
      <c r="C71" s="119" t="s">
        <v>1389</v>
      </c>
      <c r="D71" s="517">
        <v>0</v>
      </c>
      <c r="E71" s="517">
        <v>0</v>
      </c>
      <c r="F71" s="517">
        <v>0</v>
      </c>
      <c r="G71" s="517">
        <v>0</v>
      </c>
      <c r="H71" s="517">
        <v>0</v>
      </c>
      <c r="I71" s="517">
        <v>0</v>
      </c>
      <c r="J71" s="517">
        <v>0</v>
      </c>
      <c r="K71" s="517">
        <v>0</v>
      </c>
      <c r="L71" s="517">
        <v>0</v>
      </c>
      <c r="M71" s="517">
        <v>0</v>
      </c>
      <c r="N71" s="517">
        <v>0</v>
      </c>
      <c r="O71" s="517">
        <v>0</v>
      </c>
      <c r="P71" s="107">
        <f t="shared" si="4"/>
        <v>0</v>
      </c>
      <c r="Q71" s="1"/>
      <c r="R71" s="467"/>
      <c r="S71" s="1"/>
      <c r="Y71" s="930"/>
    </row>
    <row r="72" spans="1:25">
      <c r="A72" s="1110">
        <f t="shared" si="0"/>
        <v>61</v>
      </c>
      <c r="B72" s="465">
        <v>8740</v>
      </c>
      <c r="C72" s="1" t="s">
        <v>934</v>
      </c>
      <c r="D72" s="517">
        <v>308018.05910213629</v>
      </c>
      <c r="E72" s="517">
        <v>309349.52166981826</v>
      </c>
      <c r="F72" s="517">
        <v>309025.13052715425</v>
      </c>
      <c r="G72" s="517">
        <v>306303.50711802038</v>
      </c>
      <c r="H72" s="517">
        <v>305314.99493918766</v>
      </c>
      <c r="I72" s="517">
        <v>294529.16281658958</v>
      </c>
      <c r="J72" s="517">
        <v>306720.38536952244</v>
      </c>
      <c r="K72" s="517">
        <v>293960.44802119985</v>
      </c>
      <c r="L72" s="517">
        <v>295605.57302313967</v>
      </c>
      <c r="M72" s="517">
        <v>309842.08439534419</v>
      </c>
      <c r="N72" s="517">
        <v>312463.30240666674</v>
      </c>
      <c r="O72" s="517">
        <v>302217.39838210109</v>
      </c>
      <c r="P72" s="107">
        <f t="shared" si="4"/>
        <v>3653349.5677708811</v>
      </c>
      <c r="Q72" s="1"/>
      <c r="R72" s="467"/>
      <c r="S72" s="1"/>
      <c r="Y72" s="930"/>
    </row>
    <row r="73" spans="1:25">
      <c r="A73" s="1110">
        <f t="shared" si="0"/>
        <v>62</v>
      </c>
      <c r="B73" s="465">
        <v>8750</v>
      </c>
      <c r="C73" s="1" t="s">
        <v>935</v>
      </c>
      <c r="D73" s="517">
        <v>33014.032368981476</v>
      </c>
      <c r="E73" s="517">
        <v>31900.934339507297</v>
      </c>
      <c r="F73" s="517">
        <v>33472.943046264161</v>
      </c>
      <c r="G73" s="517">
        <v>32589.793269783873</v>
      </c>
      <c r="H73" s="517">
        <v>33019.537907893857</v>
      </c>
      <c r="I73" s="517">
        <v>31825.520870907534</v>
      </c>
      <c r="J73" s="517">
        <v>34352.644543968185</v>
      </c>
      <c r="K73" s="517">
        <v>31830.355185540102</v>
      </c>
      <c r="L73" s="517">
        <v>32354.502365408764</v>
      </c>
      <c r="M73" s="517">
        <v>34189.505029661013</v>
      </c>
      <c r="N73" s="517">
        <v>32038.526338395895</v>
      </c>
      <c r="O73" s="517">
        <v>33000.075930596686</v>
      </c>
      <c r="P73" s="107">
        <f t="shared" si="4"/>
        <v>393588.37119690882</v>
      </c>
      <c r="Q73" s="1"/>
      <c r="R73" s="467"/>
      <c r="S73" s="1"/>
      <c r="Y73" s="930"/>
    </row>
    <row r="74" spans="1:25">
      <c r="A74" s="1110">
        <f t="shared" si="0"/>
        <v>63</v>
      </c>
      <c r="B74" s="465">
        <v>8760</v>
      </c>
      <c r="C74" s="1" t="s">
        <v>936</v>
      </c>
      <c r="D74" s="517">
        <v>2837.7132432098706</v>
      </c>
      <c r="E74" s="517">
        <v>2761.5889820994785</v>
      </c>
      <c r="F74" s="517">
        <v>2752.8021136928023</v>
      </c>
      <c r="G74" s="517">
        <v>2717.5770529366382</v>
      </c>
      <c r="H74" s="517">
        <v>2669.5555582943371</v>
      </c>
      <c r="I74" s="517">
        <v>2599.4869360103153</v>
      </c>
      <c r="J74" s="517">
        <v>2792.9872237687023</v>
      </c>
      <c r="K74" s="517">
        <v>2596.5450033282746</v>
      </c>
      <c r="L74" s="517">
        <v>2727.3412999550642</v>
      </c>
      <c r="M74" s="517">
        <v>2769.2069404231106</v>
      </c>
      <c r="N74" s="517">
        <v>2636.9068872553139</v>
      </c>
      <c r="O74" s="517">
        <v>2674.751568774077</v>
      </c>
      <c r="P74" s="107">
        <f t="shared" si="4"/>
        <v>32536.462809747987</v>
      </c>
      <c r="Q74" s="1"/>
      <c r="R74" s="467"/>
      <c r="S74" s="1"/>
      <c r="Y74" s="930"/>
    </row>
    <row r="75" spans="1:25">
      <c r="A75" s="1110">
        <f t="shared" si="0"/>
        <v>64</v>
      </c>
      <c r="B75" s="465">
        <v>8770</v>
      </c>
      <c r="C75" s="1" t="s">
        <v>937</v>
      </c>
      <c r="D75" s="517">
        <v>10915.165756491086</v>
      </c>
      <c r="E75" s="517">
        <v>10822.220824449538</v>
      </c>
      <c r="F75" s="517">
        <v>9535.3790865070205</v>
      </c>
      <c r="G75" s="517">
        <v>9853.198374256217</v>
      </c>
      <c r="H75" s="517">
        <v>8954.3803427323528</v>
      </c>
      <c r="I75" s="517">
        <v>8926.3198619267951</v>
      </c>
      <c r="J75" s="517">
        <v>9478.6244843135373</v>
      </c>
      <c r="K75" s="517">
        <v>8914.8451446611161</v>
      </c>
      <c r="L75" s="517">
        <v>10112.679537847273</v>
      </c>
      <c r="M75" s="517">
        <v>9217.0280774386938</v>
      </c>
      <c r="N75" s="517">
        <v>9267.3884536465703</v>
      </c>
      <c r="O75" s="517">
        <v>8998.329370149424</v>
      </c>
      <c r="P75" s="107">
        <f t="shared" si="4"/>
        <v>114995.55931441962</v>
      </c>
      <c r="Q75" s="1"/>
      <c r="R75" s="467"/>
      <c r="S75" s="1"/>
      <c r="Y75" s="930"/>
    </row>
    <row r="76" spans="1:25">
      <c r="A76" s="1110">
        <f t="shared" si="0"/>
        <v>65</v>
      </c>
      <c r="B76" s="465">
        <v>8780</v>
      </c>
      <c r="C76" s="1" t="s">
        <v>938</v>
      </c>
      <c r="D76" s="517">
        <v>73279.531674686557</v>
      </c>
      <c r="E76" s="517">
        <v>70556.308738308391</v>
      </c>
      <c r="F76" s="517">
        <v>75353.3780456979</v>
      </c>
      <c r="G76" s="517">
        <v>72950.144818847926</v>
      </c>
      <c r="H76" s="517">
        <v>75233.23642224753</v>
      </c>
      <c r="I76" s="517">
        <v>71770.847524275989</v>
      </c>
      <c r="J76" s="517">
        <v>77740.347639555461</v>
      </c>
      <c r="K76" s="517">
        <v>71706.800601640382</v>
      </c>
      <c r="L76" s="517">
        <v>72097.261848086273</v>
      </c>
      <c r="M76" s="517">
        <v>77478.310659860741</v>
      </c>
      <c r="N76" s="517">
        <v>72133.517856658989</v>
      </c>
      <c r="O76" s="517">
        <v>74600.30809071679</v>
      </c>
      <c r="P76" s="107">
        <f t="shared" si="4"/>
        <v>884899.99392058305</v>
      </c>
      <c r="Q76" s="1"/>
      <c r="R76" s="467"/>
      <c r="S76" s="1"/>
      <c r="Y76" s="930"/>
    </row>
    <row r="77" spans="1:25">
      <c r="A77" s="1110">
        <f t="shared" si="0"/>
        <v>66</v>
      </c>
      <c r="B77" s="465">
        <v>8790</v>
      </c>
      <c r="C77" s="1" t="s">
        <v>939</v>
      </c>
      <c r="D77" s="517">
        <v>68.091758506277671</v>
      </c>
      <c r="E77" s="517">
        <v>67.745613701945004</v>
      </c>
      <c r="F77" s="517">
        <v>56.901363694298112</v>
      </c>
      <c r="G77" s="517">
        <v>59.485723585387952</v>
      </c>
      <c r="H77" s="517">
        <v>52.388841118714033</v>
      </c>
      <c r="I77" s="517">
        <v>52.629742345459711</v>
      </c>
      <c r="J77" s="517">
        <v>55.970856453437534</v>
      </c>
      <c r="K77" s="517">
        <v>52.418982941563229</v>
      </c>
      <c r="L77" s="517">
        <v>61.789200580197956</v>
      </c>
      <c r="M77" s="517">
        <v>53.992191630917901</v>
      </c>
      <c r="N77" s="517">
        <v>55.035448735571798</v>
      </c>
      <c r="O77" s="517">
        <v>52.486072805324334</v>
      </c>
      <c r="P77" s="107">
        <f t="shared" si="4"/>
        <v>688.93579609909511</v>
      </c>
      <c r="Q77" s="1"/>
      <c r="R77" s="467"/>
      <c r="S77" s="1"/>
      <c r="Y77" s="930"/>
    </row>
    <row r="78" spans="1:25">
      <c r="A78" s="1110">
        <f t="shared" ref="A78:A109" si="5">A77+1</f>
        <v>67</v>
      </c>
      <c r="B78" s="465">
        <v>8800</v>
      </c>
      <c r="C78" s="1" t="s">
        <v>940</v>
      </c>
      <c r="D78" s="517">
        <v>17178.745988064562</v>
      </c>
      <c r="E78" s="517">
        <v>16512.131358352384</v>
      </c>
      <c r="F78" s="517">
        <v>17737.173145420569</v>
      </c>
      <c r="G78" s="517">
        <v>17104.645054846565</v>
      </c>
      <c r="H78" s="517">
        <v>17569.690571302483</v>
      </c>
      <c r="I78" s="517">
        <v>16864.474734123374</v>
      </c>
      <c r="J78" s="517">
        <v>18269.06663952698</v>
      </c>
      <c r="K78" s="517">
        <v>16857.120752179449</v>
      </c>
      <c r="L78" s="517">
        <v>16932.401864399835</v>
      </c>
      <c r="M78" s="517">
        <v>18232.320948437318</v>
      </c>
      <c r="N78" s="517">
        <v>16884.146566919429</v>
      </c>
      <c r="O78" s="517">
        <v>17536.470390078252</v>
      </c>
      <c r="P78" s="107">
        <f t="shared" si="4"/>
        <v>207678.38801365125</v>
      </c>
      <c r="Q78" s="1"/>
      <c r="R78" s="1"/>
      <c r="S78" s="1"/>
      <c r="Y78" s="930"/>
    </row>
    <row r="79" spans="1:25">
      <c r="A79" s="1110">
        <f t="shared" si="5"/>
        <v>68</v>
      </c>
      <c r="B79" s="465">
        <v>8810</v>
      </c>
      <c r="C79" s="1" t="s">
        <v>941</v>
      </c>
      <c r="D79" s="517">
        <v>33472.002826567405</v>
      </c>
      <c r="E79" s="517">
        <v>33477.248996883958</v>
      </c>
      <c r="F79" s="517">
        <v>32290.195922214982</v>
      </c>
      <c r="G79" s="517">
        <v>35342.686576204251</v>
      </c>
      <c r="H79" s="517">
        <v>33307.809598304302</v>
      </c>
      <c r="I79" s="517">
        <v>32730.57384238685</v>
      </c>
      <c r="J79" s="517">
        <v>34885.831034904106</v>
      </c>
      <c r="K79" s="517">
        <v>33864.602026288732</v>
      </c>
      <c r="L79" s="517">
        <v>34943.875593847806</v>
      </c>
      <c r="M79" s="517">
        <v>32390.963267124131</v>
      </c>
      <c r="N79" s="517">
        <v>33900.323463950837</v>
      </c>
      <c r="O79" s="517">
        <v>34060.824948248104</v>
      </c>
      <c r="P79" s="107">
        <f t="shared" si="4"/>
        <v>404666.9380969255</v>
      </c>
      <c r="Q79" s="1"/>
      <c r="R79" s="1"/>
      <c r="S79" s="1"/>
      <c r="Y79" s="930"/>
    </row>
    <row r="80" spans="1:25">
      <c r="A80" s="1110">
        <f t="shared" si="5"/>
        <v>69</v>
      </c>
      <c r="B80" s="465">
        <v>8850</v>
      </c>
      <c r="C80" s="1" t="s">
        <v>942</v>
      </c>
      <c r="D80" s="517">
        <v>198.74278419921419</v>
      </c>
      <c r="E80" s="517">
        <v>179.23907623069462</v>
      </c>
      <c r="F80" s="517">
        <v>179.23907623069462</v>
      </c>
      <c r="G80" s="517">
        <v>200.01052521716795</v>
      </c>
      <c r="H80" s="517">
        <v>169.48722224643484</v>
      </c>
      <c r="I80" s="517">
        <v>183.52989198376892</v>
      </c>
      <c r="J80" s="517">
        <v>188.9909302149544</v>
      </c>
      <c r="K80" s="517">
        <v>169.48722224643484</v>
      </c>
      <c r="L80" s="517">
        <v>169.48722224643484</v>
      </c>
      <c r="M80" s="517">
        <v>188.9909302149544</v>
      </c>
      <c r="N80" s="517">
        <v>193.2817459680287</v>
      </c>
      <c r="O80" s="517">
        <v>179.23907623069462</v>
      </c>
      <c r="P80" s="107">
        <f t="shared" si="4"/>
        <v>2199.7257032294769</v>
      </c>
      <c r="Q80" s="1"/>
      <c r="R80" s="1"/>
      <c r="S80" s="1"/>
      <c r="Y80" s="930"/>
    </row>
    <row r="81" spans="1:25">
      <c r="A81" s="1110">
        <f t="shared" si="5"/>
        <v>70</v>
      </c>
      <c r="B81" s="465">
        <v>8860</v>
      </c>
      <c r="C81" s="1" t="s">
        <v>943</v>
      </c>
      <c r="D81" s="517">
        <v>1755.0961194147731</v>
      </c>
      <c r="E81" s="517">
        <v>1755.396856844151</v>
      </c>
      <c r="F81" s="517">
        <v>1691.0014547785684</v>
      </c>
      <c r="G81" s="517">
        <v>1857.6340496483786</v>
      </c>
      <c r="H81" s="517">
        <v>1748.1039741817324</v>
      </c>
      <c r="I81" s="517">
        <v>1716.5641362757058</v>
      </c>
      <c r="J81" s="517">
        <v>1834.1524711625373</v>
      </c>
      <c r="K81" s="517">
        <v>1778.5160467275914</v>
      </c>
      <c r="L81" s="517">
        <v>1837.0846610989736</v>
      </c>
      <c r="M81" s="517">
        <v>1695.5877005765842</v>
      </c>
      <c r="N81" s="517">
        <v>1777.9897562261797</v>
      </c>
      <c r="O81" s="517">
        <v>1786.8615103928332</v>
      </c>
      <c r="P81" s="107">
        <f t="shared" si="4"/>
        <v>21233.988737328007</v>
      </c>
      <c r="Q81" s="1"/>
      <c r="R81" s="1"/>
      <c r="S81" s="1"/>
      <c r="Y81" s="930"/>
    </row>
    <row r="82" spans="1:25">
      <c r="A82" s="1110">
        <f t="shared" si="5"/>
        <v>71</v>
      </c>
      <c r="B82" s="465">
        <v>8870</v>
      </c>
      <c r="C82" s="1" t="s">
        <v>944</v>
      </c>
      <c r="D82" s="517">
        <v>3540.2843888797988</v>
      </c>
      <c r="E82" s="517">
        <v>3428.7484266563856</v>
      </c>
      <c r="F82" s="517">
        <v>3620.1861432949181</v>
      </c>
      <c r="G82" s="517">
        <v>3517.2063449657667</v>
      </c>
      <c r="H82" s="517">
        <v>3569.5221233963616</v>
      </c>
      <c r="I82" s="517">
        <v>3456.2782890189078</v>
      </c>
      <c r="J82" s="517">
        <v>3693.2487317217597</v>
      </c>
      <c r="K82" s="517">
        <v>3455.7003681689689</v>
      </c>
      <c r="L82" s="517">
        <v>3481.3943302969533</v>
      </c>
      <c r="M82" s="517">
        <v>3705.9880112031228</v>
      </c>
      <c r="N82" s="517">
        <v>3481.0399005566683</v>
      </c>
      <c r="O82" s="517">
        <v>3587.9509693515965</v>
      </c>
      <c r="P82" s="107">
        <f t="shared" si="4"/>
        <v>42537.548027511199</v>
      </c>
      <c r="Q82" s="1"/>
      <c r="R82" s="208"/>
      <c r="S82" s="1"/>
      <c r="Y82" s="930"/>
    </row>
    <row r="83" spans="1:25">
      <c r="A83" s="1110">
        <f t="shared" si="5"/>
        <v>72</v>
      </c>
      <c r="B83" s="465">
        <v>8890</v>
      </c>
      <c r="C83" s="468" t="s">
        <v>945</v>
      </c>
      <c r="D83" s="517">
        <v>606.38353898317234</v>
      </c>
      <c r="E83" s="517">
        <v>603.30098514616827</v>
      </c>
      <c r="F83" s="517">
        <v>506.72872968519397</v>
      </c>
      <c r="G83" s="517">
        <v>529.74345762206679</v>
      </c>
      <c r="H83" s="517">
        <v>466.54296463593533</v>
      </c>
      <c r="I83" s="517">
        <v>468.68828356474467</v>
      </c>
      <c r="J83" s="517">
        <v>498.44220153347226</v>
      </c>
      <c r="K83" s="517">
        <v>466.81138926780932</v>
      </c>
      <c r="L83" s="517">
        <v>550.25681434423802</v>
      </c>
      <c r="M83" s="517">
        <v>480.82142327981114</v>
      </c>
      <c r="N83" s="517">
        <v>490.11203273192336</v>
      </c>
      <c r="O83" s="517">
        <v>467.40885054520618</v>
      </c>
      <c r="P83" s="107">
        <f t="shared" si="4"/>
        <v>6135.2406713397404</v>
      </c>
      <c r="Q83" s="1"/>
      <c r="R83" s="1"/>
      <c r="S83" s="1"/>
      <c r="Y83" s="930"/>
    </row>
    <row r="84" spans="1:25">
      <c r="A84" s="1110">
        <f t="shared" si="5"/>
        <v>73</v>
      </c>
      <c r="B84" s="465">
        <v>8900</v>
      </c>
      <c r="C84" s="1" t="s">
        <v>946</v>
      </c>
      <c r="D84" s="517">
        <v>961.93016901129215</v>
      </c>
      <c r="E84" s="517">
        <v>957.04019205316422</v>
      </c>
      <c r="F84" s="517">
        <v>803.84380718237605</v>
      </c>
      <c r="G84" s="517">
        <v>840.35297953093368</v>
      </c>
      <c r="H84" s="517">
        <v>740.09554015239951</v>
      </c>
      <c r="I84" s="517">
        <v>743.49874434101116</v>
      </c>
      <c r="J84" s="517">
        <v>790.69856013482433</v>
      </c>
      <c r="K84" s="517">
        <v>740.52135275268597</v>
      </c>
      <c r="L84" s="517">
        <v>872.89412788043512</v>
      </c>
      <c r="M84" s="517">
        <v>762.74602330957066</v>
      </c>
      <c r="N84" s="517">
        <v>777.48408420000032</v>
      </c>
      <c r="O84" s="517">
        <v>741.46912918558166</v>
      </c>
      <c r="P84" s="107">
        <f t="shared" si="4"/>
        <v>9732.5747097342755</v>
      </c>
      <c r="Q84" s="1"/>
      <c r="R84" s="1"/>
      <c r="S84" s="1"/>
      <c r="Y84" s="930"/>
    </row>
    <row r="85" spans="1:25">
      <c r="A85" s="1110">
        <f t="shared" si="5"/>
        <v>74</v>
      </c>
      <c r="B85" s="465">
        <v>8910</v>
      </c>
      <c r="C85" s="1" t="s">
        <v>947</v>
      </c>
      <c r="D85" s="517">
        <v>2194.4911668654568</v>
      </c>
      <c r="E85" s="517">
        <v>2187.7445690219511</v>
      </c>
      <c r="F85" s="517">
        <v>1974.7469223402718</v>
      </c>
      <c r="G85" s="517">
        <v>2028.8101945701494</v>
      </c>
      <c r="H85" s="517">
        <v>1872.3167403570633</v>
      </c>
      <c r="I85" s="517">
        <v>1876.3177650563996</v>
      </c>
      <c r="J85" s="517">
        <v>1944.1085121296842</v>
      </c>
      <c r="K85" s="517">
        <v>1873.5787557521091</v>
      </c>
      <c r="L85" s="517">
        <v>2057.689002606026</v>
      </c>
      <c r="M85" s="517">
        <v>1930.2695406310718</v>
      </c>
      <c r="N85" s="517">
        <v>1952.4494988673821</v>
      </c>
      <c r="O85" s="517">
        <v>1902.903770593879</v>
      </c>
      <c r="P85" s="107">
        <f t="shared" si="4"/>
        <v>23795.426438791441</v>
      </c>
      <c r="Q85" s="1"/>
      <c r="R85" s="1"/>
      <c r="S85" s="1"/>
      <c r="Y85" s="930"/>
    </row>
    <row r="86" spans="1:25">
      <c r="A86" s="1110">
        <f t="shared" si="5"/>
        <v>75</v>
      </c>
      <c r="B86" s="465">
        <v>8920</v>
      </c>
      <c r="C86" s="1" t="s">
        <v>948</v>
      </c>
      <c r="D86" s="517">
        <v>299.06238509439396</v>
      </c>
      <c r="E86" s="517">
        <v>288.98986351925811</v>
      </c>
      <c r="F86" s="517">
        <v>299.71995737245754</v>
      </c>
      <c r="G86" s="517">
        <v>292.03901542516979</v>
      </c>
      <c r="H86" s="517">
        <v>293.55204705984295</v>
      </c>
      <c r="I86" s="517">
        <v>283.66491169553086</v>
      </c>
      <c r="J86" s="517">
        <v>306.55905777588345</v>
      </c>
      <c r="K86" s="517">
        <v>283.49291132388032</v>
      </c>
      <c r="L86" s="517">
        <v>291.13992913895709</v>
      </c>
      <c r="M86" s="517">
        <v>304.94427296176275</v>
      </c>
      <c r="N86" s="517">
        <v>285.62820436732318</v>
      </c>
      <c r="O86" s="517">
        <v>293.63139766495948</v>
      </c>
      <c r="P86" s="107">
        <f t="shared" si="4"/>
        <v>3522.4239533994196</v>
      </c>
      <c r="Q86" s="1"/>
      <c r="R86" s="1"/>
      <c r="S86" s="1"/>
      <c r="Y86" s="930"/>
    </row>
    <row r="87" spans="1:25">
      <c r="A87" s="1110">
        <f t="shared" si="5"/>
        <v>76</v>
      </c>
      <c r="B87" s="465">
        <v>8930</v>
      </c>
      <c r="C87" s="1" t="s">
        <v>949</v>
      </c>
      <c r="D87" s="517">
        <v>8665.7700128797951</v>
      </c>
      <c r="E87" s="517">
        <v>8318.3750505380158</v>
      </c>
      <c r="F87" s="517">
        <v>9008.2123238654112</v>
      </c>
      <c r="G87" s="517">
        <v>8662.0754309739787</v>
      </c>
      <c r="H87" s="517">
        <v>8918.1248741562304</v>
      </c>
      <c r="I87" s="517">
        <v>8560.5645405758241</v>
      </c>
      <c r="J87" s="517">
        <v>9277.3263907535857</v>
      </c>
      <c r="K87" s="517">
        <v>8560.4740612915466</v>
      </c>
      <c r="L87" s="517">
        <v>8564.4967078249974</v>
      </c>
      <c r="M87" s="517">
        <v>9276.4769473899287</v>
      </c>
      <c r="N87" s="517">
        <v>8561.5973134359538</v>
      </c>
      <c r="O87" s="517">
        <v>8918.1666158448625</v>
      </c>
      <c r="P87" s="107">
        <f t="shared" si="4"/>
        <v>105291.66026953013</v>
      </c>
      <c r="Q87" s="1"/>
      <c r="R87" s="1"/>
      <c r="S87" s="1"/>
      <c r="Y87" s="930"/>
    </row>
    <row r="88" spans="1:25">
      <c r="A88" s="1110">
        <f t="shared" si="5"/>
        <v>77</v>
      </c>
      <c r="B88" s="465">
        <v>8940</v>
      </c>
      <c r="C88" s="1" t="s">
        <v>950</v>
      </c>
      <c r="D88" s="517">
        <v>6226.0488740354394</v>
      </c>
      <c r="E88" s="517">
        <v>6210.914867044763</v>
      </c>
      <c r="F88" s="517">
        <v>5742.6574770562102</v>
      </c>
      <c r="G88" s="517">
        <v>5854.2415235009494</v>
      </c>
      <c r="H88" s="517">
        <v>5485.0007363785426</v>
      </c>
      <c r="I88" s="517">
        <v>5495.0960815500166</v>
      </c>
      <c r="J88" s="517">
        <v>5639.3150559749147</v>
      </c>
      <c r="K88" s="517">
        <v>5485.9961985711743</v>
      </c>
      <c r="L88" s="517">
        <v>5890.5707153967542</v>
      </c>
      <c r="M88" s="517">
        <v>5666.2554314437475</v>
      </c>
      <c r="N88" s="517">
        <v>5711.2675618629546</v>
      </c>
      <c r="O88" s="517">
        <v>5601.1565258263654</v>
      </c>
      <c r="P88" s="107">
        <f t="shared" si="4"/>
        <v>69008.521048641822</v>
      </c>
      <c r="Q88" s="1"/>
      <c r="R88" s="1"/>
      <c r="S88" s="1"/>
      <c r="Y88" s="930"/>
    </row>
    <row r="89" spans="1:25">
      <c r="A89" s="1110">
        <f t="shared" si="5"/>
        <v>78</v>
      </c>
      <c r="B89" s="465">
        <v>9020</v>
      </c>
      <c r="C89" s="1" t="s">
        <v>951</v>
      </c>
      <c r="D89" s="517">
        <v>94391.81071407655</v>
      </c>
      <c r="E89" s="517">
        <v>93514.221580935962</v>
      </c>
      <c r="F89" s="517">
        <v>94731.950261473263</v>
      </c>
      <c r="G89" s="517">
        <v>94174.034502924609</v>
      </c>
      <c r="H89" s="517">
        <v>94424.040671314826</v>
      </c>
      <c r="I89" s="517">
        <v>92363.702687912824</v>
      </c>
      <c r="J89" s="517">
        <v>94551.649285063759</v>
      </c>
      <c r="K89" s="517">
        <v>92225.393540013043</v>
      </c>
      <c r="L89" s="517">
        <v>92415.712541488261</v>
      </c>
      <c r="M89" s="517">
        <v>96577.611049155355</v>
      </c>
      <c r="N89" s="517">
        <v>95089.394780477771</v>
      </c>
      <c r="O89" s="517">
        <v>95555.974324513823</v>
      </c>
      <c r="P89" s="107">
        <f t="shared" si="4"/>
        <v>1130015.49593935</v>
      </c>
      <c r="Q89" s="1"/>
      <c r="R89" s="1"/>
      <c r="S89" s="1"/>
      <c r="Y89" s="930"/>
    </row>
    <row r="90" spans="1:25">
      <c r="A90" s="1110">
        <f t="shared" si="5"/>
        <v>79</v>
      </c>
      <c r="B90" s="465">
        <v>9030</v>
      </c>
      <c r="C90" s="1" t="s">
        <v>956</v>
      </c>
      <c r="D90" s="517">
        <v>31212.496438074479</v>
      </c>
      <c r="E90" s="517">
        <v>30028.817107578048</v>
      </c>
      <c r="F90" s="517">
        <v>32080.60875815092</v>
      </c>
      <c r="G90" s="517">
        <v>31030.559179991469</v>
      </c>
      <c r="H90" s="517">
        <v>32093.239663517012</v>
      </c>
      <c r="I90" s="517">
        <v>30661.888342089951</v>
      </c>
      <c r="J90" s="517">
        <v>33210.838499564728</v>
      </c>
      <c r="K90" s="517">
        <v>30585.625724885984</v>
      </c>
      <c r="L90" s="517">
        <v>30698.806119064411</v>
      </c>
      <c r="M90" s="517">
        <v>32988.889260120413</v>
      </c>
      <c r="N90" s="517">
        <v>30687.642668019842</v>
      </c>
      <c r="O90" s="517">
        <v>31744.323157592386</v>
      </c>
      <c r="P90" s="107">
        <f t="shared" si="4"/>
        <v>377023.73491864966</v>
      </c>
      <c r="Q90" s="1"/>
      <c r="R90" s="1"/>
      <c r="S90" s="1"/>
      <c r="Y90" s="930"/>
    </row>
    <row r="91" spans="1:25">
      <c r="A91" s="1110">
        <f t="shared" si="5"/>
        <v>80</v>
      </c>
      <c r="B91" s="465">
        <v>9040</v>
      </c>
      <c r="C91" s="1" t="s">
        <v>957</v>
      </c>
      <c r="D91" s="123">
        <f>-0.005*SUM(D17,D19,D23,D35,D36,D38)</f>
        <v>21186.127383439885</v>
      </c>
      <c r="E91" s="123">
        <f t="shared" ref="E91:O91" si="6">-0.005*SUM(E17,E19,E23,E35,E36,E38)</f>
        <v>20401.051177681464</v>
      </c>
      <c r="F91" s="123">
        <f t="shared" si="6"/>
        <v>21087.119766173932</v>
      </c>
      <c r="G91" s="123">
        <f t="shared" si="6"/>
        <v>20693.010549829349</v>
      </c>
      <c r="H91" s="123">
        <f t="shared" si="6"/>
        <v>26046.040328151932</v>
      </c>
      <c r="I91" s="123">
        <f t="shared" si="6"/>
        <v>38672.553045638655</v>
      </c>
      <c r="J91" s="123">
        <f t="shared" si="6"/>
        <v>42568.32115217868</v>
      </c>
      <c r="K91" s="123">
        <f t="shared" si="6"/>
        <v>43059.558756837694</v>
      </c>
      <c r="L91" s="123">
        <f t="shared" si="6"/>
        <v>38649.959919875182</v>
      </c>
      <c r="M91" s="123">
        <f t="shared" si="6"/>
        <v>22455.961386114643</v>
      </c>
      <c r="N91" s="123">
        <f t="shared" si="6"/>
        <v>4938.0573762805652</v>
      </c>
      <c r="O91" s="123">
        <f t="shared" si="6"/>
        <v>13668.419573133933</v>
      </c>
      <c r="P91" s="107">
        <f t="shared" si="4"/>
        <v>313426.18041533593</v>
      </c>
      <c r="Q91" s="1"/>
      <c r="R91" s="1"/>
      <c r="S91" s="1"/>
      <c r="Y91" s="930"/>
    </row>
    <row r="92" spans="1:25">
      <c r="A92" s="1110">
        <f t="shared" si="5"/>
        <v>81</v>
      </c>
      <c r="B92" s="465">
        <v>9090</v>
      </c>
      <c r="C92" s="1" t="s">
        <v>958</v>
      </c>
      <c r="D92" s="517">
        <v>10215.339350150252</v>
      </c>
      <c r="E92" s="517">
        <v>9886.4097579202789</v>
      </c>
      <c r="F92" s="517">
        <v>10337.145357602538</v>
      </c>
      <c r="G92" s="517">
        <v>10216.969652849475</v>
      </c>
      <c r="H92" s="517">
        <v>10693.835908906985</v>
      </c>
      <c r="I92" s="517">
        <v>9940.7372726146205</v>
      </c>
      <c r="J92" s="517">
        <v>10735.183840760425</v>
      </c>
      <c r="K92" s="517">
        <v>9922.8868685696289</v>
      </c>
      <c r="L92" s="517">
        <v>9945.3520878267755</v>
      </c>
      <c r="M92" s="517">
        <v>10648.396867121815</v>
      </c>
      <c r="N92" s="517">
        <v>10166.762157747067</v>
      </c>
      <c r="O92" s="517">
        <v>10268.917326936953</v>
      </c>
      <c r="P92" s="107">
        <f t="shared" si="4"/>
        <v>122977.93644900681</v>
      </c>
      <c r="Q92" s="1"/>
      <c r="R92" s="208"/>
      <c r="S92" s="1"/>
      <c r="Y92" s="930"/>
    </row>
    <row r="93" spans="1:25" s="1055" customFormat="1">
      <c r="A93" s="1110">
        <f t="shared" si="5"/>
        <v>82</v>
      </c>
      <c r="B93" s="1058">
        <v>9100</v>
      </c>
      <c r="C93" s="203" t="s">
        <v>959</v>
      </c>
      <c r="D93" s="517">
        <v>8.2086820201159192</v>
      </c>
      <c r="E93" s="517">
        <v>12.629888315251963</v>
      </c>
      <c r="F93" s="517">
        <v>8.7837904743594031</v>
      </c>
      <c r="G93" s="517">
        <v>19.810924097013746</v>
      </c>
      <c r="H93" s="517">
        <v>19.059756159003275</v>
      </c>
      <c r="I93" s="517">
        <v>11.74575177838436</v>
      </c>
      <c r="J93" s="517">
        <v>8.2054167573347652</v>
      </c>
      <c r="K93" s="517">
        <v>27.972780680483876</v>
      </c>
      <c r="L93" s="517">
        <v>10.995414318812838</v>
      </c>
      <c r="M93" s="517">
        <v>18.128699489803793</v>
      </c>
      <c r="N93" s="517">
        <v>14.620983293495767</v>
      </c>
      <c r="O93" s="517">
        <v>18.528660308869494</v>
      </c>
      <c r="P93" s="107">
        <f t="shared" si="4"/>
        <v>178.69074769292916</v>
      </c>
      <c r="Q93" s="1"/>
      <c r="R93" s="208"/>
      <c r="S93" s="1"/>
      <c r="Y93" s="930"/>
    </row>
    <row r="94" spans="1:25">
      <c r="A94" s="1110">
        <f t="shared" si="5"/>
        <v>83</v>
      </c>
      <c r="B94" s="465">
        <v>9110</v>
      </c>
      <c r="C94" s="1" t="s">
        <v>960</v>
      </c>
      <c r="D94" s="517">
        <v>19322.031733742351</v>
      </c>
      <c r="E94" s="517">
        <v>19932.253516155692</v>
      </c>
      <c r="F94" s="517">
        <v>19555.151618401498</v>
      </c>
      <c r="G94" s="517">
        <v>22208.354674738126</v>
      </c>
      <c r="H94" s="517">
        <v>23020.403476125051</v>
      </c>
      <c r="I94" s="517">
        <v>19634.471919377105</v>
      </c>
      <c r="J94" s="517">
        <v>20122.572369511734</v>
      </c>
      <c r="K94" s="517">
        <v>23710.431629266539</v>
      </c>
      <c r="L94" s="517">
        <v>19496.966141856672</v>
      </c>
      <c r="M94" s="517">
        <v>22478.699936266825</v>
      </c>
      <c r="N94" s="517">
        <v>20804.878975667754</v>
      </c>
      <c r="O94" s="517">
        <v>21974.827570931982</v>
      </c>
      <c r="P94" s="107">
        <f t="shared" ref="P94:P107" si="7">SUM(D94:O94)</f>
        <v>252261.0435620413</v>
      </c>
      <c r="Q94" s="1"/>
      <c r="R94" s="208"/>
      <c r="S94" s="1"/>
      <c r="Y94" s="930"/>
    </row>
    <row r="95" spans="1:25">
      <c r="A95" s="1110">
        <f t="shared" si="5"/>
        <v>84</v>
      </c>
      <c r="B95" s="465">
        <v>9120</v>
      </c>
      <c r="C95" s="1" t="s">
        <v>961</v>
      </c>
      <c r="D95" s="517">
        <v>2509.0348429951446</v>
      </c>
      <c r="E95" s="517">
        <v>3860.4041146250811</v>
      </c>
      <c r="F95" s="517">
        <v>2684.8203280050266</v>
      </c>
      <c r="G95" s="517">
        <v>6055.3324771907382</v>
      </c>
      <c r="H95" s="517">
        <v>5825.7333131848127</v>
      </c>
      <c r="I95" s="517">
        <v>3590.1622692801502</v>
      </c>
      <c r="J95" s="517">
        <v>2508.0367950662107</v>
      </c>
      <c r="K95" s="517">
        <v>8550.0548335047279</v>
      </c>
      <c r="L95" s="517">
        <v>3360.8169461873667</v>
      </c>
      <c r="M95" s="517">
        <v>5541.1500368318175</v>
      </c>
      <c r="N95" s="517">
        <v>4468.994709788105</v>
      </c>
      <c r="O95" s="517">
        <v>5663.4005550525926</v>
      </c>
      <c r="P95" s="107">
        <f t="shared" si="7"/>
        <v>54617.941221711779</v>
      </c>
      <c r="Q95" s="1"/>
      <c r="R95" s="208"/>
      <c r="S95" s="1"/>
      <c r="Y95" s="930"/>
    </row>
    <row r="96" spans="1:25">
      <c r="A96" s="1110">
        <f t="shared" si="5"/>
        <v>85</v>
      </c>
      <c r="B96" s="465">
        <v>9130</v>
      </c>
      <c r="C96" s="1" t="s">
        <v>962</v>
      </c>
      <c r="D96" s="517">
        <v>1032.4011090334966</v>
      </c>
      <c r="E96" s="517">
        <v>1588.4536240631717</v>
      </c>
      <c r="F96" s="517">
        <v>1104.7321610246088</v>
      </c>
      <c r="G96" s="517">
        <v>2491.6082701966557</v>
      </c>
      <c r="H96" s="517">
        <v>2397.1343204965715</v>
      </c>
      <c r="I96" s="517">
        <v>1477.2562919016489</v>
      </c>
      <c r="J96" s="517">
        <v>1031.9904388542539</v>
      </c>
      <c r="K96" s="517">
        <v>3518.1201716075866</v>
      </c>
      <c r="L96" s="517">
        <v>1382.8867909863145</v>
      </c>
      <c r="M96" s="517">
        <v>2280.0358708917465</v>
      </c>
      <c r="N96" s="517">
        <v>1838.8724682445545</v>
      </c>
      <c r="O96" s="517">
        <v>2330.33870783457</v>
      </c>
      <c r="P96" s="107">
        <f t="shared" si="7"/>
        <v>22473.830225135178</v>
      </c>
      <c r="Q96" s="1"/>
      <c r="R96" s="208"/>
      <c r="S96" s="1"/>
      <c r="Y96" s="930"/>
    </row>
    <row r="97" spans="1:25">
      <c r="A97" s="1110">
        <f t="shared" si="5"/>
        <v>86</v>
      </c>
      <c r="B97" s="465">
        <v>9200</v>
      </c>
      <c r="C97" s="119" t="s">
        <v>1351</v>
      </c>
      <c r="D97" s="517">
        <v>11025.913104683399</v>
      </c>
      <c r="E97" s="517">
        <v>10582.597952988071</v>
      </c>
      <c r="F97" s="517">
        <v>11469.228256378728</v>
      </c>
      <c r="G97" s="517">
        <v>11025.913104683399</v>
      </c>
      <c r="H97" s="517">
        <v>11356.690497823902</v>
      </c>
      <c r="I97" s="517">
        <v>10900.075891577715</v>
      </c>
      <c r="J97" s="517">
        <v>11813.305104070092</v>
      </c>
      <c r="K97" s="517">
        <v>10900.075891577715</v>
      </c>
      <c r="L97" s="517">
        <v>10900.075891577715</v>
      </c>
      <c r="M97" s="517">
        <v>11813.305104070092</v>
      </c>
      <c r="N97" s="517">
        <v>10900.075891577715</v>
      </c>
      <c r="O97" s="517">
        <v>11356.690497823902</v>
      </c>
      <c r="P97" s="107">
        <f t="shared" ref="P97" si="8">SUM(D97:O97)</f>
        <v>134043.94718883245</v>
      </c>
      <c r="Q97" s="1"/>
      <c r="R97" s="208"/>
      <c r="S97" s="1"/>
      <c r="Y97" s="930"/>
    </row>
    <row r="98" spans="1:25">
      <c r="A98" s="1110">
        <f t="shared" si="5"/>
        <v>87</v>
      </c>
      <c r="B98" s="465">
        <v>9210</v>
      </c>
      <c r="C98" s="1" t="s">
        <v>963</v>
      </c>
      <c r="D98" s="517">
        <v>543.03077634849785</v>
      </c>
      <c r="E98" s="517">
        <v>542.68630036605168</v>
      </c>
      <c r="F98" s="517">
        <v>566.80065023316399</v>
      </c>
      <c r="G98" s="517">
        <v>898.07877716975838</v>
      </c>
      <c r="H98" s="517">
        <v>568.7192730069246</v>
      </c>
      <c r="I98" s="517">
        <v>474.97241968299255</v>
      </c>
      <c r="J98" s="517">
        <v>530.19736756898271</v>
      </c>
      <c r="K98" s="517">
        <v>574.29439170761214</v>
      </c>
      <c r="L98" s="517">
        <v>479.03295254295307</v>
      </c>
      <c r="M98" s="517">
        <v>488.02905202739061</v>
      </c>
      <c r="N98" s="517">
        <v>540.53069432185032</v>
      </c>
      <c r="O98" s="517">
        <v>642.03973246881321</v>
      </c>
      <c r="P98" s="107">
        <f t="shared" si="7"/>
        <v>6848.4123874449897</v>
      </c>
      <c r="Q98" s="1"/>
      <c r="R98" s="208"/>
      <c r="S98" s="1"/>
      <c r="Y98" s="930"/>
    </row>
    <row r="99" spans="1:25">
      <c r="A99" s="1110">
        <f t="shared" si="5"/>
        <v>88</v>
      </c>
      <c r="B99" s="465">
        <v>9220</v>
      </c>
      <c r="C99" s="1" t="s">
        <v>964</v>
      </c>
      <c r="D99" s="123">
        <f>-('C.2.2-F 02'!D38+'C.2.2-F 12'!D34+'C.2.2-F 91'!D52)</f>
        <v>1113358.8281978024</v>
      </c>
      <c r="E99" s="123">
        <f>-('C.2.2-F 02'!E38+'C.2.2-F 12'!E34+'C.2.2-F 91'!E52)</f>
        <v>1294539.7924305424</v>
      </c>
      <c r="F99" s="123">
        <f>-('C.2.2-F 02'!F38+'C.2.2-F 12'!F34+'C.2.2-F 91'!F52)</f>
        <v>1028570.0518997214</v>
      </c>
      <c r="G99" s="123">
        <f>-('C.2.2-F 02'!G38+'C.2.2-F 12'!G34+'C.2.2-F 91'!G52)</f>
        <v>1130412.2090201944</v>
      </c>
      <c r="H99" s="123">
        <f>-('C.2.2-F 02'!H38+'C.2.2-F 12'!H34+'C.2.2-F 91'!H52)</f>
        <v>1142711.9478656414</v>
      </c>
      <c r="I99" s="123">
        <f>-('C.2.2-F 02'!I38+'C.2.2-F 12'!I34+'C.2.2-F 91'!I52)</f>
        <v>1147478.1477041971</v>
      </c>
      <c r="J99" s="123">
        <f>-('C.2.2-F 02'!J38+'C.2.2-F 12'!J34+'C.2.2-F 91'!J52)</f>
        <v>1224853.6225956643</v>
      </c>
      <c r="K99" s="123">
        <f>-('C.2.2-F 02'!K38+'C.2.2-F 12'!K34+'C.2.2-F 91'!K52)</f>
        <v>1138170.2775287186</v>
      </c>
      <c r="L99" s="123">
        <f>-('C.2.2-F 02'!L38+'C.2.2-F 12'!L34+'C.2.2-F 91'!L52)</f>
        <v>1099671.9445111228</v>
      </c>
      <c r="M99" s="123">
        <f>-('C.2.2-F 02'!M38+'C.2.2-F 12'!M34+'C.2.2-F 91'!M52)</f>
        <v>1264604.3405168098</v>
      </c>
      <c r="N99" s="123">
        <f>-('C.2.2-F 02'!N38+'C.2.2-F 12'!N34+'C.2.2-F 91'!N52)</f>
        <v>1121617.8220436457</v>
      </c>
      <c r="O99" s="123">
        <f>-('C.2.2-F 02'!O38+'C.2.2-F 12'!O34+'C.2.2-F 91'!O52)</f>
        <v>1319288.3423617939</v>
      </c>
      <c r="P99" s="107">
        <f>SUM(D99:O99)</f>
        <v>14025277.326675855</v>
      </c>
      <c r="Q99" s="768"/>
      <c r="R99" s="208"/>
      <c r="S99" s="1"/>
      <c r="Y99" s="930"/>
    </row>
    <row r="100" spans="1:25">
      <c r="A100" s="1110">
        <f t="shared" si="5"/>
        <v>89</v>
      </c>
      <c r="B100" s="465">
        <v>9230</v>
      </c>
      <c r="C100" s="1" t="s">
        <v>965</v>
      </c>
      <c r="D100" s="517">
        <v>15639.701142928685</v>
      </c>
      <c r="E100" s="517">
        <v>15638.689416147887</v>
      </c>
      <c r="F100" s="517">
        <v>15639.251747230424</v>
      </c>
      <c r="G100" s="517">
        <v>15637.908476596547</v>
      </c>
      <c r="H100" s="517">
        <v>15352.499896005793</v>
      </c>
      <c r="I100" s="517">
        <v>15354.214436103812</v>
      </c>
      <c r="J100" s="517">
        <v>15356.149753148897</v>
      </c>
      <c r="K100" s="517">
        <v>15351.039175670536</v>
      </c>
      <c r="L100" s="517">
        <v>15345.571293424473</v>
      </c>
      <c r="M100" s="517">
        <v>15869.712803195502</v>
      </c>
      <c r="N100" s="517">
        <v>15869.701074001288</v>
      </c>
      <c r="O100" s="517">
        <v>15869.809839119567</v>
      </c>
      <c r="P100" s="107">
        <f t="shared" si="7"/>
        <v>186924.24905357341</v>
      </c>
      <c r="Q100" s="1"/>
      <c r="R100" s="208"/>
      <c r="S100" s="1"/>
      <c r="Y100" s="930"/>
    </row>
    <row r="101" spans="1:25">
      <c r="A101" s="1110">
        <f t="shared" si="5"/>
        <v>90</v>
      </c>
      <c r="B101" s="465">
        <v>9240</v>
      </c>
      <c r="C101" s="1" t="s">
        <v>966</v>
      </c>
      <c r="D101" s="517">
        <v>679.37987320095499</v>
      </c>
      <c r="E101" s="517">
        <v>679.37987320095499</v>
      </c>
      <c r="F101" s="517">
        <v>679.37987320095499</v>
      </c>
      <c r="G101" s="517">
        <v>684.10435076146246</v>
      </c>
      <c r="H101" s="517">
        <v>679.37987320095499</v>
      </c>
      <c r="I101" s="517">
        <v>679.37987320095499</v>
      </c>
      <c r="J101" s="517">
        <v>679.37987320095499</v>
      </c>
      <c r="K101" s="517">
        <v>679.37987320095499</v>
      </c>
      <c r="L101" s="517">
        <v>679.37987320095499</v>
      </c>
      <c r="M101" s="517">
        <v>679.37987320095499</v>
      </c>
      <c r="N101" s="517">
        <v>679.37987320095499</v>
      </c>
      <c r="O101" s="517">
        <v>679.37987320095499</v>
      </c>
      <c r="P101" s="107">
        <f t="shared" si="7"/>
        <v>8157.2829559719648</v>
      </c>
      <c r="Q101" s="1"/>
      <c r="R101" s="208"/>
      <c r="S101" s="1"/>
      <c r="Y101" s="930"/>
    </row>
    <row r="102" spans="1:25">
      <c r="A102" s="1110">
        <f t="shared" si="5"/>
        <v>91</v>
      </c>
      <c r="B102" s="465">
        <v>9250</v>
      </c>
      <c r="C102" s="1" t="s">
        <v>967</v>
      </c>
      <c r="D102" s="517">
        <v>17883.824587989151</v>
      </c>
      <c r="E102" s="517">
        <v>17863.526823443746</v>
      </c>
      <c r="F102" s="517">
        <v>17875.294011001133</v>
      </c>
      <c r="G102" s="517">
        <v>17866.063115161276</v>
      </c>
      <c r="H102" s="517">
        <v>17721.496971626784</v>
      </c>
      <c r="I102" s="517">
        <v>17754.923547787432</v>
      </c>
      <c r="J102" s="517">
        <v>17793.911377920143</v>
      </c>
      <c r="K102" s="517">
        <v>17692.274816028887</v>
      </c>
      <c r="L102" s="517">
        <v>17584.392046939836</v>
      </c>
      <c r="M102" s="517">
        <v>18143.763163513468</v>
      </c>
      <c r="N102" s="517">
        <v>18142.728232620233</v>
      </c>
      <c r="O102" s="517">
        <v>18146.743311854563</v>
      </c>
      <c r="P102" s="107">
        <f t="shared" si="7"/>
        <v>214468.94200588667</v>
      </c>
      <c r="Q102" s="1"/>
      <c r="R102" s="208"/>
      <c r="S102" s="1"/>
      <c r="Y102" s="930"/>
    </row>
    <row r="103" spans="1:25">
      <c r="A103" s="1110">
        <f t="shared" si="5"/>
        <v>92</v>
      </c>
      <c r="B103" s="465">
        <v>9260</v>
      </c>
      <c r="C103" s="1" t="s">
        <v>968</v>
      </c>
      <c r="D103" s="517">
        <v>161470.44406617677</v>
      </c>
      <c r="E103" s="517">
        <v>154646.44383749049</v>
      </c>
      <c r="F103" s="517">
        <v>167602.18647844606</v>
      </c>
      <c r="G103" s="517">
        <v>161376.11666293329</v>
      </c>
      <c r="H103" s="517">
        <v>196555.77653682866</v>
      </c>
      <c r="I103" s="517">
        <v>189839.70837787975</v>
      </c>
      <c r="J103" s="517">
        <v>205946.06858549675</v>
      </c>
      <c r="K103" s="517">
        <v>188338.35420527452</v>
      </c>
      <c r="L103" s="517">
        <v>185448.82307264872</v>
      </c>
      <c r="M103" s="517">
        <v>199588.37384353636</v>
      </c>
      <c r="N103" s="517">
        <v>184515.05221163377</v>
      </c>
      <c r="O103" s="517">
        <v>192271.32735049695</v>
      </c>
      <c r="P103" s="107">
        <f t="shared" si="7"/>
        <v>2187598.6752288421</v>
      </c>
      <c r="Q103" s="1"/>
      <c r="R103" s="208"/>
      <c r="S103" s="1"/>
      <c r="Y103" s="930"/>
    </row>
    <row r="104" spans="1:25">
      <c r="A104" s="1110">
        <f t="shared" si="5"/>
        <v>93</v>
      </c>
      <c r="B104" s="465">
        <v>9270</v>
      </c>
      <c r="C104" s="1" t="s">
        <v>969</v>
      </c>
      <c r="D104" s="517">
        <v>6.8781297713498875</v>
      </c>
      <c r="E104" s="517">
        <v>6.8781297713498875</v>
      </c>
      <c r="F104" s="517">
        <v>6.8781297713498875</v>
      </c>
      <c r="G104" s="517">
        <v>6.9382007737197551</v>
      </c>
      <c r="H104" s="517">
        <v>6.8781297713498875</v>
      </c>
      <c r="I104" s="517">
        <v>6.8781297713498875</v>
      </c>
      <c r="J104" s="517">
        <v>6.8781297713498875</v>
      </c>
      <c r="K104" s="517">
        <v>6.8781297713498875</v>
      </c>
      <c r="L104" s="517">
        <v>6.8781297713498875</v>
      </c>
      <c r="M104" s="517">
        <v>6.8781297713498875</v>
      </c>
      <c r="N104" s="517">
        <v>6.8781297713498875</v>
      </c>
      <c r="O104" s="517">
        <v>6.8781297713498875</v>
      </c>
      <c r="P104" s="107">
        <f t="shared" si="7"/>
        <v>82.597628258568534</v>
      </c>
      <c r="Q104" s="1"/>
      <c r="R104" s="208"/>
      <c r="S104" s="1"/>
      <c r="Y104" s="930"/>
    </row>
    <row r="105" spans="1:25">
      <c r="A105" s="1110">
        <f t="shared" si="5"/>
        <v>94</v>
      </c>
      <c r="B105" s="465">
        <v>9280</v>
      </c>
      <c r="C105" s="1" t="s">
        <v>970</v>
      </c>
      <c r="D105" s="517">
        <v>929.43537915714057</v>
      </c>
      <c r="E105" s="517">
        <v>929.43537915714057</v>
      </c>
      <c r="F105" s="517">
        <v>929.43537915714057</v>
      </c>
      <c r="G105" s="517">
        <v>929.33027619157951</v>
      </c>
      <c r="H105" s="517">
        <v>911.73725018665618</v>
      </c>
      <c r="I105" s="517">
        <v>911.73725018665618</v>
      </c>
      <c r="J105" s="517">
        <v>911.73725018665618</v>
      </c>
      <c r="K105" s="517">
        <v>911.73725018665618</v>
      </c>
      <c r="L105" s="517">
        <v>911.73725018665618</v>
      </c>
      <c r="M105" s="517">
        <v>943.20216374564802</v>
      </c>
      <c r="N105" s="517">
        <v>943.20216374564802</v>
      </c>
      <c r="O105" s="517">
        <v>943.19744424458918</v>
      </c>
      <c r="P105" s="107">
        <f t="shared" si="7"/>
        <v>11105.924436332165</v>
      </c>
      <c r="Q105" s="1"/>
      <c r="R105" s="208"/>
      <c r="S105" s="1"/>
      <c r="Y105" s="930"/>
    </row>
    <row r="106" spans="1:25">
      <c r="A106" s="1110">
        <f t="shared" si="5"/>
        <v>95</v>
      </c>
      <c r="B106" s="465">
        <v>9302</v>
      </c>
      <c r="C106" s="1" t="s">
        <v>875</v>
      </c>
      <c r="D106" s="517">
        <v>869.94716653117905</v>
      </c>
      <c r="E106" s="517">
        <v>927.5575217594303</v>
      </c>
      <c r="F106" s="517">
        <v>1261.1585263505492</v>
      </c>
      <c r="G106" s="517">
        <v>6168.3104621632456</v>
      </c>
      <c r="H106" s="517">
        <v>809.18469804998574</v>
      </c>
      <c r="I106" s="517">
        <v>4083.3953419365744</v>
      </c>
      <c r="J106" s="517">
        <v>1065.6613466830836</v>
      </c>
      <c r="K106" s="517">
        <v>6016.8319710824844</v>
      </c>
      <c r="L106" s="517">
        <v>1563.643480575729</v>
      </c>
      <c r="M106" s="517">
        <v>934.92910160829513</v>
      </c>
      <c r="N106" s="517">
        <v>6292.9479262996174</v>
      </c>
      <c r="O106" s="517">
        <v>756.91569130588334</v>
      </c>
      <c r="P106" s="107">
        <f t="shared" si="7"/>
        <v>30750.483234346058</v>
      </c>
      <c r="Q106" s="1"/>
      <c r="R106" s="47"/>
      <c r="S106" s="1"/>
      <c r="Y106" s="930"/>
    </row>
    <row r="107" spans="1:25" s="1055" customFormat="1">
      <c r="A107" s="1110">
        <f t="shared" si="5"/>
        <v>96</v>
      </c>
      <c r="B107" s="1058">
        <v>9310</v>
      </c>
      <c r="C107" s="119" t="s">
        <v>189</v>
      </c>
      <c r="D107" s="517">
        <v>1024.8668661461077</v>
      </c>
      <c r="E107" s="517">
        <v>1025.0424780817561</v>
      </c>
      <c r="F107" s="517">
        <v>987.43957236102642</v>
      </c>
      <c r="G107" s="517">
        <v>1084.7426336651336</v>
      </c>
      <c r="H107" s="517">
        <v>1020.7838886422805</v>
      </c>
      <c r="I107" s="517">
        <v>1002.3665868911468</v>
      </c>
      <c r="J107" s="517">
        <v>1071.0308537297005</v>
      </c>
      <c r="K107" s="517">
        <v>1038.5426456347327</v>
      </c>
      <c r="L107" s="517">
        <v>1072.7430701022731</v>
      </c>
      <c r="M107" s="517">
        <v>990.11765437966562</v>
      </c>
      <c r="N107" s="517">
        <v>1038.2353247473477</v>
      </c>
      <c r="O107" s="517">
        <v>1043.4158768489779</v>
      </c>
      <c r="P107" s="107">
        <f t="shared" si="7"/>
        <v>12399.327451230149</v>
      </c>
      <c r="Q107" s="1"/>
      <c r="R107" s="47"/>
      <c r="S107" s="1"/>
      <c r="Y107" s="930"/>
    </row>
    <row r="108" spans="1:25">
      <c r="A108" s="1110">
        <f t="shared" si="5"/>
        <v>97</v>
      </c>
      <c r="B108" s="393">
        <v>9320</v>
      </c>
      <c r="C108" s="1055" t="s">
        <v>190</v>
      </c>
      <c r="D108" s="517">
        <v>40.715303594366155</v>
      </c>
      <c r="E108" s="517">
        <v>42.835892323239392</v>
      </c>
      <c r="F108" s="517">
        <v>59.539606618363969</v>
      </c>
      <c r="G108" s="517">
        <v>295.08807773320666</v>
      </c>
      <c r="H108" s="517">
        <v>36.14788171679303</v>
      </c>
      <c r="I108" s="517">
        <v>195.51828080211249</v>
      </c>
      <c r="J108" s="517">
        <v>50.176391769339062</v>
      </c>
      <c r="K108" s="517">
        <v>286.54047393374833</v>
      </c>
      <c r="L108" s="517">
        <v>73.829112206771327</v>
      </c>
      <c r="M108" s="517">
        <v>42.36610035868901</v>
      </c>
      <c r="N108" s="517">
        <v>301.8935363307906</v>
      </c>
      <c r="O108" s="517">
        <v>33.701048568093142</v>
      </c>
      <c r="P108" s="107">
        <f>SUM(D108:O108)</f>
        <v>1458.3517059555129</v>
      </c>
      <c r="Q108" s="1"/>
      <c r="R108" s="1"/>
      <c r="S108" s="1"/>
      <c r="Y108" s="930"/>
    </row>
    <row r="109" spans="1:25" ht="15.75" thickBot="1">
      <c r="A109" s="1110">
        <f t="shared" si="5"/>
        <v>98</v>
      </c>
      <c r="B109" s="1"/>
      <c r="C109" s="1" t="s">
        <v>751</v>
      </c>
      <c r="D109" s="153">
        <f t="shared" ref="D109:O109" si="9">SUM(D14:D108)</f>
        <v>-1561481.4287750896</v>
      </c>
      <c r="E109" s="153">
        <f t="shared" si="9"/>
        <v>-1160178.0310560218</v>
      </c>
      <c r="F109" s="153">
        <f t="shared" si="9"/>
        <v>-1413012.9522543948</v>
      </c>
      <c r="G109" s="153">
        <f t="shared" si="9"/>
        <v>-1285096.339919219</v>
      </c>
      <c r="H109" s="153">
        <f t="shared" si="9"/>
        <v>-1759323.1143631346</v>
      </c>
      <c r="I109" s="153">
        <f t="shared" si="9"/>
        <v>-3127998.715908308</v>
      </c>
      <c r="J109" s="153">
        <f t="shared" si="9"/>
        <v>-4540678.9213401675</v>
      </c>
      <c r="K109" s="153">
        <f t="shared" si="9"/>
        <v>-5395469.3265333576</v>
      </c>
      <c r="L109" s="153">
        <f t="shared" si="9"/>
        <v>-4956362.8252512272</v>
      </c>
      <c r="M109" s="153">
        <f t="shared" si="9"/>
        <v>-5048929.7107711537</v>
      </c>
      <c r="N109" s="153">
        <f t="shared" si="9"/>
        <v>-3031376.2352407402</v>
      </c>
      <c r="O109" s="153">
        <f t="shared" si="9"/>
        <v>-1770011.7533564013</v>
      </c>
      <c r="P109" s="153">
        <f>SUM(P12:P108)</f>
        <v>-24220764.360593818</v>
      </c>
      <c r="Q109" s="469"/>
      <c r="R109" s="1"/>
      <c r="S109" s="1"/>
      <c r="Y109" s="930"/>
    </row>
    <row r="110" spans="1:25" ht="15.75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7"/>
      <c r="P110" s="1"/>
      <c r="Q110" s="1"/>
      <c r="R110" s="1"/>
      <c r="S110" s="1"/>
    </row>
    <row r="111" spans="1:25">
      <c r="A111" s="1"/>
      <c r="B111" s="1"/>
      <c r="C111" s="1" t="s">
        <v>202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7"/>
      <c r="P111" s="1"/>
      <c r="Q111" s="1"/>
      <c r="R111" s="1"/>
      <c r="S111" s="1"/>
    </row>
    <row r="112" spans="1:25">
      <c r="A112" s="1"/>
      <c r="B112" s="1"/>
      <c r="C112" s="288" t="s">
        <v>1236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7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19"/>
      <c r="Q113" s="1"/>
      <c r="R113" s="1"/>
      <c r="S113" s="1"/>
    </row>
    <row r="114" spans="1:19">
      <c r="A114" s="1"/>
      <c r="B114" s="1"/>
      <c r="C114" s="1"/>
      <c r="P114" s="119"/>
      <c r="Q114" s="1"/>
      <c r="R114" s="1"/>
      <c r="S114" s="1"/>
    </row>
    <row r="115" spans="1:19">
      <c r="A115" s="1"/>
      <c r="B115" s="1" t="s">
        <v>972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 t="s">
        <v>1594</v>
      </c>
      <c r="C116" s="1"/>
      <c r="D116" s="68"/>
      <c r="E116" s="68"/>
      <c r="F116" s="68"/>
      <c r="G116" s="1"/>
      <c r="H116" s="1"/>
      <c r="I116" s="1"/>
      <c r="J116" s="1"/>
      <c r="K116" s="1"/>
      <c r="L116" s="1"/>
      <c r="M116" s="1"/>
      <c r="N116" s="1"/>
      <c r="O116" s="107"/>
      <c r="P116" s="107"/>
      <c r="Q116" s="107"/>
      <c r="R116" s="1"/>
      <c r="S116" s="1"/>
    </row>
    <row r="117" spans="1:19">
      <c r="A117" s="1"/>
      <c r="B117" s="1" t="s">
        <v>1596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7"/>
      <c r="Q117" s="1"/>
      <c r="R117" s="1"/>
      <c r="S117" s="1"/>
    </row>
    <row r="118" spans="1:19">
      <c r="A118" s="1"/>
      <c r="B118" s="1" t="s">
        <v>1445</v>
      </c>
      <c r="C118" s="1"/>
      <c r="E118" s="1055"/>
      <c r="F118" s="1055"/>
      <c r="G118" s="1055"/>
      <c r="H118" s="1055"/>
      <c r="I118" s="1055"/>
      <c r="J118" s="1055"/>
      <c r="K118" s="1055"/>
      <c r="L118" s="1055"/>
      <c r="M118" s="1055"/>
      <c r="N118" s="1055"/>
      <c r="O118" s="1055"/>
      <c r="P118" s="106"/>
      <c r="Q118" s="1"/>
      <c r="R118" s="1"/>
      <c r="S118" s="1"/>
    </row>
    <row r="119" spans="1:19">
      <c r="A119" s="1"/>
      <c r="B119" s="1"/>
      <c r="C119" s="1"/>
      <c r="E119" s="1055"/>
      <c r="F119" s="1055"/>
      <c r="G119" s="1055"/>
      <c r="H119" s="1055"/>
      <c r="I119" s="1055"/>
      <c r="J119" s="1055"/>
      <c r="K119" s="1055"/>
      <c r="L119" s="1055"/>
      <c r="M119" s="1055"/>
      <c r="N119" s="1055"/>
      <c r="O119" s="1055"/>
      <c r="P119" s="107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7"/>
      <c r="Q120" s="119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2"/>
      <c r="P121" s="107"/>
      <c r="Q121" s="119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2"/>
      <c r="P122" s="578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7"/>
      <c r="P123" s="107"/>
      <c r="Q123" s="107"/>
      <c r="R123" s="1"/>
      <c r="S123" s="1"/>
    </row>
    <row r="124" spans="1:19">
      <c r="P124" s="887"/>
      <c r="Q124" s="106"/>
    </row>
    <row r="125" spans="1:19">
      <c r="P125" s="975"/>
      <c r="Q125" s="106"/>
    </row>
    <row r="126" spans="1:19">
      <c r="C126" s="924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9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0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4" width="12.5546875" bestFit="1" customWidth="1"/>
    <col min="5" max="5" width="11.88671875" bestFit="1" customWidth="1"/>
    <col min="6" max="6" width="11.109375" customWidth="1"/>
    <col min="7" max="8" width="11.88671875" bestFit="1" customWidth="1"/>
    <col min="9" max="9" width="11.10937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</row>
    <row r="2" spans="1:18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</row>
    <row r="3" spans="1:18" ht="15.75">
      <c r="A3" s="1266" t="s">
        <v>191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</row>
    <row r="4" spans="1:18">
      <c r="A4" s="1266" t="str">
        <f>'Table of Contents'!A4:C4</f>
        <v>Forecasted Test Period: Twelve Months Ended May 31, 2017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"/>
    </row>
    <row r="5" spans="1:18">
      <c r="A5" s="1"/>
      <c r="B5" s="40"/>
      <c r="C5" s="40"/>
      <c r="D5" s="40"/>
      <c r="E5" s="40"/>
      <c r="F5" s="40"/>
      <c r="G5" s="272"/>
      <c r="H5" s="40"/>
      <c r="I5" s="40"/>
      <c r="J5" s="40"/>
      <c r="K5" s="40"/>
      <c r="L5" s="40"/>
      <c r="M5" s="40"/>
      <c r="N5" s="40"/>
      <c r="O5" s="205"/>
      <c r="P5" s="1"/>
      <c r="Q5" s="1"/>
    </row>
    <row r="6" spans="1:18" ht="15.75">
      <c r="A6" s="4" t="str">
        <f>'C.2.1 F'!A6</f>
        <v>Data:________Base Period___X____Forecasted Period</v>
      </c>
      <c r="B6" s="79"/>
      <c r="C6" s="4"/>
      <c r="D6" s="1"/>
      <c r="E6" s="1"/>
      <c r="F6" s="769"/>
      <c r="G6" s="1"/>
      <c r="H6" s="1"/>
      <c r="I6" s="1"/>
      <c r="J6" s="1"/>
      <c r="K6" s="1"/>
      <c r="L6" s="1"/>
      <c r="M6" s="1"/>
      <c r="N6" s="79"/>
      <c r="O6" s="107"/>
      <c r="P6" s="232" t="s">
        <v>1524</v>
      </c>
      <c r="Q6" s="1"/>
    </row>
    <row r="7" spans="1:18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0" t="s">
        <v>38</v>
      </c>
      <c r="Q7" s="1"/>
    </row>
    <row r="8" spans="1:18">
      <c r="A8" s="73" t="str">
        <f>'C.2.1 F'!A8</f>
        <v>Workpaper Reference No(s).____________________</v>
      </c>
      <c r="B8" s="460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0"/>
      <c r="O8" s="108"/>
      <c r="P8" s="671" t="str">
        <f>C.1!J9</f>
        <v>Witness: Waller, Smith</v>
      </c>
      <c r="Q8" s="1"/>
    </row>
    <row r="9" spans="1:18">
      <c r="A9" s="323" t="s">
        <v>98</v>
      </c>
      <c r="B9" s="85" t="s">
        <v>105</v>
      </c>
      <c r="C9" s="462"/>
      <c r="D9" s="470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2"/>
      <c r="Q9" s="1"/>
    </row>
    <row r="10" spans="1:18">
      <c r="A10" s="251" t="s">
        <v>104</v>
      </c>
      <c r="B10" s="45" t="s">
        <v>104</v>
      </c>
      <c r="C10" s="463" t="s">
        <v>971</v>
      </c>
      <c r="D10" s="447">
        <f>'C.2.2-F 09'!D10</f>
        <v>42551</v>
      </c>
      <c r="E10" s="447">
        <f>'C.2.2-F 09'!F10</f>
        <v>42613</v>
      </c>
      <c r="F10" s="447">
        <f>'C.2.2-F 09'!F10</f>
        <v>42613</v>
      </c>
      <c r="G10" s="447">
        <f>'C.2.2-F 09'!G10</f>
        <v>42643</v>
      </c>
      <c r="H10" s="447">
        <f>'C.2.2-F 09'!H10</f>
        <v>42674</v>
      </c>
      <c r="I10" s="447">
        <f>'C.2.2-F 09'!I10</f>
        <v>42704</v>
      </c>
      <c r="J10" s="447">
        <f>'C.2.2-F 09'!J10</f>
        <v>42735</v>
      </c>
      <c r="K10" s="447">
        <f>'C.2.2-F 09'!K10</f>
        <v>42766</v>
      </c>
      <c r="L10" s="447">
        <f>'C.2.2-F 09'!L10</f>
        <v>42794</v>
      </c>
      <c r="M10" s="447">
        <f>'C.2.2-F 09'!M10</f>
        <v>42825</v>
      </c>
      <c r="N10" s="447">
        <f>'C.2.2-F 09'!N10</f>
        <v>42855</v>
      </c>
      <c r="O10" s="447">
        <f>'C.2.2-F 09'!O10</f>
        <v>42886</v>
      </c>
      <c r="P10" s="473" t="str">
        <f>'C.2.2 B 09'!P10</f>
        <v>Total</v>
      </c>
      <c r="Q10" s="1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59" t="s">
        <v>151</v>
      </c>
      <c r="P11" s="2" t="s">
        <v>151</v>
      </c>
      <c r="Q11" s="1"/>
    </row>
    <row r="12" spans="1:18">
      <c r="A12" s="77">
        <v>1</v>
      </c>
      <c r="B12" s="465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33" si="0">SUM(D12:O12)</f>
        <v>0</v>
      </c>
      <c r="Q12" s="1"/>
    </row>
    <row r="13" spans="1:18">
      <c r="A13" s="77">
        <f>A12+1</f>
        <v>2</v>
      </c>
      <c r="B13" s="465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8">
      <c r="A14" s="1062">
        <f t="shared" ref="A14:A38" si="1">A13+1</f>
        <v>3</v>
      </c>
      <c r="B14" s="465">
        <v>8560</v>
      </c>
      <c r="C14" s="1" t="s">
        <v>928</v>
      </c>
      <c r="D14" s="779">
        <v>132.16457106038354</v>
      </c>
      <c r="E14" s="779">
        <v>128.57804441938214</v>
      </c>
      <c r="F14" s="779">
        <v>122.57113133721124</v>
      </c>
      <c r="G14" s="779">
        <v>148.16642130940477</v>
      </c>
      <c r="H14" s="779">
        <v>122.70147244400397</v>
      </c>
      <c r="I14" s="779">
        <v>122.27621174934953</v>
      </c>
      <c r="J14" s="779">
        <v>122.33347139157158</v>
      </c>
      <c r="K14" s="779">
        <v>122.66882089441779</v>
      </c>
      <c r="L14" s="779">
        <v>120.45679908069604</v>
      </c>
      <c r="M14" s="779">
        <v>128.61576091915487</v>
      </c>
      <c r="N14" s="779">
        <v>125.86613119083087</v>
      </c>
      <c r="O14" s="779">
        <v>131.17019475910803</v>
      </c>
      <c r="P14" s="1">
        <f t="shared" si="0"/>
        <v>1527.569030555514</v>
      </c>
      <c r="Q14" s="1"/>
      <c r="R14" s="1057"/>
    </row>
    <row r="15" spans="1:18">
      <c r="A15" s="1062">
        <f t="shared" si="1"/>
        <v>4</v>
      </c>
      <c r="B15" s="465">
        <v>8700</v>
      </c>
      <c r="C15" s="1" t="s">
        <v>932</v>
      </c>
      <c r="D15" s="779">
        <v>7216.8906544269248</v>
      </c>
      <c r="E15" s="779">
        <v>7055.8635746763384</v>
      </c>
      <c r="F15" s="779">
        <v>6750.4674277749673</v>
      </c>
      <c r="G15" s="779">
        <v>8021.6034841347855</v>
      </c>
      <c r="H15" s="779">
        <v>6767.7717112449045</v>
      </c>
      <c r="I15" s="779">
        <v>6716.7369224319154</v>
      </c>
      <c r="J15" s="779">
        <v>6770.8514004229164</v>
      </c>
      <c r="K15" s="779">
        <v>6730.0784682785779</v>
      </c>
      <c r="L15" s="779">
        <v>6615.5659499841831</v>
      </c>
      <c r="M15" s="779">
        <v>7095.454075983901</v>
      </c>
      <c r="N15" s="779">
        <v>6893.9913049190009</v>
      </c>
      <c r="O15" s="779">
        <v>7182.37116115547</v>
      </c>
      <c r="P15" s="1">
        <f t="shared" si="0"/>
        <v>83817.646135433897</v>
      </c>
      <c r="Q15" s="1"/>
      <c r="R15" s="1057"/>
    </row>
    <row r="16" spans="1:18">
      <c r="A16" s="1062">
        <f t="shared" si="1"/>
        <v>5</v>
      </c>
      <c r="B16" s="465">
        <v>8740</v>
      </c>
      <c r="C16" s="1" t="s">
        <v>934</v>
      </c>
      <c r="D16" s="779">
        <v>9675.9005190454009</v>
      </c>
      <c r="E16" s="779">
        <v>9675.9005190454009</v>
      </c>
      <c r="F16" s="779">
        <v>11379.85411929994</v>
      </c>
      <c r="G16" s="779">
        <v>9686.12424064693</v>
      </c>
      <c r="H16" s="779">
        <v>15469.342759910836</v>
      </c>
      <c r="I16" s="779">
        <v>10016.69123909631</v>
      </c>
      <c r="J16" s="779">
        <v>9675.9005190454009</v>
      </c>
      <c r="K16" s="779">
        <v>9846.2958790708544</v>
      </c>
      <c r="L16" s="779">
        <v>9675.9005190454009</v>
      </c>
      <c r="M16" s="779">
        <v>11919.155433780505</v>
      </c>
      <c r="N16" s="779">
        <v>9965.5726310886748</v>
      </c>
      <c r="O16" s="779">
        <v>9675.9005190454009</v>
      </c>
      <c r="P16" s="1">
        <f t="shared" si="0"/>
        <v>126662.53889812106</v>
      </c>
      <c r="Q16" s="1"/>
    </row>
    <row r="17" spans="1:18" s="1055" customFormat="1">
      <c r="A17" s="1062">
        <f t="shared" si="1"/>
        <v>6</v>
      </c>
      <c r="B17" s="397">
        <v>8780</v>
      </c>
      <c r="C17" s="203" t="s">
        <v>938</v>
      </c>
      <c r="D17" s="779">
        <v>-191.26525189209588</v>
      </c>
      <c r="E17" s="779">
        <v>-182.5836009721601</v>
      </c>
      <c r="F17" s="779">
        <v>-199.94690012243532</v>
      </c>
      <c r="G17" s="779">
        <v>-191.26525189209588</v>
      </c>
      <c r="H17" s="779">
        <v>-197.00320944885877</v>
      </c>
      <c r="I17" s="779">
        <v>-188.06110900132489</v>
      </c>
      <c r="J17" s="779">
        <v>-205.94530712610836</v>
      </c>
      <c r="K17" s="779">
        <v>-188.06110900132489</v>
      </c>
      <c r="L17" s="779">
        <v>-188.06110900132489</v>
      </c>
      <c r="M17" s="779">
        <v>-205.94530712610836</v>
      </c>
      <c r="N17" s="779">
        <v>-188.06110900132489</v>
      </c>
      <c r="O17" s="779">
        <v>-197.00320944885877</v>
      </c>
      <c r="P17" s="1">
        <f t="shared" si="0"/>
        <v>-2323.2024740340212</v>
      </c>
      <c r="Q17" s="1"/>
    </row>
    <row r="18" spans="1:18">
      <c r="A18" s="1062">
        <f t="shared" si="1"/>
        <v>7</v>
      </c>
      <c r="B18" s="465">
        <v>8800</v>
      </c>
      <c r="C18" s="1" t="s">
        <v>940</v>
      </c>
      <c r="D18" s="779">
        <v>126.84081980758423</v>
      </c>
      <c r="E18" s="779">
        <v>127.45403196283867</v>
      </c>
      <c r="F18" s="779">
        <v>128.51904954129412</v>
      </c>
      <c r="G18" s="779">
        <v>126.50642477748072</v>
      </c>
      <c r="H18" s="779">
        <v>128.00565495706439</v>
      </c>
      <c r="I18" s="779">
        <v>126.77645120510485</v>
      </c>
      <c r="J18" s="779">
        <v>127.27927466961505</v>
      </c>
      <c r="K18" s="779">
        <v>127.52789267664555</v>
      </c>
      <c r="L18" s="779">
        <v>127.46308027125565</v>
      </c>
      <c r="M18" s="779">
        <v>126.75908171286471</v>
      </c>
      <c r="N18" s="779">
        <v>127.59860156496104</v>
      </c>
      <c r="O18" s="779">
        <v>127.33107697061385</v>
      </c>
      <c r="P18" s="1">
        <f t="shared" si="0"/>
        <v>1528.0614401173227</v>
      </c>
      <c r="Q18" s="1"/>
    </row>
    <row r="19" spans="1:18">
      <c r="A19" s="1062">
        <f t="shared" si="1"/>
        <v>8</v>
      </c>
      <c r="B19" s="465">
        <v>9010</v>
      </c>
      <c r="C19" s="1" t="s">
        <v>186</v>
      </c>
      <c r="D19" s="779">
        <v>1818.0497803416488</v>
      </c>
      <c r="E19" s="779">
        <v>1818.024815922169</v>
      </c>
      <c r="F19" s="779">
        <v>1822.2808904361641</v>
      </c>
      <c r="G19" s="779">
        <v>1842.9624528821466</v>
      </c>
      <c r="H19" s="779">
        <v>1816.0056321022</v>
      </c>
      <c r="I19" s="779">
        <v>1798.6389711831266</v>
      </c>
      <c r="J19" s="779">
        <v>1806.4707035416932</v>
      </c>
      <c r="K19" s="779">
        <v>1806.890193833412</v>
      </c>
      <c r="L19" s="779">
        <v>1803.8278839385414</v>
      </c>
      <c r="M19" s="779">
        <v>1811.3668513518169</v>
      </c>
      <c r="N19" s="779">
        <v>1815.5866514246984</v>
      </c>
      <c r="O19" s="779">
        <v>1822.557889472728</v>
      </c>
      <c r="P19" s="1">
        <f t="shared" si="0"/>
        <v>21782.66271643035</v>
      </c>
      <c r="Q19" s="1"/>
    </row>
    <row r="20" spans="1:18">
      <c r="A20" s="1062">
        <f t="shared" si="1"/>
        <v>9</v>
      </c>
      <c r="B20" s="465">
        <v>9030</v>
      </c>
      <c r="C20" s="1" t="s">
        <v>956</v>
      </c>
      <c r="D20" s="779">
        <v>4211.7229458956299</v>
      </c>
      <c r="E20" s="779">
        <v>4020.5501739151878</v>
      </c>
      <c r="F20" s="779">
        <v>4402.8956586502864</v>
      </c>
      <c r="G20" s="779">
        <v>4211.7229458956299</v>
      </c>
      <c r="H20" s="779">
        <v>4338.0746342724988</v>
      </c>
      <c r="I20" s="779">
        <v>4141.1666791326425</v>
      </c>
      <c r="J20" s="779">
        <v>4534.9825284097951</v>
      </c>
      <c r="K20" s="779">
        <v>4141.1666791326425</v>
      </c>
      <c r="L20" s="779">
        <v>4141.1666791326425</v>
      </c>
      <c r="M20" s="779">
        <v>4534.9825284097951</v>
      </c>
      <c r="N20" s="779">
        <v>4141.1666791326425</v>
      </c>
      <c r="O20" s="779">
        <v>4338.0746342724988</v>
      </c>
      <c r="P20" s="1">
        <f t="shared" si="0"/>
        <v>51157.67276625189</v>
      </c>
      <c r="Q20" s="1"/>
    </row>
    <row r="21" spans="1:18">
      <c r="A21" s="1062">
        <f t="shared" si="1"/>
        <v>10</v>
      </c>
      <c r="B21" s="465">
        <v>9100</v>
      </c>
      <c r="C21" s="1" t="s">
        <v>959</v>
      </c>
      <c r="D21" s="779">
        <v>99.49532016433615</v>
      </c>
      <c r="E21" s="779">
        <v>99.977539127534172</v>
      </c>
      <c r="F21" s="779">
        <v>100.82474587741339</v>
      </c>
      <c r="G21" s="779">
        <v>99.217349333420003</v>
      </c>
      <c r="H21" s="779">
        <v>100.42954386998044</v>
      </c>
      <c r="I21" s="779">
        <v>99.43368315400258</v>
      </c>
      <c r="J21" s="779">
        <v>99.796253803023646</v>
      </c>
      <c r="K21" s="779">
        <v>99.915902117200588</v>
      </c>
      <c r="L21" s="779">
        <v>99.978747696364238</v>
      </c>
      <c r="M21" s="779">
        <v>99.374463281329128</v>
      </c>
      <c r="N21" s="779">
        <v>100.09839601054119</v>
      </c>
      <c r="O21" s="779">
        <v>99.857890813357216</v>
      </c>
      <c r="P21" s="1">
        <f t="shared" si="0"/>
        <v>1198.3998352485028</v>
      </c>
      <c r="Q21" s="1"/>
    </row>
    <row r="22" spans="1:18">
      <c r="A22" s="1062">
        <f t="shared" si="1"/>
        <v>11</v>
      </c>
      <c r="B22" s="465">
        <v>9120</v>
      </c>
      <c r="C22" s="130" t="s">
        <v>1246</v>
      </c>
      <c r="D22" s="779">
        <v>372.2828968525655</v>
      </c>
      <c r="E22" s="779">
        <v>448.60254793405056</v>
      </c>
      <c r="F22" s="779">
        <v>372.2828968525655</v>
      </c>
      <c r="G22" s="779">
        <v>419.17369047702994</v>
      </c>
      <c r="H22" s="779">
        <v>485.23598045316345</v>
      </c>
      <c r="I22" s="779">
        <v>408.91632937167833</v>
      </c>
      <c r="J22" s="779">
        <v>372.2828968525655</v>
      </c>
      <c r="K22" s="779">
        <v>469.53593794497226</v>
      </c>
      <c r="L22" s="779">
        <v>372.2828968525655</v>
      </c>
      <c r="M22" s="779">
        <v>419.38302437713912</v>
      </c>
      <c r="N22" s="779">
        <v>448.60254793405056</v>
      </c>
      <c r="O22" s="779">
        <v>372.2828968525655</v>
      </c>
      <c r="P22" s="1">
        <f t="shared" si="0"/>
        <v>4960.8645427549118</v>
      </c>
      <c r="Q22" s="1"/>
    </row>
    <row r="23" spans="1:18">
      <c r="A23" s="1062">
        <f t="shared" si="1"/>
        <v>12</v>
      </c>
      <c r="B23" s="465">
        <v>9200</v>
      </c>
      <c r="C23" s="107" t="s">
        <v>187</v>
      </c>
      <c r="D23" s="779">
        <v>-1563167.9948953441</v>
      </c>
      <c r="E23" s="779">
        <v>-1418855.495537546</v>
      </c>
      <c r="F23" s="779">
        <v>-1502303.3326061424</v>
      </c>
      <c r="G23" s="779">
        <v>-1381389.4047113564</v>
      </c>
      <c r="H23" s="779">
        <v>-1113131.415870429</v>
      </c>
      <c r="I23" s="779">
        <v>-1604202.8337430083</v>
      </c>
      <c r="J23" s="779">
        <v>-1072153.9599500997</v>
      </c>
      <c r="K23" s="779">
        <v>-2153521.2836347488</v>
      </c>
      <c r="L23" s="779">
        <v>-2615834.8709771438</v>
      </c>
      <c r="M23" s="779">
        <v>-1727269.2672888995</v>
      </c>
      <c r="N23" s="779">
        <v>-1578855.6242461004</v>
      </c>
      <c r="O23" s="779">
        <v>-1513394.6791848508</v>
      </c>
      <c r="P23" s="1">
        <f t="shared" si="0"/>
        <v>-19244080.162645668</v>
      </c>
      <c r="Q23" s="1"/>
    </row>
    <row r="24" spans="1:18">
      <c r="A24" s="1062">
        <f t="shared" si="1"/>
        <v>13</v>
      </c>
      <c r="B24" s="465">
        <v>9210</v>
      </c>
      <c r="C24" s="107" t="s">
        <v>963</v>
      </c>
      <c r="D24" s="779">
        <v>2086488.3420470534</v>
      </c>
      <c r="E24" s="779">
        <v>2231429.8846325148</v>
      </c>
      <c r="F24" s="779">
        <v>2018341.3572829941</v>
      </c>
      <c r="G24" s="779">
        <v>2105913.7120127808</v>
      </c>
      <c r="H24" s="779">
        <v>2380748.2612314536</v>
      </c>
      <c r="I24" s="779">
        <v>2078660.7962752618</v>
      </c>
      <c r="J24" s="779">
        <v>2124420.4122857205</v>
      </c>
      <c r="K24" s="779">
        <v>2078153.2489235678</v>
      </c>
      <c r="L24" s="779">
        <v>2006137.509979483</v>
      </c>
      <c r="M24" s="779">
        <v>2112071.8700334895</v>
      </c>
      <c r="N24" s="779">
        <v>2132957.8868935467</v>
      </c>
      <c r="O24" s="779">
        <v>2115903.5512137339</v>
      </c>
      <c r="P24" s="1">
        <f t="shared" si="0"/>
        <v>25471226.832811601</v>
      </c>
      <c r="Q24" s="1"/>
    </row>
    <row r="25" spans="1:18">
      <c r="A25" s="1062">
        <f t="shared" si="1"/>
        <v>14</v>
      </c>
      <c r="B25" s="465">
        <v>9220</v>
      </c>
      <c r="C25" s="107" t="s">
        <v>964</v>
      </c>
      <c r="D25" s="123">
        <f t="shared" ref="D25:O25" si="2">-(SUM(D12:D24,D26:D33))</f>
        <v>-7486804.9486666713</v>
      </c>
      <c r="E25" s="123">
        <f t="shared" si="2"/>
        <v>-9963320.678666668</v>
      </c>
      <c r="F25" s="123">
        <f t="shared" si="2"/>
        <v>-6079583.1486666678</v>
      </c>
      <c r="G25" s="123">
        <f t="shared" si="2"/>
        <v>-6442296.2500000028</v>
      </c>
      <c r="H25" s="123">
        <f t="shared" si="2"/>
        <v>-8026694.0618209988</v>
      </c>
      <c r="I25" s="123">
        <f t="shared" si="2"/>
        <v>-7554507.1850877581</v>
      </c>
      <c r="J25" s="123">
        <f t="shared" si="2"/>
        <v>-8481619.9679676481</v>
      </c>
      <c r="K25" s="123">
        <f t="shared" si="2"/>
        <v>-7220368.4617544236</v>
      </c>
      <c r="L25" s="123">
        <f t="shared" si="2"/>
        <v>-6483397.5117544243</v>
      </c>
      <c r="M25" s="123">
        <f t="shared" si="2"/>
        <v>-9320613.0846343152</v>
      </c>
      <c r="N25" s="123">
        <f t="shared" si="2"/>
        <v>-7356817.9750877582</v>
      </c>
      <c r="O25" s="123">
        <f t="shared" si="2"/>
        <v>-10168519.701821003</v>
      </c>
      <c r="P25" s="1">
        <f t="shared" si="0"/>
        <v>-94584542.975928336</v>
      </c>
      <c r="Q25" s="1"/>
    </row>
    <row r="26" spans="1:18">
      <c r="A26" s="1062">
        <f t="shared" si="1"/>
        <v>15</v>
      </c>
      <c r="B26" s="465">
        <v>9230</v>
      </c>
      <c r="C26" s="107" t="s">
        <v>965</v>
      </c>
      <c r="D26" s="779">
        <v>732163.27547375811</v>
      </c>
      <c r="E26" s="779">
        <v>712664.65549175325</v>
      </c>
      <c r="F26" s="779">
        <v>709032.69995414885</v>
      </c>
      <c r="G26" s="779">
        <v>764731.16092301405</v>
      </c>
      <c r="H26" s="779">
        <v>715272.8963810174</v>
      </c>
      <c r="I26" s="779">
        <v>720222.0182598806</v>
      </c>
      <c r="J26" s="779">
        <v>718597.5701347359</v>
      </c>
      <c r="K26" s="779">
        <v>751307.12012409198</v>
      </c>
      <c r="L26" s="779">
        <v>725693.5811876629</v>
      </c>
      <c r="M26" s="779">
        <v>797086.51095084543</v>
      </c>
      <c r="N26" s="779">
        <v>721253.46122361382</v>
      </c>
      <c r="O26" s="779">
        <v>704910.787809656</v>
      </c>
      <c r="P26" s="1">
        <f t="shared" si="0"/>
        <v>8772935.7379141785</v>
      </c>
      <c r="Q26" s="1"/>
    </row>
    <row r="27" spans="1:18">
      <c r="A27" s="1062">
        <f t="shared" si="1"/>
        <v>16</v>
      </c>
      <c r="B27" s="465">
        <v>9240</v>
      </c>
      <c r="C27" s="107" t="s">
        <v>966</v>
      </c>
      <c r="D27" s="779">
        <v>14998.105606115321</v>
      </c>
      <c r="E27" s="779">
        <v>14998.197054553224</v>
      </c>
      <c r="F27" s="779">
        <v>14998.357719603273</v>
      </c>
      <c r="G27" s="779">
        <v>14998.052891476931</v>
      </c>
      <c r="H27" s="779">
        <v>14784.389220745794</v>
      </c>
      <c r="I27" s="779">
        <v>14983.287925004443</v>
      </c>
      <c r="J27" s="779">
        <v>14983.35668322843</v>
      </c>
      <c r="K27" s="779">
        <v>14983.379373442345</v>
      </c>
      <c r="L27" s="779">
        <v>14983.391291534504</v>
      </c>
      <c r="M27" s="779">
        <v>14998.091452836521</v>
      </c>
      <c r="N27" s="779">
        <v>14998.228740090415</v>
      </c>
      <c r="O27" s="779">
        <v>14998.174364339307</v>
      </c>
      <c r="P27" s="1">
        <f t="shared" si="0"/>
        <v>179705.01232297049</v>
      </c>
      <c r="Q27" s="1"/>
    </row>
    <row r="28" spans="1:18">
      <c r="A28" s="1062">
        <f t="shared" si="1"/>
        <v>17</v>
      </c>
      <c r="B28" s="465">
        <v>9250</v>
      </c>
      <c r="C28" s="107" t="s">
        <v>967</v>
      </c>
      <c r="D28" s="779">
        <v>1730115.1909082762</v>
      </c>
      <c r="E28" s="779">
        <v>1728508.5105059722</v>
      </c>
      <c r="F28" s="779">
        <v>1731721.8681503912</v>
      </c>
      <c r="G28" s="779">
        <v>1730115.075992306</v>
      </c>
      <c r="H28" s="779">
        <v>1708578.7463751642</v>
      </c>
      <c r="I28" s="779">
        <v>1729320.522555508</v>
      </c>
      <c r="J28" s="779">
        <v>1732860.4464618608</v>
      </c>
      <c r="K28" s="779">
        <v>1729320.522555508</v>
      </c>
      <c r="L28" s="779">
        <v>1729320.522555508</v>
      </c>
      <c r="M28" s="779">
        <v>1734535.6187532174</v>
      </c>
      <c r="N28" s="779">
        <v>1730995.6948468643</v>
      </c>
      <c r="O28" s="779">
        <v>1732764.6658480023</v>
      </c>
      <c r="P28" s="1">
        <f t="shared" si="0"/>
        <v>20748157.385508578</v>
      </c>
      <c r="Q28" s="1"/>
      <c r="R28" s="1057"/>
    </row>
    <row r="29" spans="1:18">
      <c r="A29" s="1062">
        <f t="shared" si="1"/>
        <v>18</v>
      </c>
      <c r="B29" s="465">
        <v>9260</v>
      </c>
      <c r="C29" s="107" t="s">
        <v>968</v>
      </c>
      <c r="D29" s="779">
        <v>3485879.9343476645</v>
      </c>
      <c r="E29" s="779">
        <v>5928259.6243314957</v>
      </c>
      <c r="F29" s="779">
        <v>2353030.7579612467</v>
      </c>
      <c r="G29" s="779">
        <v>2296595.0180259594</v>
      </c>
      <c r="H29" s="779">
        <v>3453315.8911714414</v>
      </c>
      <c r="I29" s="779">
        <v>3785974.2146605998</v>
      </c>
      <c r="J29" s="779">
        <v>3886432.7232955699</v>
      </c>
      <c r="K29" s="779">
        <v>3896104.3458581162</v>
      </c>
      <c r="L29" s="779">
        <v>3727523.6839183467</v>
      </c>
      <c r="M29" s="779">
        <v>3774699.0737242443</v>
      </c>
      <c r="N29" s="779">
        <v>3525492.6206097817</v>
      </c>
      <c r="O29" s="779">
        <v>6348612.2170442333</v>
      </c>
      <c r="P29" s="1">
        <f t="shared" si="0"/>
        <v>46461920.104948699</v>
      </c>
      <c r="Q29" s="1"/>
    </row>
    <row r="30" spans="1:18">
      <c r="A30" s="1062">
        <f t="shared" si="1"/>
        <v>19</v>
      </c>
      <c r="B30" s="465">
        <v>9301</v>
      </c>
      <c r="C30" s="1" t="s">
        <v>188</v>
      </c>
      <c r="D30" s="779">
        <v>7926.284315533243</v>
      </c>
      <c r="E30" s="779">
        <v>3548.7936389221204</v>
      </c>
      <c r="F30" s="779">
        <v>3489.8730052817768</v>
      </c>
      <c r="G30" s="779">
        <v>6268.878131517019</v>
      </c>
      <c r="H30" s="779">
        <v>4444.7359990364439</v>
      </c>
      <c r="I30" s="779">
        <v>4209.3259088353061</v>
      </c>
      <c r="J30" s="779">
        <v>9286.3265618306923</v>
      </c>
      <c r="K30" s="779">
        <v>6155.1780185119169</v>
      </c>
      <c r="L30" s="779">
        <v>6081.6180412482327</v>
      </c>
      <c r="M30" s="779">
        <v>37417.986726004186</v>
      </c>
      <c r="N30" s="779">
        <v>4409.4998617792717</v>
      </c>
      <c r="O30" s="779">
        <v>3431.7515417647919</v>
      </c>
      <c r="P30" s="1">
        <f t="shared" si="0"/>
        <v>96670.251750265015</v>
      </c>
      <c r="Q30" s="1"/>
    </row>
    <row r="31" spans="1:18">
      <c r="A31" s="1062">
        <f t="shared" si="1"/>
        <v>20</v>
      </c>
      <c r="B31" s="465">
        <v>9302</v>
      </c>
      <c r="C31" s="1" t="s">
        <v>875</v>
      </c>
      <c r="D31" s="779">
        <v>467404.43847963848</v>
      </c>
      <c r="E31" s="779">
        <v>238435.33769795415</v>
      </c>
      <c r="F31" s="779">
        <v>225788.66482440705</v>
      </c>
      <c r="G31" s="779">
        <v>378833.93787755026</v>
      </c>
      <c r="H31" s="779">
        <v>291416.11199540284</v>
      </c>
      <c r="I31" s="779">
        <v>268744.94624794909</v>
      </c>
      <c r="J31" s="779">
        <v>540582.17082217766</v>
      </c>
      <c r="K31" s="779">
        <v>373503.55196243984</v>
      </c>
      <c r="L31" s="779">
        <v>366998.30544584792</v>
      </c>
      <c r="M31" s="779">
        <v>2049451.1946149117</v>
      </c>
      <c r="N31" s="779">
        <v>278994.80887552002</v>
      </c>
      <c r="O31" s="779">
        <v>233687.61260510801</v>
      </c>
      <c r="P31" s="1">
        <f t="shared" si="0"/>
        <v>5713841.081448907</v>
      </c>
      <c r="Q31" s="1"/>
    </row>
    <row r="32" spans="1:18">
      <c r="A32" s="1062">
        <f t="shared" si="1"/>
        <v>21</v>
      </c>
      <c r="B32" s="465">
        <v>9310</v>
      </c>
      <c r="C32" s="1" t="s">
        <v>189</v>
      </c>
      <c r="D32" s="779">
        <v>440989.17574833584</v>
      </c>
      <c r="E32" s="779">
        <v>440763.81134045339</v>
      </c>
      <c r="F32" s="779">
        <v>440738.71351195435</v>
      </c>
      <c r="G32" s="779">
        <v>441295.50500772143</v>
      </c>
      <c r="H32" s="779">
        <v>472809.36389307916</v>
      </c>
      <c r="I32" s="779">
        <v>472415.08858076163</v>
      </c>
      <c r="J32" s="779">
        <v>440956.26265308785</v>
      </c>
      <c r="K32" s="779">
        <v>441146.69953790621</v>
      </c>
      <c r="L32" s="779">
        <v>440844.82376788132</v>
      </c>
      <c r="M32" s="779">
        <v>441580.85524831305</v>
      </c>
      <c r="N32" s="779">
        <v>440968.12986385718</v>
      </c>
      <c r="O32" s="779">
        <v>444791.31283322925</v>
      </c>
      <c r="P32" s="1">
        <f t="shared" si="0"/>
        <v>5359299.7419865811</v>
      </c>
      <c r="Q32" s="1"/>
    </row>
    <row r="33" spans="1:17">
      <c r="A33" s="1062">
        <f t="shared" si="1"/>
        <v>22</v>
      </c>
      <c r="B33" s="465">
        <v>9320</v>
      </c>
      <c r="C33" s="1" t="s">
        <v>190</v>
      </c>
      <c r="D33" s="779">
        <v>60546.114379937731</v>
      </c>
      <c r="E33" s="779">
        <v>60374.991864564574</v>
      </c>
      <c r="F33" s="779">
        <v>59864.439843136322</v>
      </c>
      <c r="G33" s="779">
        <v>60570.102091467561</v>
      </c>
      <c r="H33" s="779">
        <v>69424.51724428068</v>
      </c>
      <c r="I33" s="779">
        <v>60937.243038643341</v>
      </c>
      <c r="J33" s="779">
        <v>62350.707278524991</v>
      </c>
      <c r="K33" s="779">
        <v>60059.680370641057</v>
      </c>
      <c r="L33" s="779">
        <v>58880.365097055837</v>
      </c>
      <c r="M33" s="779">
        <v>60112.004506662801</v>
      </c>
      <c r="N33" s="779">
        <v>62172.846584541025</v>
      </c>
      <c r="O33" s="779">
        <v>59261.764691894386</v>
      </c>
      <c r="P33" s="1">
        <f t="shared" si="0"/>
        <v>734554.77699135034</v>
      </c>
      <c r="Q33" s="1"/>
    </row>
    <row r="34" spans="1:17" ht="15.75" thickBot="1">
      <c r="A34" s="1062">
        <f t="shared" si="1"/>
        <v>23</v>
      </c>
      <c r="B34" s="1" t="s">
        <v>751</v>
      </c>
      <c r="C34" s="1"/>
      <c r="D34" s="153">
        <f t="shared" ref="D34:P34" si="3">SUM(D12:D33)</f>
        <v>1.1350493878126144E-9</v>
      </c>
      <c r="E34" s="153">
        <f t="shared" si="3"/>
        <v>1.0841176845133305E-9</v>
      </c>
      <c r="F34" s="153">
        <f t="shared" si="3"/>
        <v>8.440110832452774E-10</v>
      </c>
      <c r="G34" s="153">
        <f t="shared" si="3"/>
        <v>-6.6938810050487518E-10</v>
      </c>
      <c r="H34" s="153">
        <f t="shared" si="3"/>
        <v>0</v>
      </c>
      <c r="I34" s="153">
        <f t="shared" si="3"/>
        <v>-2.1827872842550278E-10</v>
      </c>
      <c r="J34" s="153">
        <f t="shared" si="3"/>
        <v>-9.3132257461547852E-10</v>
      </c>
      <c r="K34" s="153">
        <f t="shared" si="3"/>
        <v>6.4028427004814148E-10</v>
      </c>
      <c r="L34" s="153">
        <f t="shared" si="3"/>
        <v>1.0186340659856796E-10</v>
      </c>
      <c r="M34" s="153">
        <f t="shared" si="3"/>
        <v>1.964508555829525E-10</v>
      </c>
      <c r="N34" s="153">
        <f t="shared" si="3"/>
        <v>0</v>
      </c>
      <c r="O34" s="153">
        <f t="shared" si="3"/>
        <v>-1.7680577002465725E-9</v>
      </c>
      <c r="P34" s="153">
        <f t="shared" si="3"/>
        <v>1.9324943423271179E-8</v>
      </c>
      <c r="Q34" s="1"/>
    </row>
    <row r="35" spans="1:17" ht="15.75" thickTop="1">
      <c r="A35" s="1062">
        <f t="shared" si="1"/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7"/>
      <c r="P35" s="1"/>
      <c r="Q35" s="1"/>
    </row>
    <row r="36" spans="1:17">
      <c r="A36" s="1062">
        <f t="shared" si="1"/>
        <v>25</v>
      </c>
      <c r="B36" s="465">
        <f t="shared" ref="B36:O36" si="4">B25</f>
        <v>9220</v>
      </c>
      <c r="C36" s="1" t="str">
        <f t="shared" si="4"/>
        <v>A&amp;G-Administrative expense transferred-Credit</v>
      </c>
      <c r="D36" s="1">
        <f t="shared" si="4"/>
        <v>-7486804.9486666713</v>
      </c>
      <c r="E36" s="1">
        <f t="shared" si="4"/>
        <v>-9963320.678666668</v>
      </c>
      <c r="F36" s="1">
        <f t="shared" si="4"/>
        <v>-6079583.1486666678</v>
      </c>
      <c r="G36" s="1">
        <f t="shared" si="4"/>
        <v>-6442296.2500000028</v>
      </c>
      <c r="H36" s="1">
        <f t="shared" si="4"/>
        <v>-8026694.0618209988</v>
      </c>
      <c r="I36" s="1">
        <f t="shared" si="4"/>
        <v>-7554507.1850877581</v>
      </c>
      <c r="J36" s="1">
        <f t="shared" si="4"/>
        <v>-8481619.9679676481</v>
      </c>
      <c r="K36" s="1">
        <f t="shared" si="4"/>
        <v>-7220368.4617544236</v>
      </c>
      <c r="L36" s="1">
        <f t="shared" si="4"/>
        <v>-6483397.5117544243</v>
      </c>
      <c r="M36" s="1">
        <f t="shared" si="4"/>
        <v>-9320613.0846343152</v>
      </c>
      <c r="N36" s="1">
        <f t="shared" si="4"/>
        <v>-7356817.9750877582</v>
      </c>
      <c r="O36" s="1">
        <f t="shared" si="4"/>
        <v>-10168519.701821003</v>
      </c>
      <c r="P36" s="1"/>
      <c r="Q36" s="1"/>
    </row>
    <row r="37" spans="1:17">
      <c r="A37" s="1062">
        <f t="shared" si="1"/>
        <v>26</v>
      </c>
      <c r="B37" s="1"/>
      <c r="C37" s="1" t="s">
        <v>200</v>
      </c>
      <c r="D37" s="214">
        <f>Allocation!$E$14</f>
        <v>5.2575879716356848E-2</v>
      </c>
      <c r="E37" s="214">
        <f>D37</f>
        <v>5.2575879716356848E-2</v>
      </c>
      <c r="F37" s="214">
        <f t="shared" ref="F37:O37" si="5">E37</f>
        <v>5.2575879716356848E-2</v>
      </c>
      <c r="G37" s="214">
        <f t="shared" si="5"/>
        <v>5.2575879716356848E-2</v>
      </c>
      <c r="H37" s="214">
        <f t="shared" si="5"/>
        <v>5.2575879716356848E-2</v>
      </c>
      <c r="I37" s="214">
        <f t="shared" si="5"/>
        <v>5.2575879716356848E-2</v>
      </c>
      <c r="J37" s="214">
        <f t="shared" si="5"/>
        <v>5.2575879716356848E-2</v>
      </c>
      <c r="K37" s="214">
        <f t="shared" si="5"/>
        <v>5.2575879716356848E-2</v>
      </c>
      <c r="L37" s="214">
        <f t="shared" si="5"/>
        <v>5.2575879716356848E-2</v>
      </c>
      <c r="M37" s="214">
        <f t="shared" si="5"/>
        <v>5.2575879716356848E-2</v>
      </c>
      <c r="N37" s="214">
        <f t="shared" si="5"/>
        <v>5.2575879716356848E-2</v>
      </c>
      <c r="O37" s="214">
        <f t="shared" si="5"/>
        <v>5.2575879716356848E-2</v>
      </c>
      <c r="P37" s="47"/>
      <c r="Q37" s="1"/>
    </row>
    <row r="38" spans="1:17">
      <c r="A38" s="1062">
        <f t="shared" si="1"/>
        <v>27</v>
      </c>
      <c r="B38" s="1"/>
      <c r="C38" s="1" t="s">
        <v>215</v>
      </c>
      <c r="D38" s="1">
        <f t="shared" ref="D38:N38" si="6">ROUND(D36*D37,3)</f>
        <v>-393625.35600000003</v>
      </c>
      <c r="E38" s="1">
        <f t="shared" si="6"/>
        <v>-523830.35</v>
      </c>
      <c r="F38" s="1">
        <f t="shared" si="6"/>
        <v>-319639.43199999997</v>
      </c>
      <c r="G38" s="1">
        <f t="shared" si="6"/>
        <v>-338709.39299999998</v>
      </c>
      <c r="H38" s="1">
        <f t="shared" si="6"/>
        <v>-422010.50199999998</v>
      </c>
      <c r="I38" s="1">
        <f t="shared" si="6"/>
        <v>-397184.86099999998</v>
      </c>
      <c r="J38" s="1">
        <f t="shared" si="6"/>
        <v>-445928.63099999999</v>
      </c>
      <c r="K38" s="1">
        <f t="shared" si="6"/>
        <v>-379617.22399999999</v>
      </c>
      <c r="L38" s="1">
        <f t="shared" si="6"/>
        <v>-340870.32799999998</v>
      </c>
      <c r="M38" s="1">
        <f t="shared" si="6"/>
        <v>-490039.43199999997</v>
      </c>
      <c r="N38" s="1">
        <f t="shared" si="6"/>
        <v>-386791.17700000003</v>
      </c>
      <c r="O38" s="1">
        <f>ROUND(O36*O37,3)</f>
        <v>-534618.86899999995</v>
      </c>
      <c r="P38" s="1">
        <f>SUM(D38:O38)</f>
        <v>-4972865.5549999997</v>
      </c>
      <c r="Q38" s="679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578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0"/>
      <c r="P41" s="247"/>
      <c r="Q41" s="1"/>
    </row>
    <row r="42" spans="1:17">
      <c r="A42" s="1"/>
      <c r="B42" s="7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488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47"/>
      <c r="Q43" s="1"/>
    </row>
    <row r="44" spans="1:17">
      <c r="A44" s="1"/>
      <c r="B44" s="1" t="s">
        <v>972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7"/>
      <c r="Q44" s="1"/>
    </row>
    <row r="45" spans="1:17">
      <c r="A45" s="1"/>
      <c r="B45" s="1" t="s">
        <v>1594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/>
      <c r="Q45" s="1"/>
    </row>
    <row r="46" spans="1:17">
      <c r="A46" s="1"/>
      <c r="B46" s="1"/>
      <c r="C46" s="1"/>
      <c r="D46" s="391"/>
      <c r="E46" s="391"/>
      <c r="F46" s="391"/>
      <c r="G46" s="391"/>
      <c r="H46" s="391"/>
      <c r="I46" s="391"/>
      <c r="J46" s="391"/>
      <c r="K46" s="68"/>
      <c r="L46" s="68"/>
      <c r="M46" s="68"/>
      <c r="N46" s="68"/>
      <c r="O46" s="68"/>
      <c r="P46" s="68"/>
      <c r="Q46" s="1"/>
    </row>
    <row r="47" spans="1:17">
      <c r="A47" s="1"/>
      <c r="B47" s="1"/>
      <c r="C47" s="1"/>
      <c r="D47" s="68"/>
      <c r="E47" s="68"/>
      <c r="F47" s="68"/>
      <c r="G47" s="68"/>
      <c r="H47" s="68"/>
      <c r="I47" s="68"/>
      <c r="J47" s="68"/>
      <c r="K47" s="1"/>
      <c r="L47" s="1"/>
      <c r="M47" s="1"/>
      <c r="N47" s="1"/>
      <c r="O47" s="68"/>
      <c r="P47" s="68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8"/>
      <c r="P48" s="68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8"/>
      <c r="P49" s="68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8"/>
      <c r="P50" s="68"/>
      <c r="Q50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R48"/>
  <sheetViews>
    <sheetView view="pageBreakPreview" zoomScale="70" zoomScaleNormal="90" zoomScaleSheetLayoutView="70" workbookViewId="0"/>
  </sheetViews>
  <sheetFormatPr defaultColWidth="9.6640625" defaultRowHeight="15"/>
  <cols>
    <col min="1" max="1" width="4.6640625" style="60" customWidth="1"/>
    <col min="2" max="2" width="40" style="60" customWidth="1"/>
    <col min="3" max="3" width="12.6640625" style="60" customWidth="1"/>
    <col min="4" max="4" width="1.77734375" style="60" customWidth="1"/>
    <col min="5" max="5" width="13.109375" style="60" bestFit="1" customWidth="1"/>
    <col min="6" max="6" width="3" style="60" customWidth="1"/>
    <col min="7" max="7" width="13.6640625" style="60" customWidth="1"/>
    <col min="8" max="8" width="3" style="60" customWidth="1"/>
    <col min="9" max="9" width="2.109375" style="60" customWidth="1"/>
    <col min="10" max="10" width="11.77734375" style="60" customWidth="1"/>
    <col min="11" max="11" width="2.21875" style="60" customWidth="1"/>
    <col min="12" max="12" width="15.77734375" style="60" customWidth="1"/>
    <col min="13" max="13" width="5.6640625" style="60" customWidth="1"/>
    <col min="14" max="14" width="17.33203125" style="60" customWidth="1"/>
    <col min="15" max="15" width="1.77734375" style="60" customWidth="1"/>
    <col min="16" max="16" width="12" style="60" customWidth="1"/>
    <col min="17" max="17" width="15.6640625" style="60" customWidth="1"/>
    <col min="18" max="18" width="18.6640625" style="60" customWidth="1"/>
    <col min="19" max="19" width="11.6640625" style="60" customWidth="1"/>
    <col min="20" max="20" width="9.6640625" style="60"/>
    <col min="21" max="21" width="23.6640625" style="60" customWidth="1"/>
    <col min="22" max="22" width="14.6640625" style="60" customWidth="1"/>
    <col min="23" max="23" width="18.6640625" style="60" customWidth="1"/>
    <col min="24" max="24" width="13.6640625" style="60" customWidth="1"/>
    <col min="25" max="25" width="29.6640625" style="60" customWidth="1"/>
    <col min="26" max="26" width="9.6640625" style="60"/>
    <col min="27" max="27" width="14.6640625" style="60" customWidth="1"/>
    <col min="28" max="28" width="13.6640625" style="60" customWidth="1"/>
    <col min="29" max="29" width="11.6640625" style="60" customWidth="1"/>
    <col min="30" max="30" width="9.6640625" style="60"/>
    <col min="31" max="31" width="4.6640625" style="60" customWidth="1"/>
    <col min="32" max="32" width="48.6640625" style="60" customWidth="1"/>
    <col min="33" max="33" width="9.6640625" style="60"/>
    <col min="34" max="37" width="10.6640625" style="60" customWidth="1"/>
    <col min="38" max="39" width="9.6640625" style="60"/>
    <col min="40" max="40" width="4.6640625" style="60" customWidth="1"/>
    <col min="41" max="41" width="50.6640625" style="60" customWidth="1"/>
    <col min="42" max="42" width="9.6640625" style="60"/>
    <col min="43" max="43" width="11.6640625" style="60" customWidth="1"/>
    <col min="44" max="44" width="9.6640625" style="60"/>
    <col min="45" max="46" width="4.6640625" style="60" customWidth="1"/>
    <col min="47" max="47" width="40.6640625" style="60" customWidth="1"/>
    <col min="48" max="48" width="1.6640625" style="60" customWidth="1"/>
    <col min="49" max="52" width="11.6640625" style="60" customWidth="1"/>
    <col min="53" max="54" width="9.6640625" style="60"/>
    <col min="55" max="55" width="4.6640625" style="60" customWidth="1"/>
    <col min="56" max="56" width="30.6640625" style="60" customWidth="1"/>
    <col min="57" max="65" width="9.6640625" style="60"/>
    <col min="66" max="66" width="14.6640625" style="60" customWidth="1"/>
    <col min="67" max="68" width="9.6640625" style="60"/>
    <col min="69" max="69" width="12.6640625" style="60" customWidth="1"/>
    <col min="70" max="70" width="10.6640625" style="60" customWidth="1"/>
    <col min="71" max="16384" width="9.6640625" style="60"/>
  </cols>
  <sheetData>
    <row r="1" spans="1:18" s="1" customFormat="1">
      <c r="A1" s="43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</row>
    <row r="2" spans="1:18" s="1" customFormat="1">
      <c r="A2" s="43" t="str">
        <f>'Table of Contents'!A2:C2</f>
        <v>Kentucky Jurisdiction Case No. 2015-00343</v>
      </c>
      <c r="B2" s="40"/>
      <c r="C2" s="40"/>
      <c r="D2" s="40"/>
      <c r="E2" s="40"/>
      <c r="F2" s="40"/>
      <c r="G2" s="40"/>
      <c r="H2" s="40"/>
    </row>
    <row r="3" spans="1:18" s="1" customFormat="1">
      <c r="A3" s="43" t="s">
        <v>1019</v>
      </c>
      <c r="B3" s="40"/>
      <c r="C3" s="40"/>
      <c r="D3" s="40"/>
      <c r="E3" s="40"/>
      <c r="F3" s="40"/>
      <c r="G3" s="40"/>
      <c r="H3" s="40"/>
    </row>
    <row r="4" spans="1:18" s="1" customFormat="1">
      <c r="A4" s="43" t="str">
        <f>'Table of Contents'!A4:C4</f>
        <v>Forecasted Test Period: Twelve Months Ended May 31, 2017</v>
      </c>
      <c r="B4" s="40"/>
      <c r="C4" s="40"/>
      <c r="D4" s="40"/>
      <c r="E4" s="40"/>
      <c r="F4" s="40"/>
      <c r="G4" s="40"/>
      <c r="H4" s="40"/>
    </row>
    <row r="5" spans="1:18" s="1" customFormat="1">
      <c r="A5" s="43"/>
      <c r="B5" s="40"/>
      <c r="C5" s="40"/>
      <c r="D5" s="40"/>
      <c r="E5" s="40"/>
      <c r="F5" s="40"/>
      <c r="G5" s="40"/>
      <c r="H5" s="40"/>
    </row>
    <row r="6" spans="1:18" s="1" customFormat="1">
      <c r="D6" s="3"/>
      <c r="E6" s="3"/>
      <c r="F6" s="3"/>
    </row>
    <row r="7" spans="1:18" s="1" customFormat="1">
      <c r="A7" s="4" t="s">
        <v>423</v>
      </c>
      <c r="G7" s="488" t="s">
        <v>1499</v>
      </c>
      <c r="H7" s="4"/>
      <c r="I7" s="1018"/>
    </row>
    <row r="8" spans="1:18" s="1" customFormat="1">
      <c r="A8" s="4" t="s">
        <v>631</v>
      </c>
      <c r="G8" s="645" t="s">
        <v>62</v>
      </c>
      <c r="H8" s="4"/>
      <c r="I8" s="1018"/>
    </row>
    <row r="9" spans="1:18" s="1" customFormat="1">
      <c r="A9" s="5" t="s">
        <v>375</v>
      </c>
      <c r="B9" s="6"/>
      <c r="C9" s="6"/>
      <c r="D9" s="7"/>
      <c r="E9" s="7"/>
      <c r="F9" s="7"/>
      <c r="G9" s="723" t="s">
        <v>1216</v>
      </c>
      <c r="H9" s="5"/>
      <c r="I9" s="1019"/>
    </row>
    <row r="10" spans="1:18" s="1" customFormat="1">
      <c r="D10" s="8"/>
      <c r="E10" s="2" t="s">
        <v>45</v>
      </c>
      <c r="F10" s="8"/>
      <c r="G10" s="2" t="s">
        <v>44</v>
      </c>
      <c r="I10" s="1018"/>
    </row>
    <row r="11" spans="1:18" s="1" customFormat="1">
      <c r="C11" s="2" t="s">
        <v>1206</v>
      </c>
      <c r="D11" s="8"/>
      <c r="E11" s="2" t="s">
        <v>102</v>
      </c>
      <c r="F11" s="8"/>
      <c r="G11" s="2" t="s">
        <v>102</v>
      </c>
      <c r="I11" s="1018"/>
      <c r="N11" s="119"/>
      <c r="O11" s="119"/>
      <c r="P11" s="119"/>
    </row>
    <row r="12" spans="1:18" s="1" customFormat="1">
      <c r="A12" s="2" t="s">
        <v>98</v>
      </c>
      <c r="C12" s="2" t="s">
        <v>63</v>
      </c>
      <c r="D12" s="8"/>
      <c r="E12" s="2" t="s">
        <v>611</v>
      </c>
      <c r="F12" s="8"/>
      <c r="G12" s="2" t="s">
        <v>611</v>
      </c>
      <c r="I12" s="1018"/>
      <c r="J12" s="977"/>
      <c r="K12" s="978"/>
      <c r="L12" s="977"/>
      <c r="M12" s="977"/>
      <c r="N12" s="119"/>
      <c r="O12" s="119"/>
      <c r="P12" s="119"/>
    </row>
    <row r="13" spans="1:18" s="1" customFormat="1" ht="15.75">
      <c r="A13" s="9" t="s">
        <v>104</v>
      </c>
      <c r="B13" s="9" t="s">
        <v>1004</v>
      </c>
      <c r="C13" s="9" t="s">
        <v>106</v>
      </c>
      <c r="D13" s="7"/>
      <c r="E13" s="9" t="s">
        <v>1010</v>
      </c>
      <c r="F13" s="7"/>
      <c r="G13" s="9" t="s">
        <v>1010</v>
      </c>
      <c r="H13" s="6"/>
      <c r="I13" s="1019"/>
      <c r="J13" s="977"/>
      <c r="K13" s="977"/>
      <c r="L13" s="1244" t="s">
        <v>1636</v>
      </c>
      <c r="M13" s="977"/>
      <c r="N13" s="1244" t="s">
        <v>1637</v>
      </c>
      <c r="O13" s="119"/>
      <c r="P13" s="119"/>
      <c r="R13" s="1244"/>
    </row>
    <row r="14" spans="1:18" s="1" customFormat="1">
      <c r="B14" s="613" t="s">
        <v>767</v>
      </c>
      <c r="C14" s="613" t="s">
        <v>768</v>
      </c>
      <c r="D14" s="8"/>
      <c r="E14" s="613" t="s">
        <v>424</v>
      </c>
      <c r="F14" s="8"/>
      <c r="G14" s="613" t="s">
        <v>769</v>
      </c>
      <c r="I14" s="1018"/>
      <c r="J14" s="979"/>
      <c r="K14" s="980"/>
      <c r="L14" s="979"/>
      <c r="M14" s="977"/>
      <c r="N14" s="127"/>
      <c r="O14" s="1238"/>
      <c r="P14" s="127"/>
    </row>
    <row r="15" spans="1:18" s="1" customFormat="1">
      <c r="D15" s="8"/>
      <c r="E15" s="8"/>
      <c r="F15" s="8"/>
      <c r="G15" s="10"/>
      <c r="H15" s="10"/>
      <c r="I15" s="1020"/>
      <c r="J15" s="977"/>
      <c r="K15" s="977"/>
      <c r="L15" s="977"/>
      <c r="M15" s="977"/>
      <c r="O15" s="119"/>
      <c r="P15" s="119"/>
      <c r="R15" s="119"/>
    </row>
    <row r="16" spans="1:18" s="1" customFormat="1">
      <c r="A16" s="2">
        <v>1</v>
      </c>
      <c r="B16" s="115" t="s">
        <v>276</v>
      </c>
      <c r="C16" s="1129" t="s">
        <v>377</v>
      </c>
      <c r="D16" s="107"/>
      <c r="E16" s="445">
        <f>'B.1 B'!F27</f>
        <v>294399069.49674368</v>
      </c>
      <c r="F16" s="107"/>
      <c r="G16" s="383">
        <f>'B.1 F '!F27</f>
        <v>334221647.62333924</v>
      </c>
      <c r="H16" s="10"/>
      <c r="I16" s="1019"/>
      <c r="J16" s="977"/>
      <c r="K16" s="977"/>
      <c r="L16" s="1239">
        <v>334221647.64175689</v>
      </c>
      <c r="M16" s="977"/>
      <c r="N16" s="1">
        <f>L16-G16</f>
        <v>1.8417656421661377E-2</v>
      </c>
      <c r="O16" s="119"/>
      <c r="P16" s="119"/>
      <c r="R16" s="1239"/>
    </row>
    <row r="17" spans="1:18" s="1" customFormat="1">
      <c r="B17" s="107"/>
      <c r="C17" s="107"/>
      <c r="D17" s="107"/>
      <c r="E17" s="107"/>
      <c r="F17" s="107"/>
      <c r="G17" s="99"/>
      <c r="H17" s="10"/>
      <c r="I17" s="1019"/>
      <c r="J17" s="977"/>
      <c r="K17" s="977"/>
      <c r="L17" s="119"/>
      <c r="M17" s="977"/>
      <c r="O17" s="119"/>
      <c r="P17" s="119"/>
      <c r="R17" s="119"/>
    </row>
    <row r="18" spans="1:18" s="1" customFormat="1">
      <c r="A18" s="2">
        <v>2</v>
      </c>
      <c r="B18" s="115" t="s">
        <v>129</v>
      </c>
      <c r="C18" s="1129" t="s">
        <v>379</v>
      </c>
      <c r="D18" s="107"/>
      <c r="E18" s="383">
        <f>C.1!D26</f>
        <v>22036967.297723532</v>
      </c>
      <c r="F18" s="107"/>
      <c r="G18" s="383">
        <f>C.1!F26</f>
        <v>25465097.405798912</v>
      </c>
      <c r="H18" s="10"/>
      <c r="I18" s="1021"/>
      <c r="J18" s="977"/>
      <c r="K18" s="977"/>
      <c r="L18" s="1239">
        <v>25465097.40598017</v>
      </c>
      <c r="M18" s="977"/>
      <c r="N18" s="1">
        <f>L18-G18</f>
        <v>1.8125772476196289E-4</v>
      </c>
      <c r="O18" s="119"/>
      <c r="P18" s="119"/>
      <c r="R18" s="1239"/>
    </row>
    <row r="19" spans="1:18" s="1" customFormat="1">
      <c r="B19" s="107"/>
      <c r="C19" s="107"/>
      <c r="D19" s="107"/>
      <c r="E19" s="107"/>
      <c r="F19" s="107"/>
      <c r="G19" s="99"/>
      <c r="H19" s="10"/>
      <c r="I19" s="1019"/>
      <c r="J19" s="977"/>
      <c r="K19" s="977"/>
      <c r="L19" s="119"/>
      <c r="M19" s="977"/>
      <c r="O19" s="119"/>
      <c r="P19" s="119"/>
      <c r="R19" s="119"/>
    </row>
    <row r="20" spans="1:18" s="1" customFormat="1">
      <c r="A20" s="2">
        <v>3</v>
      </c>
      <c r="B20" s="115" t="s">
        <v>425</v>
      </c>
      <c r="C20" s="1131" t="s">
        <v>147</v>
      </c>
      <c r="D20" s="107"/>
      <c r="E20" s="154">
        <f>ROUND(E18/E16,4)</f>
        <v>7.4899999999999994E-2</v>
      </c>
      <c r="F20" s="107"/>
      <c r="G20" s="154">
        <f>ROUND(G18/G16,4)</f>
        <v>7.6200000000000004E-2</v>
      </c>
      <c r="H20" s="11"/>
      <c r="I20" s="1022"/>
      <c r="J20" s="977"/>
      <c r="K20" s="977"/>
      <c r="L20" s="559">
        <v>7.6200000000000004E-2</v>
      </c>
      <c r="M20" s="977"/>
      <c r="N20" s="559">
        <f>L20-G20</f>
        <v>0</v>
      </c>
      <c r="O20" s="119"/>
      <c r="P20" s="119"/>
      <c r="R20" s="559"/>
    </row>
    <row r="21" spans="1:18" s="1" customFormat="1">
      <c r="B21" s="107"/>
      <c r="C21" s="107"/>
      <c r="D21" s="107"/>
      <c r="E21" s="107"/>
      <c r="F21" s="107"/>
      <c r="G21" s="99"/>
      <c r="H21" s="10"/>
      <c r="I21" s="1019"/>
      <c r="J21" s="977"/>
      <c r="K21" s="977"/>
      <c r="L21" s="119"/>
      <c r="M21" s="977"/>
      <c r="N21" s="119"/>
      <c r="O21" s="119"/>
      <c r="P21" s="119"/>
      <c r="R21" s="119"/>
    </row>
    <row r="22" spans="1:18" s="1" customFormat="1">
      <c r="A22" s="2">
        <v>4</v>
      </c>
      <c r="B22" s="115" t="s">
        <v>292</v>
      </c>
      <c r="C22" s="1129" t="s">
        <v>1155</v>
      </c>
      <c r="D22" s="107"/>
      <c r="E22" s="1102">
        <f>'J-1 Base'!M27</f>
        <v>7.6200000000000004E-2</v>
      </c>
      <c r="F22" s="107"/>
      <c r="G22" s="154">
        <f>'J-1 F'!M28</f>
        <v>7.7100000000000002E-2</v>
      </c>
      <c r="H22" s="11"/>
      <c r="I22" s="1023"/>
      <c r="J22" s="981"/>
      <c r="K22" s="977"/>
      <c r="L22" s="753">
        <v>7.7100000000000002E-2</v>
      </c>
      <c r="M22" s="977"/>
      <c r="N22" s="753">
        <f>L22-G22</f>
        <v>0</v>
      </c>
      <c r="O22" s="119"/>
      <c r="P22" s="753"/>
      <c r="Q22" s="768"/>
      <c r="R22" s="753"/>
    </row>
    <row r="23" spans="1:18" s="1" customFormat="1">
      <c r="B23" s="107"/>
      <c r="C23" s="107"/>
      <c r="D23" s="107"/>
      <c r="E23" s="107"/>
      <c r="F23" s="107"/>
      <c r="G23" s="99"/>
      <c r="H23" s="10"/>
      <c r="I23" s="1019"/>
      <c r="J23" s="977"/>
      <c r="K23" s="977"/>
      <c r="L23" s="119"/>
      <c r="M23" s="977"/>
      <c r="O23" s="119"/>
      <c r="P23" s="119"/>
      <c r="R23" s="119"/>
    </row>
    <row r="24" spans="1:18" s="1" customFormat="1">
      <c r="A24" s="2">
        <v>5</v>
      </c>
      <c r="B24" s="115" t="s">
        <v>426</v>
      </c>
      <c r="C24" s="1131" t="s">
        <v>379</v>
      </c>
      <c r="D24" s="107"/>
      <c r="E24" s="383">
        <f>ROUND(E16*E22,0)</f>
        <v>22433209</v>
      </c>
      <c r="F24" s="107"/>
      <c r="G24" s="383">
        <f>ROUND(G16*G22,0)</f>
        <v>25768489</v>
      </c>
      <c r="H24" s="10"/>
      <c r="I24" s="1021"/>
      <c r="J24" s="977"/>
      <c r="K24" s="977"/>
      <c r="L24" s="1239">
        <v>25768489</v>
      </c>
      <c r="M24" s="977"/>
      <c r="N24" s="1">
        <f>L24-G24</f>
        <v>0</v>
      </c>
      <c r="O24" s="119"/>
      <c r="P24" s="119"/>
      <c r="R24" s="1239"/>
    </row>
    <row r="25" spans="1:18" s="1" customFormat="1">
      <c r="B25" s="107"/>
      <c r="C25" s="107"/>
      <c r="D25" s="107"/>
      <c r="E25" s="107"/>
      <c r="F25" s="107"/>
      <c r="G25" s="99"/>
      <c r="H25" s="10"/>
      <c r="I25" s="1019"/>
      <c r="J25" s="977"/>
      <c r="K25" s="977"/>
      <c r="L25" s="119"/>
      <c r="M25" s="977"/>
      <c r="O25" s="119"/>
      <c r="P25" s="119"/>
      <c r="R25" s="119"/>
    </row>
    <row r="26" spans="1:18" s="1" customFormat="1">
      <c r="A26" s="2">
        <v>6</v>
      </c>
      <c r="B26" s="115" t="s">
        <v>427</v>
      </c>
      <c r="C26" s="1131" t="s">
        <v>379</v>
      </c>
      <c r="D26" s="107"/>
      <c r="E26" s="383">
        <f>(E24-E18)</f>
        <v>396241.70227646828</v>
      </c>
      <c r="F26" s="107"/>
      <c r="G26" s="383">
        <f>(G24-G18)</f>
        <v>303391.59420108795</v>
      </c>
      <c r="H26" s="10"/>
      <c r="I26" s="1021"/>
      <c r="J26" s="977"/>
      <c r="K26" s="977"/>
      <c r="L26" s="1239">
        <v>303391.59401983023</v>
      </c>
      <c r="M26" s="977"/>
      <c r="N26" s="1">
        <f>L26-G26</f>
        <v>-1.8125772476196289E-4</v>
      </c>
      <c r="O26" s="119"/>
      <c r="P26" s="119"/>
      <c r="R26" s="1239"/>
    </row>
    <row r="27" spans="1:18" s="1" customFormat="1">
      <c r="B27" s="107"/>
      <c r="C27" s="107"/>
      <c r="D27" s="107"/>
      <c r="E27" s="107"/>
      <c r="F27" s="107"/>
      <c r="G27" s="99"/>
      <c r="H27" s="10"/>
      <c r="I27" s="1019"/>
      <c r="J27" s="977"/>
      <c r="K27" s="977"/>
      <c r="L27" s="119"/>
      <c r="M27" s="977"/>
      <c r="O27" s="119"/>
      <c r="P27" s="119"/>
      <c r="R27" s="119"/>
    </row>
    <row r="28" spans="1:18" s="1" customFormat="1">
      <c r="A28" s="2">
        <v>7</v>
      </c>
      <c r="B28" s="115" t="s">
        <v>131</v>
      </c>
      <c r="C28" s="1129" t="s">
        <v>385</v>
      </c>
      <c r="D28" s="107"/>
      <c r="E28" s="644">
        <f>H.1!D34</f>
        <v>1.6481189999999999</v>
      </c>
      <c r="F28" s="107"/>
      <c r="G28" s="644">
        <f>H.1!E34</f>
        <v>1.6480349999999999</v>
      </c>
      <c r="H28" s="10"/>
      <c r="I28" s="1024"/>
      <c r="J28" s="977"/>
      <c r="K28" s="977"/>
      <c r="L28" s="1240">
        <v>1.6480349999999999</v>
      </c>
      <c r="M28" s="977"/>
      <c r="N28" s="1240">
        <f>L28-G28</f>
        <v>0</v>
      </c>
      <c r="O28" s="119"/>
      <c r="P28" s="119"/>
      <c r="R28" s="1240"/>
    </row>
    <row r="29" spans="1:18" s="1" customFormat="1">
      <c r="B29" s="107"/>
      <c r="C29" s="107"/>
      <c r="D29" s="107"/>
      <c r="E29" s="107"/>
      <c r="F29" s="107"/>
      <c r="G29" s="99"/>
      <c r="H29" s="10"/>
      <c r="I29" s="1019"/>
      <c r="J29" s="977"/>
      <c r="K29" s="977"/>
      <c r="L29" s="119"/>
      <c r="M29" s="977"/>
      <c r="O29" s="119"/>
      <c r="P29" s="119"/>
      <c r="R29" s="119"/>
    </row>
    <row r="30" spans="1:18" ht="15.75">
      <c r="A30" s="2">
        <v>8</v>
      </c>
      <c r="B30" s="1132" t="s">
        <v>428</v>
      </c>
      <c r="C30" s="266"/>
      <c r="D30" s="266"/>
      <c r="E30" s="514">
        <f>ROUND(E26*E28,0)</f>
        <v>653053</v>
      </c>
      <c r="F30" s="266"/>
      <c r="G30" s="514">
        <f>ROUND(G26*G28,0)</f>
        <v>500000</v>
      </c>
      <c r="I30" s="1025"/>
      <c r="J30" s="977"/>
      <c r="K30" s="977"/>
      <c r="L30" s="1239">
        <v>500000</v>
      </c>
      <c r="M30" s="982"/>
      <c r="N30" s="1">
        <f>L30-G30</f>
        <v>0</v>
      </c>
      <c r="O30" s="119"/>
      <c r="P30" s="119"/>
      <c r="R30" s="1239"/>
    </row>
    <row r="31" spans="1:18">
      <c r="B31" s="266"/>
      <c r="C31" s="266"/>
      <c r="D31" s="266"/>
      <c r="E31" s="266"/>
      <c r="F31" s="266"/>
      <c r="G31" s="298"/>
      <c r="H31" s="257"/>
      <c r="I31" s="1026"/>
      <c r="J31" s="977"/>
      <c r="K31" s="977"/>
      <c r="L31" s="119"/>
      <c r="M31" s="977"/>
      <c r="O31" s="119"/>
      <c r="P31" s="119"/>
      <c r="R31" s="119"/>
    </row>
    <row r="32" spans="1:18">
      <c r="A32" s="258">
        <v>9</v>
      </c>
      <c r="B32" s="308" t="s">
        <v>1133</v>
      </c>
      <c r="C32" s="283" t="s">
        <v>379</v>
      </c>
      <c r="D32" s="266"/>
      <c r="E32" s="266"/>
      <c r="F32" s="266"/>
      <c r="G32" s="384">
        <f>G30</f>
        <v>500000</v>
      </c>
      <c r="H32" s="257"/>
      <c r="I32" s="1026"/>
      <c r="J32" s="977"/>
      <c r="K32" s="977"/>
      <c r="L32" s="1239">
        <v>500000</v>
      </c>
      <c r="M32" s="977"/>
      <c r="N32" s="1">
        <f>L32-G32</f>
        <v>0</v>
      </c>
      <c r="O32" s="119"/>
      <c r="P32" s="119"/>
      <c r="R32" s="1239"/>
    </row>
    <row r="33" spans="1:18">
      <c r="B33" s="266"/>
      <c r="C33" s="266"/>
      <c r="D33" s="266"/>
      <c r="E33" s="266"/>
      <c r="F33" s="266"/>
      <c r="G33" s="298"/>
      <c r="H33" s="257"/>
      <c r="I33" s="1026"/>
      <c r="J33" s="977"/>
      <c r="K33" s="977"/>
      <c r="L33" s="119"/>
      <c r="M33" s="977"/>
      <c r="O33" s="119"/>
      <c r="P33" s="119"/>
      <c r="R33" s="119"/>
    </row>
    <row r="34" spans="1:18">
      <c r="A34" s="258">
        <v>10</v>
      </c>
      <c r="B34" s="308" t="s">
        <v>1207</v>
      </c>
      <c r="C34" s="283" t="s">
        <v>379</v>
      </c>
      <c r="D34" s="266"/>
      <c r="E34" s="266"/>
      <c r="F34" s="266"/>
      <c r="G34" s="384">
        <f>C.1!F15</f>
        <v>166804655.47242033</v>
      </c>
      <c r="H34" s="257"/>
      <c r="I34" s="1026"/>
      <c r="J34" s="977"/>
      <c r="K34" s="977"/>
      <c r="L34" s="1239">
        <v>166804655.47242033</v>
      </c>
      <c r="M34" s="977"/>
      <c r="N34" s="1">
        <f>L34-G34</f>
        <v>0</v>
      </c>
      <c r="O34" s="119"/>
      <c r="P34" s="119"/>
      <c r="R34" s="1239"/>
    </row>
    <row r="35" spans="1:18">
      <c r="B35" s="266"/>
      <c r="C35" s="266"/>
      <c r="D35" s="266"/>
      <c r="E35" s="266"/>
      <c r="F35" s="266"/>
      <c r="G35" s="298"/>
      <c r="H35" s="257"/>
      <c r="I35" s="1026"/>
      <c r="J35" s="977"/>
      <c r="K35" s="977"/>
      <c r="L35" s="119"/>
      <c r="M35" s="977"/>
      <c r="O35" s="119"/>
      <c r="P35" s="119"/>
      <c r="R35" s="119"/>
    </row>
    <row r="36" spans="1:18">
      <c r="A36" s="258">
        <v>11</v>
      </c>
      <c r="B36" s="308" t="s">
        <v>429</v>
      </c>
      <c r="C36" s="283" t="s">
        <v>379</v>
      </c>
      <c r="D36" s="266"/>
      <c r="E36" s="266"/>
      <c r="F36" s="266"/>
      <c r="G36" s="384">
        <f>G32+G34</f>
        <v>167304655.47242033</v>
      </c>
      <c r="H36" s="257"/>
      <c r="I36" s="1026"/>
      <c r="J36" s="977"/>
      <c r="K36" s="977"/>
      <c r="L36" s="1239">
        <v>167304655.47242033</v>
      </c>
      <c r="M36" s="977"/>
      <c r="N36" s="1">
        <f>L36-G36</f>
        <v>0</v>
      </c>
      <c r="O36" s="119"/>
      <c r="P36" s="119"/>
      <c r="R36" s="1239"/>
    </row>
    <row r="37" spans="1:18">
      <c r="G37" s="266"/>
      <c r="I37" s="261"/>
      <c r="J37" s="261"/>
      <c r="K37" s="265"/>
      <c r="N37" s="119"/>
      <c r="O37" s="119"/>
      <c r="P37" s="119"/>
    </row>
    <row r="38" spans="1:18">
      <c r="I38" s="261"/>
      <c r="J38" s="261"/>
      <c r="K38" s="261"/>
      <c r="N38" s="119"/>
      <c r="O38" s="119"/>
      <c r="P38" s="119"/>
    </row>
    <row r="39" spans="1:18">
      <c r="A39" s="261"/>
      <c r="B39" s="299"/>
      <c r="C39" s="300"/>
      <c r="G39" s="977"/>
      <c r="I39" s="261"/>
      <c r="J39" s="261"/>
      <c r="K39" s="261"/>
      <c r="N39" s="119"/>
      <c r="O39" s="119"/>
      <c r="P39" s="119"/>
    </row>
    <row r="40" spans="1:18">
      <c r="A40" s="261"/>
      <c r="B40" s="261"/>
      <c r="C40" s="261"/>
      <c r="G40" s="977"/>
      <c r="H40" s="977"/>
      <c r="I40" s="261"/>
      <c r="J40" s="261"/>
      <c r="K40" s="261"/>
      <c r="N40" s="119"/>
      <c r="O40" s="119"/>
      <c r="P40" s="119"/>
    </row>
    <row r="41" spans="1:18">
      <c r="A41" s="261"/>
      <c r="B41" s="261"/>
      <c r="C41" s="261"/>
      <c r="G41" s="977"/>
      <c r="H41" s="977"/>
      <c r="N41" s="119"/>
      <c r="O41" s="119"/>
      <c r="P41" s="119"/>
    </row>
    <row r="42" spans="1:18">
      <c r="G42" s="977"/>
      <c r="N42" s="119"/>
      <c r="O42" s="119"/>
      <c r="P42" s="119"/>
    </row>
    <row r="43" spans="1:18">
      <c r="G43" s="977"/>
      <c r="N43" s="119"/>
      <c r="O43" s="119"/>
      <c r="P43" s="119"/>
    </row>
    <row r="44" spans="1:18">
      <c r="N44" s="119"/>
      <c r="O44" s="119"/>
      <c r="P44" s="119"/>
    </row>
    <row r="45" spans="1:18">
      <c r="N45" s="119"/>
      <c r="O45" s="119"/>
      <c r="P45" s="119"/>
    </row>
    <row r="46" spans="1:18">
      <c r="N46" s="119"/>
      <c r="O46" s="119"/>
      <c r="P46" s="119"/>
    </row>
    <row r="47" spans="1:18">
      <c r="N47" s="119"/>
      <c r="O47" s="119"/>
      <c r="P47" s="119"/>
    </row>
    <row r="48" spans="1:18">
      <c r="N48" s="119"/>
      <c r="O48" s="119"/>
      <c r="P48" s="119"/>
    </row>
  </sheetData>
  <phoneticPr fontId="24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60" zoomScaleNormal="75" workbookViewId="0">
      <pane xSplit="3" ySplit="11" topLeftCell="D12" activePane="bottomRight" state="frozen"/>
      <selection activeCell="H24" sqref="H24"/>
      <selection pane="topRight" activeCell="H24" sqref="H24"/>
      <selection pane="bottomLeft" activeCell="H24" sqref="H24"/>
      <selection pane="bottomRight" activeCell="D12" sqref="D12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</row>
    <row r="2" spans="1:17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</row>
    <row r="3" spans="1:17" ht="15.75">
      <c r="A3" s="1266" t="s">
        <v>192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</row>
    <row r="4" spans="1:17">
      <c r="A4" s="1266" t="str">
        <f>'Table of Contents'!A4:C4</f>
        <v>Forecasted Test Period: Twelve Months Ended May 31, 2017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"/>
    </row>
    <row r="5" spans="1:17">
      <c r="A5" s="1"/>
      <c r="B5" s="40"/>
      <c r="C5" s="40"/>
      <c r="D5" s="40"/>
      <c r="E5" s="40"/>
      <c r="F5" s="40"/>
      <c r="G5" s="272"/>
      <c r="H5" s="40"/>
      <c r="I5" s="40"/>
      <c r="J5" s="40"/>
      <c r="K5" s="40"/>
      <c r="L5" s="40"/>
      <c r="M5" s="40"/>
      <c r="N5" s="40"/>
      <c r="O5" s="205"/>
      <c r="P5" s="1"/>
      <c r="Q5" s="1"/>
    </row>
    <row r="6" spans="1:17" ht="15.75">
      <c r="A6" s="4" t="str">
        <f>'C.2.1 F'!A6</f>
        <v>Data:________Base Period___X____Forecasted Period</v>
      </c>
      <c r="B6" s="79"/>
      <c r="C6" s="4"/>
      <c r="D6" s="1"/>
      <c r="E6" s="769"/>
      <c r="F6" s="1"/>
      <c r="G6" s="1"/>
      <c r="H6" s="1"/>
      <c r="I6" s="1"/>
      <c r="J6" s="1"/>
      <c r="K6" s="1"/>
      <c r="L6" s="1"/>
      <c r="M6" s="1"/>
      <c r="N6" s="79"/>
      <c r="O6" s="107"/>
      <c r="P6" s="232" t="s">
        <v>1524</v>
      </c>
      <c r="Q6" s="1"/>
    </row>
    <row r="7" spans="1:17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0" t="s">
        <v>38</v>
      </c>
      <c r="Q7" s="1"/>
    </row>
    <row r="8" spans="1:17">
      <c r="A8" s="73" t="str">
        <f>'C.2.1 F'!A8</f>
        <v>Workpaper Reference No(s).____________________</v>
      </c>
      <c r="B8" s="460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0"/>
      <c r="O8" s="108"/>
      <c r="P8" s="671" t="str">
        <f>C.1!J9</f>
        <v>Witness: Waller, Smith</v>
      </c>
      <c r="Q8" s="1"/>
    </row>
    <row r="9" spans="1:17">
      <c r="A9" s="323" t="s">
        <v>98</v>
      </c>
      <c r="B9" s="85" t="s">
        <v>105</v>
      </c>
      <c r="C9" s="462"/>
      <c r="D9" s="470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2"/>
      <c r="Q9" s="1"/>
    </row>
    <row r="10" spans="1:17">
      <c r="A10" s="251" t="s">
        <v>104</v>
      </c>
      <c r="B10" s="45" t="s">
        <v>104</v>
      </c>
      <c r="C10" s="463" t="s">
        <v>971</v>
      </c>
      <c r="D10" s="447">
        <f>'C.2.2-F 09'!D10</f>
        <v>42551</v>
      </c>
      <c r="E10" s="447">
        <f>'C.2.2-F 09'!F10</f>
        <v>42613</v>
      </c>
      <c r="F10" s="447">
        <f>'C.2.2-F 09'!F10</f>
        <v>42613</v>
      </c>
      <c r="G10" s="447">
        <f>'C.2.2-F 09'!G10</f>
        <v>42643</v>
      </c>
      <c r="H10" s="447">
        <f>'C.2.2-F 09'!H10</f>
        <v>42674</v>
      </c>
      <c r="I10" s="447">
        <f>'C.2.2-F 09'!I10</f>
        <v>42704</v>
      </c>
      <c r="J10" s="447">
        <f>'C.2.2-F 09'!J10</f>
        <v>42735</v>
      </c>
      <c r="K10" s="447">
        <f>'C.2.2-F 09'!K10</f>
        <v>42766</v>
      </c>
      <c r="L10" s="447">
        <f>'C.2.2-F 09'!L10</f>
        <v>42794</v>
      </c>
      <c r="M10" s="447">
        <f>'C.2.2-F 09'!M10</f>
        <v>42825</v>
      </c>
      <c r="N10" s="447">
        <f>'C.2.2-F 09'!N10</f>
        <v>42855</v>
      </c>
      <c r="O10" s="447">
        <f>'C.2.2-F 09'!O10</f>
        <v>42886</v>
      </c>
      <c r="P10" s="473" t="str">
        <f>'C.2.2 B 09'!P10</f>
        <v>Total</v>
      </c>
      <c r="Q10" s="296"/>
    </row>
    <row r="11" spans="1:17">
      <c r="A11" s="79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59" t="s">
        <v>151</v>
      </c>
      <c r="P11" s="2" t="s">
        <v>151</v>
      </c>
      <c r="Q11" s="2"/>
    </row>
    <row r="12" spans="1:17">
      <c r="A12" s="77">
        <v>1</v>
      </c>
      <c r="B12" s="465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28" si="0">SUM(D12:O12)</f>
        <v>0</v>
      </c>
      <c r="Q12" s="1"/>
    </row>
    <row r="13" spans="1:17">
      <c r="A13" s="77">
        <f>A12+1</f>
        <v>2</v>
      </c>
      <c r="B13" s="465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7">
      <c r="A14" s="825">
        <f t="shared" ref="A14:A34" si="1">A13+1</f>
        <v>3</v>
      </c>
      <c r="B14" s="465">
        <v>8700</v>
      </c>
      <c r="C14" s="1" t="s">
        <v>932</v>
      </c>
      <c r="D14" s="123">
        <v>10.078541223589822</v>
      </c>
      <c r="E14" s="123">
        <v>12.639057305299062</v>
      </c>
      <c r="F14" s="123">
        <v>12.476431448160278</v>
      </c>
      <c r="G14" s="123">
        <v>11.318983968386325</v>
      </c>
      <c r="H14" s="123">
        <v>11.343658236366004</v>
      </c>
      <c r="I14" s="123">
        <v>10.761569823572707</v>
      </c>
      <c r="J14" s="123">
        <v>12.461851198899561</v>
      </c>
      <c r="K14" s="123">
        <v>12.307076245208858</v>
      </c>
      <c r="L14" s="123">
        <v>9.3742030285335787</v>
      </c>
      <c r="M14" s="123">
        <v>9.7342230295097796</v>
      </c>
      <c r="N14" s="123">
        <v>12.327264282646775</v>
      </c>
      <c r="O14" s="123">
        <v>12.425961354565484</v>
      </c>
      <c r="P14" s="1">
        <f t="shared" si="0"/>
        <v>137.24882114473823</v>
      </c>
      <c r="Q14" s="1"/>
    </row>
    <row r="15" spans="1:17">
      <c r="A15" s="825">
        <f t="shared" si="1"/>
        <v>4</v>
      </c>
      <c r="B15" s="465">
        <v>8740</v>
      </c>
      <c r="C15" s="1" t="s">
        <v>934</v>
      </c>
      <c r="D15" s="123">
        <v>1944.2721978116338</v>
      </c>
      <c r="E15" s="123">
        <v>1944.2721978116338</v>
      </c>
      <c r="F15" s="123">
        <v>1944.2721978116338</v>
      </c>
      <c r="G15" s="123">
        <v>1944.2721978116338</v>
      </c>
      <c r="H15" s="123">
        <v>1944.2721978116338</v>
      </c>
      <c r="I15" s="123">
        <v>1944.2721978116338</v>
      </c>
      <c r="J15" s="123">
        <v>1944.2721978116338</v>
      </c>
      <c r="K15" s="123">
        <v>1944.2721978116338</v>
      </c>
      <c r="L15" s="123">
        <v>1944.2721978116338</v>
      </c>
      <c r="M15" s="123">
        <v>1944.2721978116338</v>
      </c>
      <c r="N15" s="123">
        <v>1944.2721978116338</v>
      </c>
      <c r="O15" s="123">
        <v>1944.2721978116338</v>
      </c>
      <c r="P15" s="1">
        <f t="shared" si="0"/>
        <v>23331.266373739607</v>
      </c>
      <c r="Q15" s="1"/>
    </row>
    <row r="16" spans="1:17">
      <c r="A16" s="956">
        <f t="shared" si="1"/>
        <v>5</v>
      </c>
      <c r="B16" s="465">
        <v>8800</v>
      </c>
      <c r="C16" s="1" t="s">
        <v>940</v>
      </c>
      <c r="D16" s="123">
        <v>7.6288215222652864</v>
      </c>
      <c r="E16" s="123">
        <v>24.160056704154766</v>
      </c>
      <c r="F16" s="123">
        <v>1.4327124132995814</v>
      </c>
      <c r="G16" s="123">
        <v>2.2865613049400753</v>
      </c>
      <c r="H16" s="123">
        <v>8.2701220092074461</v>
      </c>
      <c r="I16" s="123">
        <v>10.752357998372652</v>
      </c>
      <c r="J16" s="123">
        <v>7.6915742923715502</v>
      </c>
      <c r="K16" s="123">
        <v>6.5933227042125786</v>
      </c>
      <c r="L16" s="123">
        <v>6.0170460944030433</v>
      </c>
      <c r="M16" s="123">
        <v>6.4518673406159746</v>
      </c>
      <c r="N16" s="123">
        <v>7.2179779252344831</v>
      </c>
      <c r="O16" s="123">
        <v>18.234199252448366</v>
      </c>
      <c r="P16" s="1">
        <f t="shared" si="0"/>
        <v>106.7366195615258</v>
      </c>
      <c r="Q16" s="1"/>
    </row>
    <row r="17" spans="1:17">
      <c r="A17" s="956">
        <f t="shared" si="1"/>
        <v>6</v>
      </c>
      <c r="B17" s="465">
        <v>9010</v>
      </c>
      <c r="C17" s="1" t="s">
        <v>186</v>
      </c>
      <c r="D17" s="123">
        <v>490956.6239141578</v>
      </c>
      <c r="E17" s="123">
        <v>476661.44494132552</v>
      </c>
      <c r="F17" s="123">
        <v>517559.88146398455</v>
      </c>
      <c r="G17" s="123">
        <v>494850.1140261789</v>
      </c>
      <c r="H17" s="123">
        <v>506934.78708737792</v>
      </c>
      <c r="I17" s="123">
        <v>484867.78003578522</v>
      </c>
      <c r="J17" s="123">
        <v>530713.09422428114</v>
      </c>
      <c r="K17" s="123">
        <v>489115.11696146271</v>
      </c>
      <c r="L17" s="123">
        <v>481950.12616370583</v>
      </c>
      <c r="M17" s="123">
        <v>524369.63166709163</v>
      </c>
      <c r="N17" s="123">
        <v>487785.41953072074</v>
      </c>
      <c r="O17" s="123">
        <v>509311.22903028695</v>
      </c>
      <c r="P17" s="1">
        <f t="shared" si="0"/>
        <v>5995075.2490463592</v>
      </c>
      <c r="Q17" s="1"/>
    </row>
    <row r="18" spans="1:17" s="1055" customFormat="1">
      <c r="A18" s="1059">
        <f t="shared" si="1"/>
        <v>7</v>
      </c>
      <c r="B18" s="397">
        <v>9020</v>
      </c>
      <c r="C18" s="203" t="s">
        <v>951</v>
      </c>
      <c r="D18" s="123">
        <v>58.900341141797085</v>
      </c>
      <c r="E18" s="123">
        <v>73.864339141699475</v>
      </c>
      <c r="F18" s="123">
        <v>72.913931909993011</v>
      </c>
      <c r="G18" s="123">
        <v>66.149654233296019</v>
      </c>
      <c r="H18" s="123">
        <v>66.293853951210082</v>
      </c>
      <c r="I18" s="123">
        <v>62.892051514964223</v>
      </c>
      <c r="J18" s="123">
        <v>72.828722985771051</v>
      </c>
      <c r="K18" s="123">
        <v>71.924197482491806</v>
      </c>
      <c r="L18" s="123">
        <v>54.784094648613255</v>
      </c>
      <c r="M18" s="123">
        <v>56.888099623632378</v>
      </c>
      <c r="N18" s="123">
        <v>72.042179069876056</v>
      </c>
      <c r="O18" s="123">
        <v>72.618977941532378</v>
      </c>
      <c r="P18" s="1">
        <f t="shared" si="0"/>
        <v>802.1004436448768</v>
      </c>
      <c r="Q18" s="1"/>
    </row>
    <row r="19" spans="1:17">
      <c r="A19" s="1059">
        <f t="shared" si="1"/>
        <v>8</v>
      </c>
      <c r="B19" s="465">
        <v>9030</v>
      </c>
      <c r="C19" s="1" t="s">
        <v>956</v>
      </c>
      <c r="D19" s="123">
        <v>1989556.6772795499</v>
      </c>
      <c r="E19" s="123">
        <v>1956432.8070409035</v>
      </c>
      <c r="F19" s="123">
        <v>2077808.3643239501</v>
      </c>
      <c r="G19" s="123">
        <v>1991861.1490554838</v>
      </c>
      <c r="H19" s="123">
        <v>2100528.6637602998</v>
      </c>
      <c r="I19" s="123">
        <v>1961864.9376536708</v>
      </c>
      <c r="J19" s="123">
        <v>2140416.1289643305</v>
      </c>
      <c r="K19" s="123">
        <v>2011852.6767204395</v>
      </c>
      <c r="L19" s="123">
        <v>1959706.4258027505</v>
      </c>
      <c r="M19" s="123">
        <v>2138458.0819156761</v>
      </c>
      <c r="N19" s="123">
        <v>2012051.9514232301</v>
      </c>
      <c r="O19" s="123">
        <v>2051187.4714142326</v>
      </c>
      <c r="P19" s="1">
        <f t="shared" si="0"/>
        <v>24391725.335354522</v>
      </c>
      <c r="Q19" s="1"/>
    </row>
    <row r="20" spans="1:17">
      <c r="A20" s="1059">
        <f t="shared" si="1"/>
        <v>9</v>
      </c>
      <c r="B20" s="465">
        <v>9200</v>
      </c>
      <c r="C20" s="1" t="s">
        <v>187</v>
      </c>
      <c r="D20" s="123">
        <v>364910.68369002739</v>
      </c>
      <c r="E20" s="123">
        <v>349070.34339133336</v>
      </c>
      <c r="F20" s="123">
        <v>380938.31919138582</v>
      </c>
      <c r="G20" s="123">
        <v>365099.6334640893</v>
      </c>
      <c r="H20" s="123">
        <v>376047.30045765842</v>
      </c>
      <c r="I20" s="123">
        <v>359554.60745888902</v>
      </c>
      <c r="J20" s="123">
        <v>392555.28579359315</v>
      </c>
      <c r="K20" s="123">
        <v>359531.99279062037</v>
      </c>
      <c r="L20" s="123">
        <v>359532.12156484625</v>
      </c>
      <c r="M20" s="123">
        <v>392557.47060495184</v>
      </c>
      <c r="N20" s="123">
        <v>359539.00402515958</v>
      </c>
      <c r="O20" s="123">
        <v>376041.06708905095</v>
      </c>
      <c r="P20" s="1">
        <f t="shared" si="0"/>
        <v>4435377.8295216048</v>
      </c>
      <c r="Q20" s="1"/>
    </row>
    <row r="21" spans="1:17">
      <c r="A21" s="1059">
        <f t="shared" si="1"/>
        <v>10</v>
      </c>
      <c r="B21" s="465">
        <v>9210</v>
      </c>
      <c r="C21" s="1" t="s">
        <v>963</v>
      </c>
      <c r="D21" s="123">
        <v>225749.76552578231</v>
      </c>
      <c r="E21" s="123">
        <v>228798.80856100851</v>
      </c>
      <c r="F21" s="123">
        <v>228537.9235745339</v>
      </c>
      <c r="G21" s="123">
        <v>208903.0450778958</v>
      </c>
      <c r="H21" s="123">
        <v>218204.73640235869</v>
      </c>
      <c r="I21" s="123">
        <v>219028.16632233048</v>
      </c>
      <c r="J21" s="123">
        <v>274115.33519323886</v>
      </c>
      <c r="K21" s="123">
        <v>216051.37562745909</v>
      </c>
      <c r="L21" s="123">
        <v>208814.04274894169</v>
      </c>
      <c r="M21" s="123">
        <v>222686.82707046057</v>
      </c>
      <c r="N21" s="123">
        <v>218608.72820242791</v>
      </c>
      <c r="O21" s="123">
        <v>221347.42718565563</v>
      </c>
      <c r="P21" s="1">
        <f t="shared" si="0"/>
        <v>2690846.181492093</v>
      </c>
      <c r="Q21" s="1"/>
    </row>
    <row r="22" spans="1:17">
      <c r="A22" s="1059">
        <f t="shared" si="1"/>
        <v>11</v>
      </c>
      <c r="B22" s="465">
        <v>9220</v>
      </c>
      <c r="C22" s="1" t="s">
        <v>964</v>
      </c>
      <c r="D22" s="123">
        <f t="shared" ref="D22:O22" si="2">-(SUM(D12:D21)+SUM(D23:D28))</f>
        <v>-4239140.2299999995</v>
      </c>
      <c r="E22" s="123">
        <f t="shared" si="2"/>
        <v>-4224786.16</v>
      </c>
      <c r="F22" s="123">
        <f t="shared" si="2"/>
        <v>-4389294.83</v>
      </c>
      <c r="G22" s="123">
        <f t="shared" si="2"/>
        <v>-4200956.63</v>
      </c>
      <c r="H22" s="123">
        <f t="shared" si="2"/>
        <v>-4458144.8132436816</v>
      </c>
      <c r="I22" s="123">
        <f t="shared" si="2"/>
        <v>-4260830.5182641707</v>
      </c>
      <c r="J22" s="123">
        <f t="shared" si="2"/>
        <v>-4645505.6441576201</v>
      </c>
      <c r="K22" s="123">
        <f t="shared" si="2"/>
        <v>-4272414.5782641713</v>
      </c>
      <c r="L22" s="123">
        <f t="shared" si="2"/>
        <v>-4202860.1482641716</v>
      </c>
      <c r="M22" s="123">
        <f t="shared" si="2"/>
        <v>-4573649.694157619</v>
      </c>
      <c r="N22" s="123">
        <f t="shared" si="2"/>
        <v>-4282075.9882641714</v>
      </c>
      <c r="O22" s="123">
        <f t="shared" si="2"/>
        <v>-4460128.1232436821</v>
      </c>
      <c r="P22" s="1">
        <f t="shared" si="0"/>
        <v>-52209787.357859291</v>
      </c>
      <c r="Q22" s="1"/>
    </row>
    <row r="23" spans="1:17">
      <c r="A23" s="1059">
        <f t="shared" si="1"/>
        <v>12</v>
      </c>
      <c r="B23" s="465">
        <v>9230</v>
      </c>
      <c r="C23" s="1" t="s">
        <v>965</v>
      </c>
      <c r="D23" s="123">
        <v>22709.364056460839</v>
      </c>
      <c r="E23" s="123">
        <v>20142.726006908637</v>
      </c>
      <c r="F23" s="123">
        <v>22899.10524111654</v>
      </c>
      <c r="G23" s="123">
        <v>17694.378655961431</v>
      </c>
      <c r="H23" s="123">
        <v>18405.812904484945</v>
      </c>
      <c r="I23" s="123">
        <v>17979.433014054684</v>
      </c>
      <c r="J23" s="123">
        <v>27198.700198579809</v>
      </c>
      <c r="K23" s="123">
        <v>17905.950000505873</v>
      </c>
      <c r="L23" s="123">
        <v>17884.130417478467</v>
      </c>
      <c r="M23" s="123">
        <v>19912.303867671537</v>
      </c>
      <c r="N23" s="123">
        <v>17332.74154463274</v>
      </c>
      <c r="O23" s="123">
        <v>16911.732424960977</v>
      </c>
      <c r="P23" s="1">
        <f t="shared" si="0"/>
        <v>236976.37833281647</v>
      </c>
      <c r="Q23" s="1"/>
    </row>
    <row r="24" spans="1:17">
      <c r="A24" s="1059">
        <f t="shared" si="1"/>
        <v>13</v>
      </c>
      <c r="B24" s="465">
        <v>9240</v>
      </c>
      <c r="C24" s="1" t="s">
        <v>966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">
        <f t="shared" si="0"/>
        <v>0</v>
      </c>
      <c r="Q24" s="1"/>
    </row>
    <row r="25" spans="1:17" s="1055" customFormat="1">
      <c r="A25" s="1059">
        <f t="shared" si="1"/>
        <v>14</v>
      </c>
      <c r="B25" s="397">
        <v>9250</v>
      </c>
      <c r="C25" s="1055" t="s">
        <v>967</v>
      </c>
      <c r="D25" s="123">
        <v>17.72744462442283</v>
      </c>
      <c r="E25" s="123">
        <v>16.128740866532681</v>
      </c>
      <c r="F25" s="123">
        <v>17.72744462442283</v>
      </c>
      <c r="G25" s="123">
        <v>16.128740866532681</v>
      </c>
      <c r="H25" s="123">
        <v>16.128740866532681</v>
      </c>
      <c r="I25" s="123">
        <v>16.128740866532681</v>
      </c>
      <c r="J25" s="123">
        <v>24.99427988755988</v>
      </c>
      <c r="K25" s="123">
        <v>16.128740866532681</v>
      </c>
      <c r="L25" s="123">
        <v>16.128740866532681</v>
      </c>
      <c r="M25" s="123">
        <v>17.72744462442283</v>
      </c>
      <c r="N25" s="123">
        <v>16.128740866532681</v>
      </c>
      <c r="O25" s="123">
        <v>16.128740866532681</v>
      </c>
      <c r="P25" s="1">
        <f t="shared" si="0"/>
        <v>207.20654069308978</v>
      </c>
      <c r="Q25" s="1"/>
    </row>
    <row r="26" spans="1:17">
      <c r="A26" s="1059">
        <f t="shared" si="1"/>
        <v>15</v>
      </c>
      <c r="B26" s="465">
        <v>9260</v>
      </c>
      <c r="C26" s="1" t="s">
        <v>968</v>
      </c>
      <c r="D26" s="123">
        <v>1009770.3432075272</v>
      </c>
      <c r="E26" s="123">
        <v>1054256.557936999</v>
      </c>
      <c r="F26" s="123">
        <v>1019899.9517827241</v>
      </c>
      <c r="G26" s="123">
        <v>982265.38164221391</v>
      </c>
      <c r="H26" s="123">
        <v>1097735.6628697559</v>
      </c>
      <c r="I26" s="123">
        <v>1064430.1520594757</v>
      </c>
      <c r="J26" s="123">
        <v>1141015.6975452001</v>
      </c>
      <c r="K26" s="123">
        <v>1042638.5525303954</v>
      </c>
      <c r="L26" s="123">
        <v>1039619.1049396095</v>
      </c>
      <c r="M26" s="123">
        <v>1134520.1533828296</v>
      </c>
      <c r="N26" s="123">
        <v>1045911.4837409991</v>
      </c>
      <c r="O26" s="123">
        <v>1149943.2460240547</v>
      </c>
      <c r="P26" s="1">
        <f t="shared" si="0"/>
        <v>12782006.287661785</v>
      </c>
      <c r="Q26" s="1"/>
    </row>
    <row r="27" spans="1:17">
      <c r="A27" s="1059">
        <f t="shared" si="1"/>
        <v>16</v>
      </c>
      <c r="B27" s="465">
        <v>9310</v>
      </c>
      <c r="C27" s="1" t="s">
        <v>189</v>
      </c>
      <c r="D27" s="123">
        <v>133436.7835999633</v>
      </c>
      <c r="E27" s="123">
        <v>137342.05169905399</v>
      </c>
      <c r="F27" s="123">
        <v>139577.75077950335</v>
      </c>
      <c r="G27" s="123">
        <v>138231.39055978524</v>
      </c>
      <c r="H27" s="123">
        <v>138182.07091391427</v>
      </c>
      <c r="I27" s="123">
        <v>151047.2027226068</v>
      </c>
      <c r="J27" s="123">
        <v>137376.75824928418</v>
      </c>
      <c r="K27" s="123">
        <v>133211.70401175355</v>
      </c>
      <c r="L27" s="123">
        <v>133313.26431375064</v>
      </c>
      <c r="M27" s="123">
        <v>139098.7704363009</v>
      </c>
      <c r="N27" s="123">
        <v>138741.25072454085</v>
      </c>
      <c r="O27" s="123">
        <v>133264.54281752231</v>
      </c>
      <c r="P27" s="1">
        <f t="shared" si="0"/>
        <v>1652823.5408279793</v>
      </c>
      <c r="Q27" s="768"/>
    </row>
    <row r="28" spans="1:17">
      <c r="A28" s="1059">
        <f t="shared" si="1"/>
        <v>17</v>
      </c>
      <c r="B28" s="465">
        <v>9320</v>
      </c>
      <c r="C28" s="1" t="s">
        <v>190</v>
      </c>
      <c r="D28" s="123">
        <v>11.381380207247659</v>
      </c>
      <c r="E28" s="123">
        <v>10.356030639027152</v>
      </c>
      <c r="F28" s="123">
        <v>24.710924594114285</v>
      </c>
      <c r="G28" s="123">
        <v>11.381380207247659</v>
      </c>
      <c r="H28" s="123">
        <v>59.470274956789574</v>
      </c>
      <c r="I28" s="123">
        <v>13.432079343688679</v>
      </c>
      <c r="J28" s="123">
        <v>52.395362936068054</v>
      </c>
      <c r="K28" s="123">
        <v>55.984086424839838</v>
      </c>
      <c r="L28" s="123">
        <v>10.356030639027152</v>
      </c>
      <c r="M28" s="123">
        <v>11.381380207247659</v>
      </c>
      <c r="N28" s="123">
        <v>53.420712504288566</v>
      </c>
      <c r="O28" s="123">
        <v>57.727180690814698</v>
      </c>
      <c r="P28" s="1">
        <f t="shared" si="0"/>
        <v>371.99682335040097</v>
      </c>
      <c r="Q28" s="1"/>
    </row>
    <row r="29" spans="1:17">
      <c r="A29" s="1059">
        <f t="shared" si="1"/>
        <v>18</v>
      </c>
      <c r="B29" s="1"/>
      <c r="C29" s="240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2"/>
      <c r="P29" s="1"/>
      <c r="Q29" s="1"/>
    </row>
    <row r="30" spans="1:17" ht="15.75" thickBot="1">
      <c r="A30" s="1059">
        <f t="shared" si="1"/>
        <v>19</v>
      </c>
      <c r="B30" s="1" t="s">
        <v>751</v>
      </c>
      <c r="C30" s="240"/>
      <c r="D30" s="153">
        <f t="shared" ref="D30:P30" si="3">SUM(D12:D29)</f>
        <v>2.2593837911699666E-10</v>
      </c>
      <c r="E30" s="153">
        <f t="shared" si="3"/>
        <v>2.6090951621426939E-10</v>
      </c>
      <c r="F30" s="153">
        <f t="shared" si="3"/>
        <v>4.1744385725905886E-12</v>
      </c>
      <c r="G30" s="153">
        <f t="shared" si="3"/>
        <v>4.0056136185739888E-10</v>
      </c>
      <c r="H30" s="153">
        <f t="shared" si="3"/>
        <v>3.8191672047105385E-11</v>
      </c>
      <c r="I30" s="153">
        <f t="shared" si="3"/>
        <v>6.5076655175744236E-10</v>
      </c>
      <c r="J30" s="153">
        <f t="shared" si="3"/>
        <v>-1.8327739326196024E-10</v>
      </c>
      <c r="K30" s="153">
        <f t="shared" si="3"/>
        <v>2.9025670755800093E-11</v>
      </c>
      <c r="L30" s="153">
        <f t="shared" si="3"/>
        <v>-2.6295943200693728E-10</v>
      </c>
      <c r="M30" s="153">
        <f t="shared" si="3"/>
        <v>5.751843445978011E-10</v>
      </c>
      <c r="N30" s="153">
        <f t="shared" si="3"/>
        <v>-4.219700144858507E-10</v>
      </c>
      <c r="O30" s="153">
        <f t="shared" si="3"/>
        <v>-6.2123461930241319E-10</v>
      </c>
      <c r="P30" s="153">
        <f t="shared" si="3"/>
        <v>-2.3605934984516352E-9</v>
      </c>
      <c r="Q30" s="469"/>
    </row>
    <row r="31" spans="1:17" ht="15.75" thickTop="1">
      <c r="A31" s="1059">
        <f t="shared" si="1"/>
        <v>20</v>
      </c>
      <c r="B31" s="1"/>
      <c r="C31" s="24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7"/>
      <c r="P31" s="1"/>
      <c r="Q31" s="1"/>
    </row>
    <row r="32" spans="1:17">
      <c r="A32" s="1059">
        <f t="shared" si="1"/>
        <v>21</v>
      </c>
      <c r="B32" s="465">
        <f t="shared" ref="B32:O32" si="4">B22</f>
        <v>9220</v>
      </c>
      <c r="C32" s="1" t="str">
        <f t="shared" si="4"/>
        <v>A&amp;G-Administrative expense transferred-Credit</v>
      </c>
      <c r="D32" s="1">
        <f t="shared" si="4"/>
        <v>-4239140.2299999995</v>
      </c>
      <c r="E32" s="1">
        <f t="shared" si="4"/>
        <v>-4224786.16</v>
      </c>
      <c r="F32" s="1">
        <f t="shared" si="4"/>
        <v>-4389294.83</v>
      </c>
      <c r="G32" s="1">
        <f t="shared" si="4"/>
        <v>-4200956.63</v>
      </c>
      <c r="H32" s="1">
        <f t="shared" si="4"/>
        <v>-4458144.8132436816</v>
      </c>
      <c r="I32" s="1">
        <f t="shared" si="4"/>
        <v>-4260830.5182641707</v>
      </c>
      <c r="J32" s="1">
        <f t="shared" si="4"/>
        <v>-4645505.6441576201</v>
      </c>
      <c r="K32" s="1">
        <f t="shared" si="4"/>
        <v>-4272414.5782641713</v>
      </c>
      <c r="L32" s="1">
        <f t="shared" si="4"/>
        <v>-4202860.1482641716</v>
      </c>
      <c r="M32" s="1">
        <f t="shared" si="4"/>
        <v>-4573649.694157619</v>
      </c>
      <c r="N32" s="1">
        <f t="shared" si="4"/>
        <v>-4282075.9882641714</v>
      </c>
      <c r="O32" s="1">
        <f t="shared" si="4"/>
        <v>-4460128.1232436821</v>
      </c>
      <c r="P32" s="1">
        <f>SUM(D32:O32)</f>
        <v>-52209787.357859291</v>
      </c>
      <c r="Q32" s="1"/>
    </row>
    <row r="33" spans="1:17">
      <c r="A33" s="1059">
        <f t="shared" si="1"/>
        <v>22</v>
      </c>
      <c r="B33" s="1"/>
      <c r="C33" s="1" t="s">
        <v>200</v>
      </c>
      <c r="D33" s="214">
        <f>Allocation!$E$15</f>
        <v>5.712253040952902E-2</v>
      </c>
      <c r="E33" s="214">
        <f>D33</f>
        <v>5.712253040952902E-2</v>
      </c>
      <c r="F33" s="214">
        <f t="shared" ref="F33:O33" si="5">E33</f>
        <v>5.712253040952902E-2</v>
      </c>
      <c r="G33" s="214">
        <f t="shared" si="5"/>
        <v>5.712253040952902E-2</v>
      </c>
      <c r="H33" s="214">
        <f t="shared" si="5"/>
        <v>5.712253040952902E-2</v>
      </c>
      <c r="I33" s="214">
        <f t="shared" si="5"/>
        <v>5.712253040952902E-2</v>
      </c>
      <c r="J33" s="214">
        <f t="shared" si="5"/>
        <v>5.712253040952902E-2</v>
      </c>
      <c r="K33" s="214">
        <f t="shared" si="5"/>
        <v>5.712253040952902E-2</v>
      </c>
      <c r="L33" s="214">
        <f t="shared" si="5"/>
        <v>5.712253040952902E-2</v>
      </c>
      <c r="M33" s="214">
        <f t="shared" si="5"/>
        <v>5.712253040952902E-2</v>
      </c>
      <c r="N33" s="214">
        <f t="shared" si="5"/>
        <v>5.712253040952902E-2</v>
      </c>
      <c r="O33" s="214">
        <f t="shared" si="5"/>
        <v>5.712253040952902E-2</v>
      </c>
      <c r="P33" s="1126">
        <f>P34/P32</f>
        <v>5.7122530409529013E-2</v>
      </c>
      <c r="Q33" s="680"/>
    </row>
    <row r="34" spans="1:17">
      <c r="A34" s="1059">
        <f t="shared" si="1"/>
        <v>23</v>
      </c>
      <c r="B34" s="1"/>
      <c r="C34" s="1" t="s">
        <v>215</v>
      </c>
      <c r="D34" s="1">
        <f>D32*D33</f>
        <v>-242150.41669843282</v>
      </c>
      <c r="E34" s="1">
        <f t="shared" ref="E34:O34" si="6">E32*E33</f>
        <v>-241330.47589835734</v>
      </c>
      <c r="F34" s="1">
        <f t="shared" si="6"/>
        <v>-250727.62740306352</v>
      </c>
      <c r="G34" s="1">
        <f t="shared" si="6"/>
        <v>-239969.27284628755</v>
      </c>
      <c r="H34" s="1">
        <f t="shared" si="6"/>
        <v>-254660.51266459626</v>
      </c>
      <c r="I34" s="1">
        <f t="shared" si="6"/>
        <v>-243389.42084939437</v>
      </c>
      <c r="J34" s="1">
        <f t="shared" si="6"/>
        <v>-265363.03742603236</v>
      </c>
      <c r="K34" s="1">
        <f t="shared" si="6"/>
        <v>-244051.13166901021</v>
      </c>
      <c r="L34" s="1">
        <f t="shared" si="6"/>
        <v>-240078.00662621777</v>
      </c>
      <c r="M34" s="1">
        <f t="shared" si="6"/>
        <v>-261258.44373705168</v>
      </c>
      <c r="N34" s="1">
        <f t="shared" si="6"/>
        <v>-244603.01585553415</v>
      </c>
      <c r="O34" s="1">
        <f t="shared" si="6"/>
        <v>-254773.80435038282</v>
      </c>
      <c r="P34" s="1">
        <f>SUM(D34:O34)</f>
        <v>-2982355.1660243608</v>
      </c>
      <c r="Q34" s="68"/>
    </row>
    <row r="35" spans="1:17">
      <c r="A35" s="1"/>
      <c r="B35" s="1"/>
      <c r="C35" s="24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247"/>
      <c r="Q35" s="1"/>
    </row>
    <row r="36" spans="1:17">
      <c r="A36" s="1"/>
      <c r="B36" s="1" t="s">
        <v>578</v>
      </c>
      <c r="C36" s="24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47"/>
      <c r="Q36" s="1"/>
    </row>
    <row r="37" spans="1:17">
      <c r="A37" s="1"/>
      <c r="B37" s="1"/>
      <c r="C37" s="240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7"/>
    </row>
    <row r="38" spans="1:17">
      <c r="A38" s="1"/>
      <c r="B38" s="1"/>
      <c r="C38" s="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00"/>
      <c r="P38" s="47"/>
      <c r="Q38" s="47"/>
    </row>
    <row r="39" spans="1:17">
      <c r="A39" s="1"/>
      <c r="B39" s="1"/>
      <c r="C39" s="48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00"/>
      <c r="P39" s="47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972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7"/>
      <c r="Q41" s="1"/>
    </row>
    <row r="42" spans="1:17">
      <c r="A42" s="1"/>
      <c r="B42" s="1" t="s">
        <v>1397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0"/>
      <c r="P43" s="47"/>
      <c r="Q43" s="1"/>
    </row>
    <row r="44" spans="1:17">
      <c r="A44" s="1"/>
    </row>
    <row r="45" spans="1:17">
      <c r="A45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3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D12" sqref="D12"/>
    </sheetView>
  </sheetViews>
  <sheetFormatPr defaultColWidth="7.109375" defaultRowHeight="15"/>
  <cols>
    <col min="1" max="1" width="4.664062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8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"/>
    </row>
    <row r="2" spans="1:18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"/>
    </row>
    <row r="3" spans="1:18" ht="15.75">
      <c r="A3" s="1266" t="s">
        <v>195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"/>
    </row>
    <row r="4" spans="1:18">
      <c r="A4" s="1266" t="str">
        <f>'Table of Contents'!A4:C4</f>
        <v>Forecasted Test Period: Twelve Months Ended May 31, 2017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"/>
    </row>
    <row r="5" spans="1:18">
      <c r="A5" s="1"/>
      <c r="B5" s="40"/>
      <c r="C5" s="40"/>
      <c r="D5" s="40"/>
      <c r="E5" s="40"/>
      <c r="F5" s="40"/>
      <c r="G5" s="272"/>
      <c r="H5" s="40"/>
      <c r="I5" s="40"/>
      <c r="J5" s="40"/>
      <c r="K5" s="40"/>
      <c r="L5" s="40"/>
      <c r="M5" s="40"/>
      <c r="N5" s="40"/>
      <c r="O5" s="205"/>
      <c r="P5" s="1"/>
      <c r="Q5" s="1"/>
    </row>
    <row r="6" spans="1:18">
      <c r="A6" s="4" t="str">
        <f>'C.2.1 F'!A6</f>
        <v>Data:________Base Period___X____Forecasted Period</v>
      </c>
      <c r="B6" s="79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79"/>
      <c r="O6" s="79"/>
      <c r="P6" s="232" t="s">
        <v>1524</v>
      </c>
      <c r="Q6" s="1"/>
    </row>
    <row r="7" spans="1:18" ht="15.75">
      <c r="A7" s="4" t="str">
        <f>'C.2.1 F'!A7</f>
        <v>Type of Filing:___X____Original________Updated ________Revised</v>
      </c>
      <c r="B7" s="79"/>
      <c r="C7" s="4"/>
      <c r="D7" s="1"/>
      <c r="E7" s="1"/>
      <c r="F7" s="769"/>
      <c r="G7" s="1"/>
      <c r="H7" s="1"/>
      <c r="I7" s="1"/>
      <c r="J7" s="1"/>
      <c r="K7" s="1"/>
      <c r="L7" s="1"/>
      <c r="M7" s="1"/>
      <c r="N7" s="79"/>
      <c r="O7" s="79"/>
      <c r="P7" s="670" t="s">
        <v>38</v>
      </c>
      <c r="Q7" s="1"/>
    </row>
    <row r="8" spans="1:18">
      <c r="A8" s="73" t="str">
        <f>'C.2.1 F'!A8</f>
        <v>Workpaper Reference No(s).____________________</v>
      </c>
      <c r="B8" s="460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0"/>
      <c r="O8" s="460"/>
      <c r="P8" s="671" t="str">
        <f>C.1!J9</f>
        <v>Witness: Waller, Smith</v>
      </c>
      <c r="Q8" s="1"/>
    </row>
    <row r="9" spans="1:18">
      <c r="A9" s="323" t="s">
        <v>98</v>
      </c>
      <c r="B9" s="85" t="s">
        <v>105</v>
      </c>
      <c r="C9" s="462"/>
      <c r="D9" s="470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2"/>
      <c r="Q9" s="1"/>
    </row>
    <row r="10" spans="1:18">
      <c r="A10" s="251" t="s">
        <v>104</v>
      </c>
      <c r="B10" s="45" t="s">
        <v>104</v>
      </c>
      <c r="C10" s="463" t="s">
        <v>971</v>
      </c>
      <c r="D10" s="447">
        <f>'C.2.2-F 09'!D10</f>
        <v>42551</v>
      </c>
      <c r="E10" s="447">
        <f>'C.2.2-F 09'!F10</f>
        <v>42613</v>
      </c>
      <c r="F10" s="447">
        <f>'C.2.2-F 09'!F10</f>
        <v>42613</v>
      </c>
      <c r="G10" s="447">
        <f>'C.2.2-F 09'!G10</f>
        <v>42643</v>
      </c>
      <c r="H10" s="447">
        <f>'C.2.2-F 09'!H10</f>
        <v>42674</v>
      </c>
      <c r="I10" s="447">
        <f>'C.2.2-F 09'!I10</f>
        <v>42704</v>
      </c>
      <c r="J10" s="447">
        <f>'C.2.2-F 09'!J10</f>
        <v>42735</v>
      </c>
      <c r="K10" s="447">
        <f>'C.2.2-F 09'!K10</f>
        <v>42766</v>
      </c>
      <c r="L10" s="447">
        <f>'C.2.2-F 09'!L10</f>
        <v>42794</v>
      </c>
      <c r="M10" s="447">
        <f>'C.2.2-F 09'!M10</f>
        <v>42825</v>
      </c>
      <c r="N10" s="447">
        <f>'C.2.2-F 09'!N10</f>
        <v>42855</v>
      </c>
      <c r="O10" s="447">
        <f>'C.2.2-F 09'!O10</f>
        <v>42886</v>
      </c>
      <c r="P10" s="473" t="str">
        <f>'C.2.2 B 09'!P10</f>
        <v>Total</v>
      </c>
      <c r="Q10" s="296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59" t="s">
        <v>151</v>
      </c>
      <c r="P11" s="2" t="s">
        <v>151</v>
      </c>
      <c r="Q11" s="2"/>
    </row>
    <row r="12" spans="1:18">
      <c r="A12" s="77">
        <v>1</v>
      </c>
      <c r="B12" s="465">
        <v>4030</v>
      </c>
      <c r="C12" s="1" t="s">
        <v>96</v>
      </c>
      <c r="D12" s="517">
        <v>0</v>
      </c>
      <c r="E12" s="517">
        <v>0</v>
      </c>
      <c r="F12" s="517">
        <v>0</v>
      </c>
      <c r="G12" s="517">
        <v>0</v>
      </c>
      <c r="H12" s="517">
        <v>0</v>
      </c>
      <c r="I12" s="517">
        <v>0</v>
      </c>
      <c r="J12" s="517">
        <v>0</v>
      </c>
      <c r="K12" s="517">
        <v>0</v>
      </c>
      <c r="L12" s="517">
        <v>0</v>
      </c>
      <c r="M12" s="517">
        <v>0</v>
      </c>
      <c r="N12" s="517">
        <v>0</v>
      </c>
      <c r="O12" s="517">
        <v>0</v>
      </c>
      <c r="P12" s="391">
        <f t="shared" ref="P12:P46" si="0">SUM(D12:O12)</f>
        <v>0</v>
      </c>
      <c r="Q12" s="1"/>
    </row>
    <row r="13" spans="1:18" s="1055" customFormat="1">
      <c r="A13" s="1059">
        <f>A12+1</f>
        <v>2</v>
      </c>
      <c r="B13" s="393">
        <v>4060</v>
      </c>
      <c r="C13" s="60" t="s">
        <v>879</v>
      </c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391"/>
      <c r="Q13" s="1"/>
    </row>
    <row r="14" spans="1:18">
      <c r="A14" s="1119">
        <f t="shared" ref="A14:A52" si="1">A13+1</f>
        <v>3</v>
      </c>
      <c r="B14" s="465">
        <v>4081</v>
      </c>
      <c r="C14" s="1" t="s">
        <v>880</v>
      </c>
      <c r="D14" s="517">
        <v>0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391">
        <f t="shared" si="0"/>
        <v>0</v>
      </c>
      <c r="Q14" s="1"/>
    </row>
    <row r="15" spans="1:18">
      <c r="A15" s="1119">
        <f t="shared" si="1"/>
        <v>4</v>
      </c>
      <c r="B15" s="465">
        <v>8170</v>
      </c>
      <c r="C15" s="1" t="s">
        <v>905</v>
      </c>
      <c r="D15" s="123">
        <v>43.397317079154668</v>
      </c>
      <c r="E15" s="123">
        <v>42.787408038999693</v>
      </c>
      <c r="F15" s="123">
        <v>43.25477653943306</v>
      </c>
      <c r="G15" s="123">
        <v>42.019827232598821</v>
      </c>
      <c r="H15" s="123">
        <v>40.632852957823019</v>
      </c>
      <c r="I15" s="123">
        <v>41.089256801354722</v>
      </c>
      <c r="J15" s="123">
        <v>44.444441813263438</v>
      </c>
      <c r="K15" s="123">
        <v>47.069106559098891</v>
      </c>
      <c r="L15" s="123">
        <v>48.143642935461813</v>
      </c>
      <c r="M15" s="123">
        <v>48.997515591678777</v>
      </c>
      <c r="N15" s="123">
        <v>49.351125776757392</v>
      </c>
      <c r="O15" s="123">
        <v>45.121509376941091</v>
      </c>
      <c r="P15" s="1">
        <f t="shared" si="0"/>
        <v>536.3087807025654</v>
      </c>
      <c r="Q15" s="1"/>
      <c r="R15" s="465"/>
    </row>
    <row r="16" spans="1:18">
      <c r="A16" s="1119">
        <f t="shared" si="1"/>
        <v>5</v>
      </c>
      <c r="B16" s="465">
        <v>8180</v>
      </c>
      <c r="C16" s="1" t="s">
        <v>906</v>
      </c>
      <c r="D16" s="123">
        <v>42.813793657096312</v>
      </c>
      <c r="E16" s="123">
        <v>42.212085497415273</v>
      </c>
      <c r="F16" s="123">
        <v>42.673169727642801</v>
      </c>
      <c r="G16" s="123">
        <v>41.454825637307891</v>
      </c>
      <c r="H16" s="123">
        <v>40.086500717598199</v>
      </c>
      <c r="I16" s="123">
        <v>40.53676772248312</v>
      </c>
      <c r="J16" s="123">
        <v>43.846838677312746</v>
      </c>
      <c r="K16" s="123">
        <v>46.43621199369295</v>
      </c>
      <c r="L16" s="123">
        <v>47.496300077265801</v>
      </c>
      <c r="M16" s="123">
        <v>48.338691500819323</v>
      </c>
      <c r="N16" s="123">
        <v>48.687547018117527</v>
      </c>
      <c r="O16" s="123">
        <v>44.514802342217081</v>
      </c>
      <c r="P16" s="1">
        <f t="shared" si="0"/>
        <v>529.09753456896897</v>
      </c>
      <c r="Q16" s="1"/>
      <c r="R16" s="465"/>
    </row>
    <row r="17" spans="1:18">
      <c r="A17" s="1119">
        <f t="shared" si="1"/>
        <v>6</v>
      </c>
      <c r="B17" s="465">
        <v>8190</v>
      </c>
      <c r="C17" s="1" t="s">
        <v>907</v>
      </c>
      <c r="D17" s="123">
        <v>530.62326495554078</v>
      </c>
      <c r="E17" s="123">
        <v>523.16584712432677</v>
      </c>
      <c r="F17" s="123">
        <v>528.88040775453794</v>
      </c>
      <c r="G17" s="123">
        <v>513.78056109692682</v>
      </c>
      <c r="H17" s="123">
        <v>496.82189020147672</v>
      </c>
      <c r="I17" s="123">
        <v>502.40238489314919</v>
      </c>
      <c r="J17" s="123">
        <v>543.42656208598441</v>
      </c>
      <c r="K17" s="123">
        <v>575.51859612368037</v>
      </c>
      <c r="L17" s="123">
        <v>588.65705810047075</v>
      </c>
      <c r="M17" s="123">
        <v>599.09744306417019</v>
      </c>
      <c r="N17" s="123">
        <v>603.42106958204249</v>
      </c>
      <c r="O17" s="123">
        <v>551.70513379074771</v>
      </c>
      <c r="P17" s="1">
        <f t="shared" si="0"/>
        <v>6557.5002187730543</v>
      </c>
      <c r="Q17" s="1"/>
      <c r="R17" s="465"/>
    </row>
    <row r="18" spans="1:18">
      <c r="A18" s="1119">
        <f t="shared" si="1"/>
        <v>7</v>
      </c>
      <c r="B18" s="465">
        <v>8210</v>
      </c>
      <c r="C18" s="1" t="s">
        <v>909</v>
      </c>
      <c r="D18" s="123">
        <v>253.69128261273127</v>
      </c>
      <c r="E18" s="123">
        <v>250.12588693650093</v>
      </c>
      <c r="F18" s="123">
        <v>252.85802160075835</v>
      </c>
      <c r="G18" s="123">
        <v>245.63877638702672</v>
      </c>
      <c r="H18" s="123">
        <v>237.53082625552543</v>
      </c>
      <c r="I18" s="123">
        <v>240.19886391886183</v>
      </c>
      <c r="J18" s="123">
        <v>259.81254620068631</v>
      </c>
      <c r="K18" s="123">
        <v>275.15576579614947</v>
      </c>
      <c r="L18" s="123">
        <v>281.43727188640696</v>
      </c>
      <c r="M18" s="123">
        <v>286.42882583312945</v>
      </c>
      <c r="N18" s="123">
        <v>288.49595411283155</v>
      </c>
      <c r="O18" s="123">
        <v>263.77053600755772</v>
      </c>
      <c r="P18" s="1">
        <f t="shared" si="0"/>
        <v>3135.1445575481657</v>
      </c>
      <c r="Q18" s="1"/>
      <c r="R18" s="465"/>
    </row>
    <row r="19" spans="1:18">
      <c r="A19" s="1119">
        <f t="shared" si="1"/>
        <v>8</v>
      </c>
      <c r="B19" s="465">
        <v>8240</v>
      </c>
      <c r="C19" s="1" t="s">
        <v>910</v>
      </c>
      <c r="D19" s="123">
        <v>21.101710498913359</v>
      </c>
      <c r="E19" s="123">
        <v>20.805145529872856</v>
      </c>
      <c r="F19" s="123">
        <v>21.032400933115127</v>
      </c>
      <c r="G19" s="123">
        <v>20.431913518049392</v>
      </c>
      <c r="H19" s="123">
        <v>19.757504785307304</v>
      </c>
      <c r="I19" s="123">
        <v>19.979428683488173</v>
      </c>
      <c r="J19" s="123">
        <v>21.610869232277278</v>
      </c>
      <c r="K19" s="123">
        <v>22.887098256350455</v>
      </c>
      <c r="L19" s="123">
        <v>23.409585752367878</v>
      </c>
      <c r="M19" s="123">
        <v>23.824776709024583</v>
      </c>
      <c r="N19" s="123">
        <v>23.996717747254809</v>
      </c>
      <c r="O19" s="123">
        <v>21.940089669818871</v>
      </c>
      <c r="P19" s="1">
        <f t="shared" si="0"/>
        <v>260.77724131584012</v>
      </c>
      <c r="Q19" s="1"/>
      <c r="R19" s="465"/>
    </row>
    <row r="20" spans="1:18">
      <c r="A20" s="1119">
        <f t="shared" si="1"/>
        <v>9</v>
      </c>
      <c r="B20" s="465">
        <v>8250</v>
      </c>
      <c r="C20" s="1" t="s">
        <v>922</v>
      </c>
      <c r="D20" s="123">
        <v>1892.6349501073055</v>
      </c>
      <c r="E20" s="123">
        <v>1866.0357213190778</v>
      </c>
      <c r="F20" s="123">
        <v>1886.4185011320792</v>
      </c>
      <c r="G20" s="123">
        <v>1832.5601435874844</v>
      </c>
      <c r="H20" s="123">
        <v>1772.0717041166185</v>
      </c>
      <c r="I20" s="123">
        <v>1791.9762955469105</v>
      </c>
      <c r="J20" s="123">
        <v>1938.3019406560832</v>
      </c>
      <c r="K20" s="123">
        <v>2052.7682847672213</v>
      </c>
      <c r="L20" s="123">
        <v>2099.6307462727736</v>
      </c>
      <c r="M20" s="123">
        <v>2136.8696665762923</v>
      </c>
      <c r="N20" s="123">
        <v>2152.2912419186805</v>
      </c>
      <c r="O20" s="123">
        <v>1967.8300732884081</v>
      </c>
      <c r="P20" s="1">
        <f t="shared" si="0"/>
        <v>23389.389269288935</v>
      </c>
      <c r="Q20" s="1"/>
      <c r="R20" s="465"/>
    </row>
    <row r="21" spans="1:18">
      <c r="A21" s="1119">
        <f t="shared" si="1"/>
        <v>10</v>
      </c>
      <c r="B21" s="465">
        <v>8560</v>
      </c>
      <c r="C21" s="1" t="s">
        <v>928</v>
      </c>
      <c r="D21" s="123">
        <v>180.53474797225684</v>
      </c>
      <c r="E21" s="123">
        <v>185.05508232658852</v>
      </c>
      <c r="F21" s="123">
        <v>202.49665909877274</v>
      </c>
      <c r="G21" s="123">
        <v>189.56120747297021</v>
      </c>
      <c r="H21" s="123">
        <v>181.45324336972965</v>
      </c>
      <c r="I21" s="123">
        <v>196.93241776361486</v>
      </c>
      <c r="J21" s="123">
        <v>196.81369913695752</v>
      </c>
      <c r="K21" s="123">
        <v>205.62771227041577</v>
      </c>
      <c r="L21" s="123">
        <v>192.82216525906563</v>
      </c>
      <c r="M21" s="123">
        <v>203.85870587958235</v>
      </c>
      <c r="N21" s="123">
        <v>202.1660550187857</v>
      </c>
      <c r="O21" s="123">
        <v>215.43341110941881</v>
      </c>
      <c r="P21" s="1">
        <f t="shared" si="0"/>
        <v>2352.7551066781589</v>
      </c>
      <c r="Q21" s="1"/>
      <c r="R21" s="465"/>
    </row>
    <row r="22" spans="1:18">
      <c r="A22" s="1119">
        <f t="shared" si="1"/>
        <v>11</v>
      </c>
      <c r="B22" s="465">
        <v>8570</v>
      </c>
      <c r="C22" s="1" t="s">
        <v>929</v>
      </c>
      <c r="D22" s="123">
        <v>86.792844209161913</v>
      </c>
      <c r="E22" s="123">
        <v>85.573051284927033</v>
      </c>
      <c r="F22" s="123">
        <v>86.507769008891287</v>
      </c>
      <c r="G22" s="123">
        <v>84.037921331469747</v>
      </c>
      <c r="H22" s="123">
        <v>81.264029988528776</v>
      </c>
      <c r="I22" s="123">
        <v>82.176818850933742</v>
      </c>
      <c r="J22" s="123">
        <v>88.887050488073015</v>
      </c>
      <c r="K22" s="123">
        <v>94.136271723825345</v>
      </c>
      <c r="L22" s="123">
        <v>96.285300156634662</v>
      </c>
      <c r="M22" s="123">
        <v>97.993010250563486</v>
      </c>
      <c r="N22" s="123">
        <v>98.700216035850218</v>
      </c>
      <c r="O22" s="123">
        <v>90.241157689358474</v>
      </c>
      <c r="P22" s="1">
        <f t="shared" si="0"/>
        <v>1072.5954410182176</v>
      </c>
      <c r="Q22" s="1"/>
      <c r="R22" s="465"/>
    </row>
    <row r="23" spans="1:18" s="1055" customFormat="1">
      <c r="A23" s="1119">
        <f t="shared" si="1"/>
        <v>12</v>
      </c>
      <c r="B23" s="1058">
        <v>8650</v>
      </c>
      <c r="C23" s="1073" t="s">
        <v>1494</v>
      </c>
      <c r="D23" s="123">
        <v>2.0473950400979639</v>
      </c>
      <c r="E23" s="123">
        <v>3.9217211403648395</v>
      </c>
      <c r="F23" s="123">
        <v>5.0894631695529045</v>
      </c>
      <c r="G23" s="123">
        <v>3.9779431731910857</v>
      </c>
      <c r="H23" s="123">
        <v>2.2271475890565529</v>
      </c>
      <c r="I23" s="123">
        <v>5.8506048296608864</v>
      </c>
      <c r="J23" s="123">
        <v>3.1597896998298647</v>
      </c>
      <c r="K23" s="123">
        <v>6.0495593765710938</v>
      </c>
      <c r="L23" s="123">
        <v>3.5106920959932033</v>
      </c>
      <c r="M23" s="123">
        <v>3.3873202740588084</v>
      </c>
      <c r="N23" s="123">
        <v>4.9105815934016546</v>
      </c>
      <c r="O23" s="123">
        <v>7.2958513431803098</v>
      </c>
      <c r="P23" s="1">
        <f t="shared" si="0"/>
        <v>51.428069324959168</v>
      </c>
      <c r="Q23" s="1"/>
      <c r="R23" s="1058"/>
    </row>
    <row r="24" spans="1:18">
      <c r="A24" s="1119">
        <f t="shared" si="1"/>
        <v>13</v>
      </c>
      <c r="B24" s="465">
        <v>8700</v>
      </c>
      <c r="C24" s="1" t="s">
        <v>932</v>
      </c>
      <c r="D24" s="123">
        <v>390818.04890339996</v>
      </c>
      <c r="E24" s="123">
        <v>355405.60569671937</v>
      </c>
      <c r="F24" s="123">
        <v>397637.26608418446</v>
      </c>
      <c r="G24" s="123">
        <v>406093.24358531245</v>
      </c>
      <c r="H24" s="123">
        <v>352450.91531155852</v>
      </c>
      <c r="I24" s="123">
        <v>411222.22902339842</v>
      </c>
      <c r="J24" s="123">
        <v>384948.7545350311</v>
      </c>
      <c r="K24" s="123">
        <v>406619.66495568561</v>
      </c>
      <c r="L24" s="123">
        <v>411360.95769886236</v>
      </c>
      <c r="M24" s="123">
        <v>394924.75733174384</v>
      </c>
      <c r="N24" s="123">
        <v>378235.75865843758</v>
      </c>
      <c r="O24" s="123">
        <v>423100.5307050363</v>
      </c>
      <c r="P24" s="1">
        <f t="shared" si="0"/>
        <v>4712817.7324893707</v>
      </c>
      <c r="Q24" s="1"/>
      <c r="R24" s="465"/>
    </row>
    <row r="25" spans="1:18">
      <c r="A25" s="1119">
        <f t="shared" si="1"/>
        <v>14</v>
      </c>
      <c r="B25" s="465">
        <v>8711</v>
      </c>
      <c r="C25" s="1" t="s">
        <v>194</v>
      </c>
      <c r="D25" s="123">
        <v>3871.4087141210334</v>
      </c>
      <c r="E25" s="123">
        <v>7415.5622631745055</v>
      </c>
      <c r="F25" s="123">
        <v>9623.6396391105845</v>
      </c>
      <c r="G25" s="123">
        <v>7521.8722148674206</v>
      </c>
      <c r="H25" s="123">
        <v>4211.3018811917382</v>
      </c>
      <c r="I25" s="123">
        <v>11062.878475735681</v>
      </c>
      <c r="J25" s="123">
        <v>5974.830034816292</v>
      </c>
      <c r="K25" s="123">
        <v>11439.080601626016</v>
      </c>
      <c r="L25" s="123">
        <v>6638.3495646124074</v>
      </c>
      <c r="M25" s="123">
        <v>6405.0664232744512</v>
      </c>
      <c r="N25" s="123">
        <v>9285.3933900259326</v>
      </c>
      <c r="O25" s="123">
        <v>13795.687648812716</v>
      </c>
      <c r="P25" s="1">
        <f t="shared" si="0"/>
        <v>97245.070851368771</v>
      </c>
      <c r="Q25" s="1"/>
    </row>
    <row r="26" spans="1:18">
      <c r="A26" s="1119">
        <f t="shared" si="1"/>
        <v>15</v>
      </c>
      <c r="B26" s="465">
        <v>8740</v>
      </c>
      <c r="C26" s="1" t="s">
        <v>934</v>
      </c>
      <c r="D26" s="123">
        <v>136.36803927530002</v>
      </c>
      <c r="E26" s="123">
        <v>758.68639394040508</v>
      </c>
      <c r="F26" s="123">
        <v>342.63376193860785</v>
      </c>
      <c r="G26" s="123">
        <v>623.34431273414532</v>
      </c>
      <c r="H26" s="123">
        <v>186.08280391789407</v>
      </c>
      <c r="I26" s="123">
        <v>506.69603624273037</v>
      </c>
      <c r="J26" s="123">
        <v>141.3501852521016</v>
      </c>
      <c r="K26" s="123">
        <v>1758.2683722417257</v>
      </c>
      <c r="L26" s="123">
        <v>452.12725049548129</v>
      </c>
      <c r="M26" s="123">
        <v>632.05656211767894</v>
      </c>
      <c r="N26" s="123">
        <v>682.65789154267691</v>
      </c>
      <c r="O26" s="123">
        <v>1552.1761898843904</v>
      </c>
      <c r="P26" s="1">
        <f t="shared" si="0"/>
        <v>7772.4477995831385</v>
      </c>
      <c r="Q26" s="1"/>
      <c r="R26" s="465"/>
    </row>
    <row r="27" spans="1:18">
      <c r="A27" s="1119">
        <f t="shared" si="1"/>
        <v>16</v>
      </c>
      <c r="B27" s="465">
        <v>8750</v>
      </c>
      <c r="C27" s="1" t="s">
        <v>1247</v>
      </c>
      <c r="D27" s="123">
        <v>10246.838448876106</v>
      </c>
      <c r="E27" s="123">
        <v>11683.958046423148</v>
      </c>
      <c r="F27" s="123">
        <v>12790.84929448812</v>
      </c>
      <c r="G27" s="123">
        <v>11735.318869082688</v>
      </c>
      <c r="H27" s="123">
        <v>10343.893971034831</v>
      </c>
      <c r="I27" s="123">
        <v>12955.74727096441</v>
      </c>
      <c r="J27" s="123">
        <v>10927.545929181664</v>
      </c>
      <c r="K27" s="123">
        <v>13162.272750333235</v>
      </c>
      <c r="L27" s="123">
        <v>10985.741271633295</v>
      </c>
      <c r="M27" s="123">
        <v>10950.728106863471</v>
      </c>
      <c r="N27" s="123">
        <v>12552.919595280788</v>
      </c>
      <c r="O27" s="123">
        <v>14305.177648547908</v>
      </c>
      <c r="P27" s="1">
        <f t="shared" si="0"/>
        <v>142640.99120270967</v>
      </c>
      <c r="Q27" s="1"/>
      <c r="R27" s="465"/>
    </row>
    <row r="28" spans="1:18" s="1055" customFormat="1">
      <c r="A28" s="1119">
        <f t="shared" si="1"/>
        <v>17</v>
      </c>
      <c r="B28" s="397">
        <v>8760</v>
      </c>
      <c r="C28" s="1055" t="s">
        <v>936</v>
      </c>
      <c r="D28" s="123">
        <v>95.104801862615105</v>
      </c>
      <c r="E28" s="123">
        <v>182.1702723266248</v>
      </c>
      <c r="F28" s="123">
        <v>236.41377303729621</v>
      </c>
      <c r="G28" s="123">
        <v>184.78187643210202</v>
      </c>
      <c r="H28" s="123">
        <v>103.45459768520762</v>
      </c>
      <c r="I28" s="123">
        <v>271.77003079715081</v>
      </c>
      <c r="J28" s="123">
        <v>146.77732799209693</v>
      </c>
      <c r="K28" s="123">
        <v>281.01179039556047</v>
      </c>
      <c r="L28" s="123">
        <v>163.07731026549072</v>
      </c>
      <c r="M28" s="123">
        <v>157.3464901498285</v>
      </c>
      <c r="N28" s="123">
        <v>228.10443530639941</v>
      </c>
      <c r="O28" s="123">
        <v>338.90406239289177</v>
      </c>
      <c r="P28" s="1">
        <f t="shared" si="0"/>
        <v>2388.9167686432643</v>
      </c>
      <c r="Q28" s="1"/>
      <c r="R28" s="1058"/>
    </row>
    <row r="29" spans="1:18">
      <c r="A29" s="1119">
        <f t="shared" si="1"/>
        <v>18</v>
      </c>
      <c r="B29" s="465">
        <v>8770</v>
      </c>
      <c r="C29" s="1" t="s">
        <v>937</v>
      </c>
      <c r="D29" s="123">
        <v>803.20030454865616</v>
      </c>
      <c r="E29" s="123">
        <v>877.62092024947174</v>
      </c>
      <c r="F29" s="123">
        <v>916.19925933084994</v>
      </c>
      <c r="G29" s="123">
        <v>1355.5118029589198</v>
      </c>
      <c r="H29" s="123">
        <v>803.21184313128913</v>
      </c>
      <c r="I29" s="123">
        <v>911.71110018709828</v>
      </c>
      <c r="J29" s="123">
        <v>868.76372149375891</v>
      </c>
      <c r="K29" s="123">
        <v>971.89744986463938</v>
      </c>
      <c r="L29" s="123">
        <v>893.951716412049</v>
      </c>
      <c r="M29" s="123">
        <v>897.90926350558175</v>
      </c>
      <c r="N29" s="123">
        <v>910.09144887492755</v>
      </c>
      <c r="O29" s="123">
        <v>997.07935517975056</v>
      </c>
      <c r="P29" s="1">
        <f t="shared" si="0"/>
        <v>11207.148185736993</v>
      </c>
      <c r="Q29" s="1"/>
    </row>
    <row r="30" spans="1:18">
      <c r="A30" s="1119">
        <f t="shared" si="1"/>
        <v>19</v>
      </c>
      <c r="B30" s="465">
        <v>8800</v>
      </c>
      <c r="C30" s="1" t="s">
        <v>940</v>
      </c>
      <c r="D30" s="123">
        <v>103.58240224538814</v>
      </c>
      <c r="E30" s="123">
        <v>102.65569581762655</v>
      </c>
      <c r="F30" s="123">
        <v>89.128052467106215</v>
      </c>
      <c r="G30" s="123">
        <v>126.39146611495735</v>
      </c>
      <c r="H30" s="123">
        <v>105.86530967153556</v>
      </c>
      <c r="I30" s="123">
        <v>171.68814656514871</v>
      </c>
      <c r="J30" s="123">
        <v>95.416527945257712</v>
      </c>
      <c r="K30" s="123">
        <v>118.00720025284338</v>
      </c>
      <c r="L30" s="123">
        <v>87.317310778426901</v>
      </c>
      <c r="M30" s="123">
        <v>99.525151724225324</v>
      </c>
      <c r="N30" s="123">
        <v>107.95562259722823</v>
      </c>
      <c r="O30" s="123">
        <v>103.40646098499563</v>
      </c>
      <c r="P30" s="1">
        <f t="shared" si="0"/>
        <v>1310.9393471647397</v>
      </c>
      <c r="Q30" s="1"/>
    </row>
    <row r="31" spans="1:18">
      <c r="A31" s="1119">
        <f t="shared" si="1"/>
        <v>20</v>
      </c>
      <c r="B31" s="465">
        <v>8810</v>
      </c>
      <c r="C31" s="1" t="s">
        <v>941</v>
      </c>
      <c r="D31" s="123">
        <v>26974.780664574886</v>
      </c>
      <c r="E31" s="123">
        <v>26595.675141680134</v>
      </c>
      <c r="F31" s="123">
        <v>26886.180722145546</v>
      </c>
      <c r="G31" s="123">
        <v>26118.564451698192</v>
      </c>
      <c r="H31" s="123">
        <v>25256.452934959845</v>
      </c>
      <c r="I31" s="123">
        <v>25540.143135238384</v>
      </c>
      <c r="J31" s="123">
        <v>27625.649472421137</v>
      </c>
      <c r="K31" s="123">
        <v>29257.081104653567</v>
      </c>
      <c r="L31" s="123">
        <v>29924.988362966993</v>
      </c>
      <c r="M31" s="123">
        <v>30455.736095019638</v>
      </c>
      <c r="N31" s="123">
        <v>30675.532106046252</v>
      </c>
      <c r="O31" s="123">
        <v>28046.499198960468</v>
      </c>
      <c r="P31" s="1">
        <f t="shared" si="0"/>
        <v>333357.28339036508</v>
      </c>
      <c r="Q31" s="1"/>
      <c r="R31" s="465"/>
    </row>
    <row r="32" spans="1:18" s="1055" customFormat="1">
      <c r="A32" s="1119">
        <f t="shared" si="1"/>
        <v>21</v>
      </c>
      <c r="B32" s="397">
        <v>9010</v>
      </c>
      <c r="C32" s="1055" t="s">
        <v>186</v>
      </c>
      <c r="D32" s="123">
        <v>1394.1081679045922</v>
      </c>
      <c r="E32" s="123">
        <v>669.89943920930909</v>
      </c>
      <c r="F32" s="123">
        <v>2300.851832821827</v>
      </c>
      <c r="G32" s="123">
        <v>695.73384983263315</v>
      </c>
      <c r="H32" s="123">
        <v>693.73047083823781</v>
      </c>
      <c r="I32" s="123">
        <v>1508.435452625813</v>
      </c>
      <c r="J32" s="123">
        <v>657.67943269280556</v>
      </c>
      <c r="K32" s="123">
        <v>2238.760859782531</v>
      </c>
      <c r="L32" s="123">
        <v>3439.51083849305</v>
      </c>
      <c r="M32" s="123">
        <v>624.87522646403932</v>
      </c>
      <c r="N32" s="123">
        <v>903.21366041065414</v>
      </c>
      <c r="O32" s="123">
        <v>2641.902851743328</v>
      </c>
      <c r="P32" s="1">
        <f t="shared" si="0"/>
        <v>17768.702082818822</v>
      </c>
      <c r="Q32" s="1"/>
      <c r="R32" s="1058"/>
    </row>
    <row r="33" spans="1:18">
      <c r="A33" s="1119">
        <f t="shared" si="1"/>
        <v>22</v>
      </c>
      <c r="B33" s="465">
        <v>9030</v>
      </c>
      <c r="C33" s="1" t="s">
        <v>956</v>
      </c>
      <c r="D33" s="123">
        <v>291191.88127310091</v>
      </c>
      <c r="E33" s="123">
        <v>290351.32145474787</v>
      </c>
      <c r="F33" s="123">
        <v>288684.71529841115</v>
      </c>
      <c r="G33" s="123">
        <v>472792.72380139411</v>
      </c>
      <c r="H33" s="123">
        <v>288923.08688988496</v>
      </c>
      <c r="I33" s="123">
        <v>274587.98708272772</v>
      </c>
      <c r="J33" s="123">
        <v>300460.61170972197</v>
      </c>
      <c r="K33" s="123">
        <v>294400.79374014144</v>
      </c>
      <c r="L33" s="123">
        <v>303253.40074720618</v>
      </c>
      <c r="M33" s="123">
        <v>308096.83303529007</v>
      </c>
      <c r="N33" s="123">
        <v>288148.58860330662</v>
      </c>
      <c r="O33" s="123">
        <v>285725.13870952674</v>
      </c>
      <c r="P33" s="1">
        <f t="shared" si="0"/>
        <v>3686617.0823454596</v>
      </c>
      <c r="Q33" s="1"/>
      <c r="R33" s="465"/>
    </row>
    <row r="34" spans="1:18">
      <c r="A34" s="1119">
        <f t="shared" si="1"/>
        <v>23</v>
      </c>
      <c r="B34" s="465">
        <v>9100</v>
      </c>
      <c r="C34" s="1" t="s">
        <v>959</v>
      </c>
      <c r="D34" s="123">
        <v>61.742262540158578</v>
      </c>
      <c r="E34" s="123">
        <v>29.668506363701876</v>
      </c>
      <c r="F34" s="123">
        <v>101.90012597201306</v>
      </c>
      <c r="G34" s="123">
        <v>30.812660741387656</v>
      </c>
      <c r="H34" s="123">
        <v>30.723935092483874</v>
      </c>
      <c r="I34" s="123">
        <v>66.805589325892001</v>
      </c>
      <c r="J34" s="123">
        <v>29.127306715098971</v>
      </c>
      <c r="K34" s="123">
        <v>99.150240958048727</v>
      </c>
      <c r="L34" s="123">
        <v>152.32905601518019</v>
      </c>
      <c r="M34" s="123">
        <v>27.67447402963937</v>
      </c>
      <c r="N34" s="123">
        <v>40.001526592267048</v>
      </c>
      <c r="O34" s="123">
        <v>117.0045934980085</v>
      </c>
      <c r="P34" s="1">
        <f t="shared" si="0"/>
        <v>786.94027784387981</v>
      </c>
      <c r="Q34" s="1"/>
      <c r="R34" s="465"/>
    </row>
    <row r="35" spans="1:18">
      <c r="A35" s="1119">
        <f t="shared" si="1"/>
        <v>24</v>
      </c>
      <c r="B35" s="465">
        <v>9110</v>
      </c>
      <c r="C35" s="1" t="s">
        <v>960</v>
      </c>
      <c r="D35" s="123">
        <v>12955.137929415927</v>
      </c>
      <c r="E35" s="123">
        <v>12496.880862451713</v>
      </c>
      <c r="F35" s="123">
        <v>12930.253529591417</v>
      </c>
      <c r="G35" s="123">
        <v>13702.493634509494</v>
      </c>
      <c r="H35" s="123">
        <v>13310.956770510811</v>
      </c>
      <c r="I35" s="123">
        <v>14975.138465703369</v>
      </c>
      <c r="J35" s="123">
        <v>13429.414349034809</v>
      </c>
      <c r="K35" s="123">
        <v>13263.830110014907</v>
      </c>
      <c r="L35" s="123">
        <v>12275.293038773672</v>
      </c>
      <c r="M35" s="123">
        <v>13579.266080377276</v>
      </c>
      <c r="N35" s="123">
        <v>12937.546686693016</v>
      </c>
      <c r="O35" s="123">
        <v>13252.190395143491</v>
      </c>
      <c r="P35" s="1">
        <f t="shared" si="0"/>
        <v>159108.40185221989</v>
      </c>
      <c r="Q35" s="1"/>
      <c r="R35" s="465"/>
    </row>
    <row r="36" spans="1:18">
      <c r="A36" s="1119">
        <f t="shared" si="1"/>
        <v>25</v>
      </c>
      <c r="B36" s="465">
        <v>9120</v>
      </c>
      <c r="C36" s="1" t="s">
        <v>961</v>
      </c>
      <c r="D36" s="123">
        <v>38.650254846986918</v>
      </c>
      <c r="E36" s="123">
        <v>18.572292052638883</v>
      </c>
      <c r="F36" s="123">
        <v>63.788816213152323</v>
      </c>
      <c r="G36" s="123">
        <v>19.288525252759921</v>
      </c>
      <c r="H36" s="123">
        <v>19.232983573519306</v>
      </c>
      <c r="I36" s="123">
        <v>41.819864488598043</v>
      </c>
      <c r="J36" s="123">
        <v>18.23350459197534</v>
      </c>
      <c r="K36" s="123">
        <v>62.067406076610887</v>
      </c>
      <c r="L36" s="123">
        <v>95.356998486381315</v>
      </c>
      <c r="M36" s="123">
        <v>17.324040778489024</v>
      </c>
      <c r="N36" s="123">
        <v>25.040695521224976</v>
      </c>
      <c r="O36" s="123">
        <v>73.244114661732027</v>
      </c>
      <c r="P36" s="1">
        <f t="shared" si="0"/>
        <v>492.61949654406885</v>
      </c>
      <c r="Q36" s="1"/>
    </row>
    <row r="37" spans="1:18">
      <c r="A37" s="1119">
        <f t="shared" si="1"/>
        <v>26</v>
      </c>
      <c r="B37" s="465">
        <v>9130</v>
      </c>
      <c r="C37" s="1" t="s">
        <v>962</v>
      </c>
      <c r="D37" s="123">
        <v>688.84836327600965</v>
      </c>
      <c r="E37" s="123">
        <v>331.0066915054685</v>
      </c>
      <c r="F37" s="123">
        <v>1136.883102522924</v>
      </c>
      <c r="G37" s="123">
        <v>343.77183547620166</v>
      </c>
      <c r="H37" s="123">
        <v>342.78193786776501</v>
      </c>
      <c r="I37" s="123">
        <v>745.33907523875087</v>
      </c>
      <c r="J37" s="123">
        <v>324.96861520557286</v>
      </c>
      <c r="K37" s="123">
        <v>1106.2030834705852</v>
      </c>
      <c r="L37" s="123">
        <v>1699.5104584511546</v>
      </c>
      <c r="M37" s="123">
        <v>308.7595976490523</v>
      </c>
      <c r="N37" s="123">
        <v>446.29051460014995</v>
      </c>
      <c r="O37" s="123">
        <v>1305.4011856863026</v>
      </c>
      <c r="P37" s="1">
        <f t="shared" si="0"/>
        <v>8779.7644609499366</v>
      </c>
      <c r="Q37" s="1"/>
      <c r="R37" s="465"/>
    </row>
    <row r="38" spans="1:18">
      <c r="A38" s="1119">
        <f t="shared" si="1"/>
        <v>27</v>
      </c>
      <c r="B38" s="465">
        <v>9200</v>
      </c>
      <c r="C38" s="1" t="s">
        <v>187</v>
      </c>
      <c r="D38" s="123">
        <v>-2701.0030662781301</v>
      </c>
      <c r="E38" s="123">
        <v>571.36603325114288</v>
      </c>
      <c r="F38" s="123">
        <v>1356.2729072123088</v>
      </c>
      <c r="G38" s="123">
        <v>42.708168142004624</v>
      </c>
      <c r="H38" s="123">
        <v>-4687.5100222886695</v>
      </c>
      <c r="I38" s="123">
        <v>6168.4446094830464</v>
      </c>
      <c r="J38" s="123">
        <v>2090.3916893289288</v>
      </c>
      <c r="K38" s="123">
        <v>-9840.1927948807952</v>
      </c>
      <c r="L38" s="123">
        <v>201.99809256353538</v>
      </c>
      <c r="M38" s="123">
        <v>1319.3361131435481</v>
      </c>
      <c r="N38" s="123">
        <v>81.95351184006293</v>
      </c>
      <c r="O38" s="123">
        <v>-1052.6986309596814</v>
      </c>
      <c r="P38" s="1">
        <f t="shared" si="0"/>
        <v>-6448.9333894426991</v>
      </c>
      <c r="Q38" s="1"/>
      <c r="R38" s="465"/>
    </row>
    <row r="39" spans="1:18">
      <c r="A39" s="1119">
        <f t="shared" si="1"/>
        <v>28</v>
      </c>
      <c r="B39" s="465">
        <v>9210</v>
      </c>
      <c r="C39" s="1" t="s">
        <v>963</v>
      </c>
      <c r="D39" s="123">
        <v>652.71895510959303</v>
      </c>
      <c r="E39" s="123">
        <v>653.56304290202218</v>
      </c>
      <c r="F39" s="123">
        <v>633.35714667020807</v>
      </c>
      <c r="G39" s="123">
        <v>994.87116696229782</v>
      </c>
      <c r="H39" s="123">
        <v>652.13282996501925</v>
      </c>
      <c r="I39" s="123">
        <v>749.66413721502727</v>
      </c>
      <c r="J39" s="123">
        <v>650.33386263195234</v>
      </c>
      <c r="K39" s="123">
        <v>695.48782963388658</v>
      </c>
      <c r="L39" s="123">
        <v>643.74142306234444</v>
      </c>
      <c r="M39" s="123">
        <v>671.82600988066474</v>
      </c>
      <c r="N39" s="123">
        <v>656.94360739210288</v>
      </c>
      <c r="O39" s="123">
        <v>641.62188354917589</v>
      </c>
      <c r="P39" s="1">
        <f t="shared" si="0"/>
        <v>8296.2618949742937</v>
      </c>
      <c r="Q39" s="1"/>
      <c r="R39" s="465"/>
    </row>
    <row r="40" spans="1:18">
      <c r="A40" s="1119">
        <f t="shared" si="1"/>
        <v>29</v>
      </c>
      <c r="B40" s="465">
        <v>9220</v>
      </c>
      <c r="C40" s="1" t="s">
        <v>964</v>
      </c>
      <c r="D40" s="123">
        <f t="shared" ref="D40:O40" si="2">-(SUM(D12:D39,D41:D46))</f>
        <v>-972863.32668000006</v>
      </c>
      <c r="E40" s="123">
        <f t="shared" si="2"/>
        <v>-1078374.4869600004</v>
      </c>
      <c r="F40" s="123">
        <f t="shared" si="2"/>
        <v>-933385.05720000016</v>
      </c>
      <c r="G40" s="123">
        <f t="shared" si="2"/>
        <v>-1123912.0066600002</v>
      </c>
      <c r="H40" s="123">
        <f t="shared" si="2"/>
        <v>-949351.37966514239</v>
      </c>
      <c r="I40" s="123">
        <f t="shared" si="2"/>
        <v>-1032591.4530757616</v>
      </c>
      <c r="J40" s="123">
        <f t="shared" si="2"/>
        <v>-1046154.350403685</v>
      </c>
      <c r="K40" s="123">
        <f t="shared" si="2"/>
        <v>-1048069.1170257614</v>
      </c>
      <c r="L40" s="123">
        <f t="shared" si="2"/>
        <v>-1056668.9310457616</v>
      </c>
      <c r="M40" s="123">
        <f t="shared" si="2"/>
        <v>-1045633.9042636851</v>
      </c>
      <c r="N40" s="123">
        <f t="shared" si="2"/>
        <v>-998612.88045576145</v>
      </c>
      <c r="O40" s="123">
        <f t="shared" si="2"/>
        <v>-1079427.0387351424</v>
      </c>
      <c r="P40" s="1">
        <f t="shared" si="0"/>
        <v>-12365043.932170702</v>
      </c>
      <c r="Q40" s="1"/>
    </row>
    <row r="41" spans="1:18">
      <c r="A41" s="1119">
        <f t="shared" si="1"/>
        <v>30</v>
      </c>
      <c r="B41" s="465">
        <v>9230</v>
      </c>
      <c r="C41" s="1" t="s">
        <v>965</v>
      </c>
      <c r="D41" s="123">
        <v>15584.816968463116</v>
      </c>
      <c r="E41" s="123">
        <v>15577.063622402406</v>
      </c>
      <c r="F41" s="123">
        <v>15404.029492285908</v>
      </c>
      <c r="G41" s="123">
        <v>25851.105437446378</v>
      </c>
      <c r="H41" s="123">
        <v>15430.160048711428</v>
      </c>
      <c r="I41" s="123">
        <v>14651.152353422915</v>
      </c>
      <c r="J41" s="123">
        <v>16042.360262033562</v>
      </c>
      <c r="K41" s="123">
        <v>15779.729789946392</v>
      </c>
      <c r="L41" s="123">
        <v>16284.024839064059</v>
      </c>
      <c r="M41" s="123">
        <v>16475.826950086463</v>
      </c>
      <c r="N41" s="123">
        <v>15426.255726518179</v>
      </c>
      <c r="O41" s="123">
        <v>15249.638974737793</v>
      </c>
      <c r="P41" s="1">
        <f t="shared" si="0"/>
        <v>197756.16446511858</v>
      </c>
      <c r="Q41" s="1"/>
    </row>
    <row r="42" spans="1:18">
      <c r="A42" s="1119">
        <f t="shared" si="1"/>
        <v>31</v>
      </c>
      <c r="B42" s="465">
        <v>9240</v>
      </c>
      <c r="C42" s="1" t="s">
        <v>966</v>
      </c>
      <c r="D42" s="123">
        <v>-7357.8279216975743</v>
      </c>
      <c r="E42" s="123">
        <v>-7388.3632326259285</v>
      </c>
      <c r="F42" s="123">
        <v>-7355.8579016376807</v>
      </c>
      <c r="G42" s="123">
        <v>-7357.8279216975743</v>
      </c>
      <c r="H42" s="123">
        <v>-6911.2243741196362</v>
      </c>
      <c r="I42" s="123">
        <v>-7030.016583731237</v>
      </c>
      <c r="J42" s="123">
        <v>-6899.7982577722532</v>
      </c>
      <c r="K42" s="123">
        <v>-6999.0872687909032</v>
      </c>
      <c r="L42" s="123">
        <v>-7021.7424994796829</v>
      </c>
      <c r="M42" s="123">
        <v>-7403.7293890931014</v>
      </c>
      <c r="N42" s="123">
        <v>-7370.0420460689156</v>
      </c>
      <c r="O42" s="123">
        <v>-7357.8279216975743</v>
      </c>
      <c r="P42" s="1">
        <f t="shared" si="0"/>
        <v>-86453.345318412074</v>
      </c>
      <c r="Q42" s="1"/>
      <c r="R42" s="465"/>
    </row>
    <row r="43" spans="1:18">
      <c r="A43" s="1119">
        <f t="shared" si="1"/>
        <v>32</v>
      </c>
      <c r="B43" s="465">
        <v>9250</v>
      </c>
      <c r="C43" s="1" t="s">
        <v>967</v>
      </c>
      <c r="D43" s="123">
        <v>58920.693322476109</v>
      </c>
      <c r="E43" s="123">
        <v>57547.749242295475</v>
      </c>
      <c r="F43" s="123">
        <v>60364.234722746529</v>
      </c>
      <c r="G43" s="123">
        <v>58915.398410623719</v>
      </c>
      <c r="H43" s="123">
        <v>68022.118383068577</v>
      </c>
      <c r="I43" s="123">
        <v>65942.828491783832</v>
      </c>
      <c r="J43" s="123">
        <v>70353.09059018307</v>
      </c>
      <c r="K43" s="123">
        <v>65872.214218386143</v>
      </c>
      <c r="L43" s="123">
        <v>65923.959551953129</v>
      </c>
      <c r="M43" s="123">
        <v>71519.396939153885</v>
      </c>
      <c r="N43" s="123">
        <v>66729.462675994248</v>
      </c>
      <c r="O43" s="123">
        <v>69058.675360902416</v>
      </c>
      <c r="P43" s="1">
        <f t="shared" si="0"/>
        <v>779169.82190956722</v>
      </c>
      <c r="Q43" s="1"/>
      <c r="R43" s="465"/>
    </row>
    <row r="44" spans="1:18">
      <c r="A44" s="1119">
        <f t="shared" si="1"/>
        <v>33</v>
      </c>
      <c r="B44" s="474">
        <v>9260</v>
      </c>
      <c r="C44" s="1" t="s">
        <v>968</v>
      </c>
      <c r="D44" s="123">
        <v>153607.92336360647</v>
      </c>
      <c r="E44" s="123">
        <v>291981.47924082557</v>
      </c>
      <c r="F44" s="123">
        <v>84671.618999420098</v>
      </c>
      <c r="G44" s="123">
        <v>82942.84796356436</v>
      </c>
      <c r="H44" s="123">
        <v>165448.28342849249</v>
      </c>
      <c r="I44" s="123">
        <v>182485.35701534463</v>
      </c>
      <c r="J44" s="123">
        <v>196065.89634939437</v>
      </c>
      <c r="K44" s="123">
        <v>198225.67020314772</v>
      </c>
      <c r="L44" s="123">
        <v>187032.121533428</v>
      </c>
      <c r="M44" s="123">
        <v>186303.39270350596</v>
      </c>
      <c r="N44" s="123">
        <v>170800.6912239065</v>
      </c>
      <c r="O44" s="123">
        <v>202585.64212821223</v>
      </c>
      <c r="P44" s="1">
        <f t="shared" si="0"/>
        <v>2102150.9241528488</v>
      </c>
      <c r="Q44" s="1"/>
      <c r="R44" s="465"/>
    </row>
    <row r="45" spans="1:18">
      <c r="A45" s="1119">
        <f t="shared" si="1"/>
        <v>34</v>
      </c>
      <c r="B45" s="465">
        <v>9302</v>
      </c>
      <c r="C45" s="1" t="s">
        <v>875</v>
      </c>
      <c r="D45" s="123">
        <v>11715.779497880436</v>
      </c>
      <c r="E45" s="123">
        <v>9485.8724613470367</v>
      </c>
      <c r="F45" s="123">
        <v>21494.622270839907</v>
      </c>
      <c r="G45" s="123">
        <v>18198.918330529603</v>
      </c>
      <c r="H45" s="123">
        <v>11737.433062865735</v>
      </c>
      <c r="I45" s="123">
        <v>12127.970059160927</v>
      </c>
      <c r="J45" s="123">
        <v>19055.595601028941</v>
      </c>
      <c r="K45" s="123">
        <v>6224.086290409844</v>
      </c>
      <c r="L45" s="123">
        <v>8793.8826905976894</v>
      </c>
      <c r="M45" s="123">
        <v>6113.4245529495875</v>
      </c>
      <c r="N45" s="123">
        <v>13628.667740166695</v>
      </c>
      <c r="O45" s="123">
        <v>11732.629879434166</v>
      </c>
      <c r="P45" s="1">
        <f t="shared" si="0"/>
        <v>150308.88243721056</v>
      </c>
      <c r="Q45" s="1"/>
      <c r="R45" s="465"/>
    </row>
    <row r="46" spans="1:18">
      <c r="A46" s="1119">
        <f t="shared" si="1"/>
        <v>35</v>
      </c>
      <c r="B46" s="465">
        <v>9310</v>
      </c>
      <c r="C46" s="1" t="s">
        <v>189</v>
      </c>
      <c r="D46" s="123">
        <v>6.8877243192652999</v>
      </c>
      <c r="E46" s="123">
        <v>6.7909237423827946</v>
      </c>
      <c r="F46" s="123">
        <v>6.8651012630950063</v>
      </c>
      <c r="G46" s="123">
        <v>6.6690985849057665</v>
      </c>
      <c r="H46" s="123">
        <v>6.4489675471933596</v>
      </c>
      <c r="I46" s="123">
        <v>6.5214048328155494</v>
      </c>
      <c r="J46" s="123">
        <v>7.0539167703624557</v>
      </c>
      <c r="K46" s="123">
        <v>7.4704855450366079</v>
      </c>
      <c r="L46" s="123">
        <v>7.6410285838588194</v>
      </c>
      <c r="M46" s="123">
        <v>7.7765493914943269</v>
      </c>
      <c r="N46" s="123">
        <v>7.8326719731475549</v>
      </c>
      <c r="O46" s="123">
        <v>7.1613762871713487</v>
      </c>
      <c r="P46" s="1">
        <f t="shared" si="0"/>
        <v>85.119248840728886</v>
      </c>
      <c r="Q46" s="1"/>
    </row>
    <row r="47" spans="1:18">
      <c r="A47" s="1119">
        <f t="shared" si="1"/>
        <v>36</v>
      </c>
      <c r="B47" s="1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1"/>
      <c r="P47" s="1"/>
      <c r="Q47" s="768"/>
    </row>
    <row r="48" spans="1:18" ht="15.75" thickBot="1">
      <c r="A48" s="1119">
        <f t="shared" si="1"/>
        <v>37</v>
      </c>
      <c r="B48" s="1" t="s">
        <v>751</v>
      </c>
      <c r="C48" s="240"/>
      <c r="D48" s="153">
        <f t="shared" ref="D48:P48" si="3">SUM(D12:D47)</f>
        <v>-5.6632920575339085E-11</v>
      </c>
      <c r="E48" s="153">
        <f t="shared" si="3"/>
        <v>-1.255173742720217E-10</v>
      </c>
      <c r="F48" s="153">
        <f t="shared" si="3"/>
        <v>1.0246736792396405E-10</v>
      </c>
      <c r="G48" s="153">
        <f t="shared" si="3"/>
        <v>-7.9710460454407439E-11</v>
      </c>
      <c r="H48" s="153">
        <f t="shared" si="3"/>
        <v>2.4710011814477184E-11</v>
      </c>
      <c r="I48" s="153">
        <f t="shared" si="3"/>
        <v>-2.0647483722768811E-11</v>
      </c>
      <c r="J48" s="153">
        <f t="shared" si="3"/>
        <v>4.1517012050462654E-11</v>
      </c>
      <c r="K48" s="153">
        <f t="shared" si="3"/>
        <v>2.4127011499786022E-10</v>
      </c>
      <c r="L48" s="153">
        <f t="shared" si="3"/>
        <v>9.6001429028547136E-11</v>
      </c>
      <c r="M48" s="153">
        <f t="shared" si="3"/>
        <v>-6.9215744247230759E-12</v>
      </c>
      <c r="N48" s="153">
        <f t="shared" si="3"/>
        <v>4.4764192352886312E-12</v>
      </c>
      <c r="O48" s="153">
        <f t="shared" si="3"/>
        <v>-1.9443469057023322E-10</v>
      </c>
      <c r="P48" s="153">
        <f t="shared" si="3"/>
        <v>2.1284165541146649E-9</v>
      </c>
      <c r="Q48" s="1"/>
    </row>
    <row r="49" spans="1:17" ht="15.75" thickTop="1">
      <c r="A49" s="1119">
        <f t="shared" si="1"/>
        <v>38</v>
      </c>
      <c r="B49" s="1"/>
      <c r="C49" s="240"/>
      <c r="D49" s="1"/>
      <c r="E49" s="1"/>
      <c r="F49" s="1"/>
      <c r="G49" s="1"/>
      <c r="H49" s="1"/>
      <c r="I49" s="1"/>
      <c r="J49" s="1"/>
      <c r="K49" s="1"/>
      <c r="L49" s="1"/>
      <c r="M49" s="1"/>
      <c r="N49" s="107"/>
      <c r="O49" s="1"/>
      <c r="P49" s="1"/>
      <c r="Q49" s="1"/>
    </row>
    <row r="50" spans="1:17">
      <c r="A50" s="1119">
        <f t="shared" si="1"/>
        <v>39</v>
      </c>
      <c r="B50" s="465">
        <f t="shared" ref="B50:O50" si="4">B40</f>
        <v>9220</v>
      </c>
      <c r="C50" s="1" t="str">
        <f t="shared" si="4"/>
        <v>A&amp;G-Administrative expense transferred-Credit</v>
      </c>
      <c r="D50" s="1">
        <f t="shared" si="4"/>
        <v>-972863.32668000006</v>
      </c>
      <c r="E50" s="1">
        <f t="shared" si="4"/>
        <v>-1078374.4869600004</v>
      </c>
      <c r="F50" s="1">
        <f t="shared" si="4"/>
        <v>-933385.05720000016</v>
      </c>
      <c r="G50" s="1">
        <f t="shared" si="4"/>
        <v>-1123912.0066600002</v>
      </c>
      <c r="H50" s="1">
        <f t="shared" si="4"/>
        <v>-949351.37966514239</v>
      </c>
      <c r="I50" s="1">
        <f t="shared" si="4"/>
        <v>-1032591.4530757616</v>
      </c>
      <c r="J50" s="1">
        <f t="shared" si="4"/>
        <v>-1046154.350403685</v>
      </c>
      <c r="K50" s="1">
        <f t="shared" si="4"/>
        <v>-1048069.1170257614</v>
      </c>
      <c r="L50" s="1">
        <f t="shared" si="4"/>
        <v>-1056668.9310457616</v>
      </c>
      <c r="M50" s="1">
        <f t="shared" si="4"/>
        <v>-1045633.9042636851</v>
      </c>
      <c r="N50" s="1">
        <f t="shared" si="4"/>
        <v>-998612.88045576145</v>
      </c>
      <c r="O50" s="1">
        <f t="shared" si="4"/>
        <v>-1079427.0387351424</v>
      </c>
      <c r="P50" s="1">
        <f>SUM(D50:O50)</f>
        <v>-12365043.932170702</v>
      </c>
      <c r="Q50" s="1"/>
    </row>
    <row r="51" spans="1:17">
      <c r="A51" s="1119">
        <f t="shared" si="1"/>
        <v>40</v>
      </c>
      <c r="B51" s="1"/>
      <c r="C51" s="1" t="s">
        <v>200</v>
      </c>
      <c r="D51" s="481">
        <f>Allocation!$E$17</f>
        <v>0.49090457251500325</v>
      </c>
      <c r="E51" s="481">
        <f>D51</f>
        <v>0.49090457251500325</v>
      </c>
      <c r="F51" s="481">
        <f t="shared" ref="F51:O51" si="5">E51</f>
        <v>0.49090457251500325</v>
      </c>
      <c r="G51" s="481">
        <f t="shared" si="5"/>
        <v>0.49090457251500325</v>
      </c>
      <c r="H51" s="481">
        <f t="shared" si="5"/>
        <v>0.49090457251500325</v>
      </c>
      <c r="I51" s="481">
        <f t="shared" si="5"/>
        <v>0.49090457251500325</v>
      </c>
      <c r="J51" s="481">
        <f t="shared" si="5"/>
        <v>0.49090457251500325</v>
      </c>
      <c r="K51" s="481">
        <f t="shared" si="5"/>
        <v>0.49090457251500325</v>
      </c>
      <c r="L51" s="481">
        <f t="shared" si="5"/>
        <v>0.49090457251500325</v>
      </c>
      <c r="M51" s="481">
        <f t="shared" si="5"/>
        <v>0.49090457251500325</v>
      </c>
      <c r="N51" s="481">
        <f t="shared" si="5"/>
        <v>0.49090457251500325</v>
      </c>
      <c r="O51" s="481">
        <f t="shared" si="5"/>
        <v>0.49090457251500325</v>
      </c>
      <c r="P51" s="1067">
        <f>P52/P50</f>
        <v>0.49090457251500325</v>
      </c>
      <c r="Q51" s="1"/>
    </row>
    <row r="52" spans="1:17">
      <c r="A52" s="1119">
        <f t="shared" si="1"/>
        <v>41</v>
      </c>
      <c r="B52" s="1"/>
      <c r="C52" s="1" t="s">
        <v>215</v>
      </c>
      <c r="D52" s="1">
        <f>D50*D51</f>
        <v>-477583.05549936939</v>
      </c>
      <c r="E52" s="1">
        <f t="shared" ref="E52:O52" si="6">E50*E51</f>
        <v>-529378.96653218498</v>
      </c>
      <c r="F52" s="1">
        <f t="shared" si="6"/>
        <v>-458202.99249665794</v>
      </c>
      <c r="G52" s="1">
        <f t="shared" si="6"/>
        <v>-551733.54317390686</v>
      </c>
      <c r="H52" s="1">
        <f t="shared" si="6"/>
        <v>-466040.93320104526</v>
      </c>
      <c r="I52" s="1">
        <f t="shared" si="6"/>
        <v>-506903.86585480277</v>
      </c>
      <c r="J52" s="1">
        <f t="shared" si="6"/>
        <v>-513561.95416963188</v>
      </c>
      <c r="K52" s="1">
        <f t="shared" si="6"/>
        <v>-514501.92185970832</v>
      </c>
      <c r="L52" s="1">
        <f t="shared" si="6"/>
        <v>-518723.60988490505</v>
      </c>
      <c r="M52" s="1">
        <f t="shared" si="6"/>
        <v>-513306.46477975819</v>
      </c>
      <c r="N52" s="1">
        <f t="shared" si="6"/>
        <v>-490223.62918811163</v>
      </c>
      <c r="O52" s="1">
        <f t="shared" si="6"/>
        <v>-529895.66901141091</v>
      </c>
      <c r="P52" s="1">
        <f>SUM(D52:O52)</f>
        <v>-6070056.6056514932</v>
      </c>
      <c r="Q52" s="1"/>
    </row>
    <row r="53" spans="1:17">
      <c r="A53" s="1"/>
      <c r="B53" s="1"/>
      <c r="C53" s="240"/>
      <c r="D53" s="248"/>
      <c r="E53" s="1"/>
      <c r="F53" s="1"/>
      <c r="G53" s="1"/>
      <c r="H53" s="1"/>
      <c r="I53" s="1"/>
      <c r="J53" s="47"/>
      <c r="K53" s="47"/>
      <c r="L53" s="47"/>
      <c r="M53" s="47"/>
      <c r="N53" s="100"/>
      <c r="O53" s="47"/>
      <c r="P53" s="47"/>
      <c r="Q53" s="1"/>
    </row>
    <row r="54" spans="1:17">
      <c r="A54" s="1"/>
      <c r="B54" s="1"/>
      <c r="C54" s="240"/>
      <c r="D54" s="1"/>
      <c r="E54" s="1"/>
      <c r="F54" s="1"/>
      <c r="G54" s="1"/>
      <c r="H54" s="1"/>
      <c r="I54" s="1"/>
      <c r="J54" s="1"/>
      <c r="K54" s="1"/>
      <c r="L54" s="1"/>
      <c r="M54" s="1"/>
      <c r="N54" s="100"/>
      <c r="O54" s="47"/>
      <c r="P54" s="1"/>
      <c r="Q54" s="1"/>
    </row>
    <row r="55" spans="1:17">
      <c r="A55" s="1"/>
      <c r="B55" s="1" t="s">
        <v>578</v>
      </c>
      <c r="C55" s="240"/>
      <c r="D55" s="1"/>
      <c r="E55" s="1"/>
      <c r="F55" s="1"/>
      <c r="G55" s="1"/>
      <c r="H55" s="1"/>
      <c r="I55" s="1"/>
      <c r="J55" s="1"/>
      <c r="K55" s="1"/>
      <c r="L55" s="1"/>
      <c r="M55" s="1"/>
      <c r="N55" s="100"/>
      <c r="O55" s="47"/>
      <c r="P55" s="1"/>
      <c r="Q55" s="1"/>
    </row>
    <row r="56" spans="1:17">
      <c r="A56" s="1"/>
      <c r="B56" s="1"/>
      <c r="C56" s="240"/>
      <c r="D56" s="1"/>
      <c r="E56" s="1"/>
      <c r="F56" s="1"/>
      <c r="G56" s="1"/>
      <c r="H56" s="1"/>
      <c r="I56" s="1"/>
      <c r="J56" s="1"/>
      <c r="K56" s="1"/>
      <c r="L56" s="1"/>
      <c r="M56" s="1"/>
      <c r="N56" s="100"/>
      <c r="O56" s="47"/>
      <c r="P56" s="1"/>
      <c r="Q56" s="1"/>
    </row>
    <row r="57" spans="1:17">
      <c r="A57" s="1"/>
      <c r="B57" s="1"/>
      <c r="C57" s="48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"/>
      <c r="Q59" s="1"/>
    </row>
    <row r="60" spans="1:17">
      <c r="A60" s="1"/>
      <c r="B60" s="1" t="s">
        <v>972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7"/>
      <c r="O60" s="1"/>
      <c r="P60" s="1"/>
      <c r="Q60" s="1"/>
    </row>
    <row r="61" spans="1:17">
      <c r="A61" s="1"/>
      <c r="B61" s="1" t="s">
        <v>1594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7"/>
      <c r="O61" s="502"/>
      <c r="P61" s="107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7"/>
      <c r="O62" s="232"/>
      <c r="P62" s="107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07"/>
      <c r="O63" s="232"/>
      <c r="P63" s="107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07"/>
      <c r="O64" s="1"/>
      <c r="P64" s="1"/>
      <c r="Q64" s="1"/>
    </row>
    <row r="65" spans="1:17">
      <c r="A65" s="1"/>
      <c r="Q65" s="1"/>
    </row>
    <row r="66" spans="1:17">
      <c r="A66" s="1"/>
      <c r="Q66" s="1"/>
    </row>
    <row r="67" spans="1:17">
      <c r="Q67" s="1"/>
    </row>
    <row r="68" spans="1:17">
      <c r="Q68" s="1"/>
    </row>
    <row r="69" spans="1:17">
      <c r="Q69" s="1"/>
    </row>
    <row r="70" spans="1:17">
      <c r="Q70" s="1"/>
    </row>
    <row r="71" spans="1:17">
      <c r="Q71" s="1"/>
    </row>
    <row r="72" spans="1:17">
      <c r="Q72" s="1"/>
    </row>
    <row r="73" spans="1:17">
      <c r="Q73" s="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84"/>
  <sheetViews>
    <sheetView view="pageBreakPreview" zoomScale="60" zoomScaleNormal="70" workbookViewId="0">
      <pane xSplit="2" ySplit="10" topLeftCell="C11" activePane="bottomRight" state="frozen"/>
      <selection activeCell="E55" sqref="E55"/>
      <selection pane="topRight" activeCell="E55" sqref="E55"/>
      <selection pane="bottomLeft" activeCell="E55" sqref="E55"/>
      <selection pane="bottomRight" activeCell="C11" sqref="C11"/>
    </sheetView>
  </sheetViews>
  <sheetFormatPr defaultColWidth="8.88671875" defaultRowHeight="15"/>
  <cols>
    <col min="1" max="1" width="4.6640625" style="60" customWidth="1"/>
    <col min="2" max="2" width="40.6640625" style="60" customWidth="1"/>
    <col min="3" max="3" width="9.5546875" style="60" bestFit="1" customWidth="1"/>
    <col min="4" max="4" width="10.6640625" style="60" customWidth="1"/>
    <col min="5" max="5" width="11.33203125" style="60" customWidth="1"/>
    <col min="6" max="6" width="11.109375" style="60" customWidth="1"/>
    <col min="7" max="7" width="10.88671875" style="60" customWidth="1"/>
    <col min="8" max="8" width="11.77734375" style="60" customWidth="1"/>
    <col min="9" max="9" width="10.33203125" style="60" customWidth="1"/>
    <col min="10" max="14" width="9.6640625" style="60" customWidth="1"/>
    <col min="15" max="15" width="13.77734375" style="60" customWidth="1"/>
    <col min="16" max="16" width="9.77734375" style="60" bestFit="1" customWidth="1"/>
    <col min="17" max="17" width="11.44140625" style="60" bestFit="1" customWidth="1"/>
    <col min="18" max="16384" width="8.88671875" style="60"/>
  </cols>
  <sheetData>
    <row r="1" spans="1:24" s="79" customFormat="1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66" t="s">
        <v>197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"/>
      <c r="Q3" s="1"/>
      <c r="R3" s="1"/>
      <c r="S3" s="1"/>
      <c r="T3" s="1"/>
      <c r="U3" s="1"/>
      <c r="V3" s="1"/>
      <c r="W3" s="1"/>
      <c r="X3" s="1"/>
    </row>
    <row r="4" spans="1:24" s="274" customFormat="1">
      <c r="A4" s="1266" t="str">
        <f>'Table of Contents'!A3:C3</f>
        <v>Base Period: Twelve Months Ended February 29, 2016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"/>
      <c r="Q4" s="1057"/>
      <c r="R4" s="60"/>
      <c r="S4" s="60"/>
      <c r="T4" s="60"/>
      <c r="U4" s="60"/>
      <c r="V4" s="60"/>
      <c r="W4" s="60"/>
      <c r="X4" s="60"/>
    </row>
    <row r="5" spans="1:24" s="274" customFormat="1">
      <c r="A5" s="107"/>
      <c r="B5" s="205"/>
      <c r="C5" s="205"/>
      <c r="D5" s="40"/>
      <c r="E5" s="40"/>
      <c r="F5" s="272"/>
      <c r="G5" s="83"/>
      <c r="H5" s="83"/>
      <c r="I5" s="83"/>
      <c r="J5" s="768"/>
      <c r="K5" s="794"/>
      <c r="L5" s="60"/>
      <c r="M5" s="60"/>
      <c r="N5" s="60"/>
      <c r="O5" s="60"/>
      <c r="P5" s="60"/>
      <c r="Q5" s="1063"/>
      <c r="R5" s="60"/>
      <c r="S5" s="60"/>
      <c r="T5" s="60"/>
      <c r="U5" s="60"/>
      <c r="V5" s="60"/>
      <c r="W5" s="60"/>
      <c r="X5" s="60"/>
    </row>
    <row r="6" spans="1:24" s="274" customFormat="1">
      <c r="A6" s="308" t="str">
        <f>'C.2.1 B'!A6</f>
        <v>Data:___X____Base Period________Forecasted Period</v>
      </c>
      <c r="B6" s="266"/>
      <c r="C6" s="266"/>
      <c r="D6" s="60"/>
      <c r="E6" s="60"/>
      <c r="F6" s="60"/>
      <c r="G6" s="60"/>
      <c r="H6" s="60"/>
      <c r="I6" s="83"/>
      <c r="J6" s="60"/>
      <c r="K6" s="60"/>
      <c r="L6" s="60"/>
      <c r="M6" s="305"/>
      <c r="N6" s="60"/>
      <c r="O6" s="675" t="s">
        <v>1525</v>
      </c>
      <c r="P6" s="1"/>
      <c r="Q6" s="60"/>
      <c r="R6" s="60"/>
      <c r="S6" s="60"/>
      <c r="T6" s="60"/>
      <c r="U6" s="60"/>
      <c r="V6" s="60"/>
      <c r="W6" s="60"/>
      <c r="X6" s="60"/>
    </row>
    <row r="7" spans="1:24" s="274" customFormat="1">
      <c r="A7" s="308" t="str">
        <f>'C.2.1 B'!A7</f>
        <v>Type of Filing:___X____Original________Updated ________Revised</v>
      </c>
      <c r="B7" s="266"/>
      <c r="C7" s="266"/>
      <c r="D7" s="60"/>
      <c r="E7" s="768"/>
      <c r="F7" s="60"/>
      <c r="G7" s="60"/>
      <c r="H7" s="60"/>
      <c r="I7" s="83"/>
      <c r="J7" s="768"/>
      <c r="K7" s="60"/>
      <c r="L7" s="60"/>
      <c r="M7" s="305"/>
      <c r="N7" s="277"/>
      <c r="O7" s="676" t="s">
        <v>730</v>
      </c>
      <c r="P7" s="60"/>
      <c r="Q7" s="60"/>
      <c r="R7" s="60"/>
      <c r="S7" s="60"/>
      <c r="T7" s="60"/>
      <c r="U7" s="60"/>
      <c r="V7" s="60"/>
      <c r="W7" s="60"/>
      <c r="X7" s="60"/>
    </row>
    <row r="8" spans="1:24" s="274" customFormat="1">
      <c r="A8" s="398" t="str">
        <f>'C.2.1 B'!A8</f>
        <v>Workpaper Reference No(s).____________________</v>
      </c>
      <c r="B8" s="312"/>
      <c r="C8" s="311"/>
      <c r="D8" s="260"/>
      <c r="E8" s="260"/>
      <c r="F8" s="260"/>
      <c r="G8" s="260"/>
      <c r="H8" s="260"/>
      <c r="I8" s="83"/>
      <c r="J8" s="260"/>
      <c r="K8" s="86"/>
      <c r="L8" s="86"/>
      <c r="M8" s="312"/>
      <c r="N8" s="279"/>
      <c r="O8" s="677" t="s">
        <v>1392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s="274" customFormat="1">
      <c r="A9" s="399" t="s">
        <v>98</v>
      </c>
      <c r="B9" s="266"/>
      <c r="C9" s="370" t="str">
        <f>'C.2.2 B 09'!D9</f>
        <v>actual</v>
      </c>
      <c r="D9" s="278" t="str">
        <f>'C.2.2 B 09'!E9</f>
        <v>actual</v>
      </c>
      <c r="E9" s="278" t="str">
        <f>'C.2.2 B 09'!F9</f>
        <v>actual</v>
      </c>
      <c r="F9" s="278" t="str">
        <f>'C.2.2 B 09'!G9</f>
        <v>actual</v>
      </c>
      <c r="G9" s="278" t="str">
        <f>'C.2.2 B 09'!H9</f>
        <v>actual</v>
      </c>
      <c r="H9" s="278" t="str">
        <f>'C.2.2 B 09'!I9</f>
        <v>actual</v>
      </c>
      <c r="I9" s="1114" t="str">
        <f>'C.2.2 B 09'!J9</f>
        <v>Forecasted</v>
      </c>
      <c r="J9" s="278" t="str">
        <f>'C.2.2 B 09'!K9</f>
        <v>Budgeted</v>
      </c>
      <c r="K9" s="278" t="str">
        <f>'C.2.2 B 09'!L9</f>
        <v>Budgeted</v>
      </c>
      <c r="L9" s="278" t="str">
        <f>'C.2.2 B 09'!M9</f>
        <v>Budgeted</v>
      </c>
      <c r="M9" s="278" t="str">
        <f>'C.2.2 B 09'!N9</f>
        <v>Budgeted</v>
      </c>
      <c r="N9" s="278" t="str">
        <f>'C.2.2 B 09'!O9</f>
        <v>Budgeted</v>
      </c>
      <c r="O9" s="395"/>
      <c r="P9" s="60"/>
      <c r="Q9" s="60"/>
      <c r="R9" s="60"/>
      <c r="S9" s="60"/>
      <c r="T9" s="60"/>
      <c r="U9" s="60"/>
      <c r="V9" s="60"/>
      <c r="W9" s="60"/>
      <c r="X9" s="60"/>
    </row>
    <row r="10" spans="1:24" s="274" customFormat="1">
      <c r="A10" s="400" t="s">
        <v>104</v>
      </c>
      <c r="B10" s="276" t="s">
        <v>196</v>
      </c>
      <c r="C10" s="280">
        <f>'C.2.2 B 09'!D10</f>
        <v>42094</v>
      </c>
      <c r="D10" s="280">
        <f>'C.2.2 B 09'!E10</f>
        <v>42095</v>
      </c>
      <c r="E10" s="280">
        <f>'C.2.2 B 09'!F10</f>
        <v>42155</v>
      </c>
      <c r="F10" s="280">
        <f>'C.2.2 B 09'!G10</f>
        <v>42185</v>
      </c>
      <c r="G10" s="280">
        <f>'C.2.2 B 09'!H10</f>
        <v>42216</v>
      </c>
      <c r="H10" s="280">
        <f>'C.2.2 B 09'!I10</f>
        <v>42247</v>
      </c>
      <c r="I10" s="280">
        <f>'C.2.2 B 09'!J10</f>
        <v>42277</v>
      </c>
      <c r="J10" s="280">
        <f>'C.2.2 B 09'!K10</f>
        <v>42308</v>
      </c>
      <c r="K10" s="280">
        <f>'C.2.2 B 09'!L10</f>
        <v>42338</v>
      </c>
      <c r="L10" s="280">
        <f>'C.2.2 B 09'!M10</f>
        <v>42369</v>
      </c>
      <c r="M10" s="280">
        <f>'C.2.2 B 09'!N10</f>
        <v>42400</v>
      </c>
      <c r="N10" s="280">
        <f>'C.2.2 B 09'!O10</f>
        <v>42429</v>
      </c>
      <c r="O10" s="280" t="str">
        <f>'C.2.2 B 09'!P10</f>
        <v>Total</v>
      </c>
      <c r="P10" s="282"/>
      <c r="Q10" s="60"/>
      <c r="R10" s="60"/>
      <c r="S10" s="60"/>
      <c r="T10" s="60"/>
      <c r="U10" s="60"/>
      <c r="V10" s="60"/>
      <c r="W10" s="60"/>
      <c r="X10" s="60"/>
    </row>
    <row r="11" spans="1:24" ht="15.75">
      <c r="A11" s="266"/>
      <c r="B11" s="372" t="s">
        <v>198</v>
      </c>
      <c r="C11" s="283"/>
      <c r="D11" s="258"/>
      <c r="E11" s="258"/>
      <c r="F11" s="258"/>
      <c r="G11" s="258"/>
      <c r="H11" s="283"/>
      <c r="I11" s="258"/>
      <c r="J11" s="258"/>
      <c r="K11" s="258"/>
      <c r="L11" s="258"/>
      <c r="M11" s="258"/>
      <c r="N11" s="258"/>
      <c r="O11" s="258"/>
    </row>
    <row r="12" spans="1:24">
      <c r="A12" s="104">
        <v>1</v>
      </c>
      <c r="B12" s="60" t="s">
        <v>294</v>
      </c>
      <c r="C12" s="1153">
        <v>30159.9</v>
      </c>
      <c r="D12" s="1153">
        <v>18101.73</v>
      </c>
      <c r="E12" s="1153">
        <v>50135.78</v>
      </c>
      <c r="F12" s="1153">
        <v>14663.859999999995</v>
      </c>
      <c r="G12" s="1153">
        <v>18263.189999999999</v>
      </c>
      <c r="H12" s="1153">
        <v>19091.560000000001</v>
      </c>
      <c r="I12" s="1153">
        <v>19008.678194129516</v>
      </c>
      <c r="J12" s="1153">
        <v>56083.21688743015</v>
      </c>
      <c r="K12" s="1153">
        <v>54996.039566527754</v>
      </c>
      <c r="L12" s="1153">
        <v>20426.389279262308</v>
      </c>
      <c r="M12" s="1153">
        <v>52700.223722204566</v>
      </c>
      <c r="N12" s="1153">
        <v>32202.152421783856</v>
      </c>
      <c r="O12" s="715">
        <f>SUM(C12:N12)</f>
        <v>385832.72007133806</v>
      </c>
      <c r="P12" s="264"/>
      <c r="Q12" s="1057"/>
      <c r="R12" s="768"/>
    </row>
    <row r="13" spans="1:24">
      <c r="A13" s="104">
        <f>A12+1</f>
        <v>2</v>
      </c>
      <c r="B13" s="60" t="s">
        <v>295</v>
      </c>
      <c r="C13" s="1153">
        <v>-234.72000000000003</v>
      </c>
      <c r="D13" s="1153">
        <v>-81.75</v>
      </c>
      <c r="E13" s="1153">
        <v>9.1900000000000031</v>
      </c>
      <c r="F13" s="1153">
        <v>11.42</v>
      </c>
      <c r="G13" s="1153">
        <v>2.0100000000000007</v>
      </c>
      <c r="H13" s="1153">
        <v>0.96000000000000041</v>
      </c>
      <c r="I13" s="1153">
        <v>-37.013688809733132</v>
      </c>
      <c r="J13" s="1153">
        <v>-109.20521227831598</v>
      </c>
      <c r="K13" s="1153">
        <v>-107.08826113495304</v>
      </c>
      <c r="L13" s="1153">
        <v>-39.77425513587675</v>
      </c>
      <c r="M13" s="1153">
        <v>-102.61784965455475</v>
      </c>
      <c r="N13" s="1153">
        <v>-62.70401532241231</v>
      </c>
      <c r="O13" s="60">
        <f t="shared" ref="O13:O22" si="0">SUM(C13:N13)</f>
        <v>-751.29328233584602</v>
      </c>
      <c r="P13" s="264"/>
    </row>
    <row r="14" spans="1:24">
      <c r="A14" s="104">
        <f t="shared" ref="A14:A67" si="1">A13+1</f>
        <v>3</v>
      </c>
      <c r="B14" s="60" t="s">
        <v>296</v>
      </c>
      <c r="C14" s="1153">
        <v>1801.41</v>
      </c>
      <c r="D14" s="1153">
        <v>-873.84999999999991</v>
      </c>
      <c r="E14" s="1153">
        <v>-11.569999999999997</v>
      </c>
      <c r="F14" s="1153">
        <v>27.549999999999997</v>
      </c>
      <c r="G14" s="1153">
        <v>9.6100000000000012</v>
      </c>
      <c r="H14" s="1153">
        <v>6.9799999999999995</v>
      </c>
      <c r="I14" s="1153">
        <v>121.33549468021808</v>
      </c>
      <c r="J14" s="1153">
        <v>357.9883248481666</v>
      </c>
      <c r="K14" s="1153">
        <v>351.0486946071988</v>
      </c>
      <c r="L14" s="1153">
        <v>130.38497587356801</v>
      </c>
      <c r="M14" s="1153">
        <v>336.39412744999021</v>
      </c>
      <c r="N14" s="1153">
        <v>205.5515935385562</v>
      </c>
      <c r="O14" s="60">
        <f t="shared" si="0"/>
        <v>2462.8332109976977</v>
      </c>
      <c r="P14" s="264"/>
    </row>
    <row r="15" spans="1:24">
      <c r="A15" s="104">
        <f t="shared" si="1"/>
        <v>4</v>
      </c>
      <c r="B15" s="1" t="s">
        <v>1244</v>
      </c>
      <c r="C15" s="1153">
        <v>0</v>
      </c>
      <c r="D15" s="1153">
        <v>82.9</v>
      </c>
      <c r="E15" s="1153">
        <v>248.57</v>
      </c>
      <c r="F15" s="1153">
        <v>75.010000000000005</v>
      </c>
      <c r="G15" s="1153">
        <v>98.7</v>
      </c>
      <c r="H15" s="1153">
        <v>-325.5</v>
      </c>
      <c r="I15" s="1153">
        <v>0</v>
      </c>
      <c r="J15" s="1153">
        <v>0</v>
      </c>
      <c r="K15" s="1153">
        <v>0</v>
      </c>
      <c r="L15" s="1153">
        <v>0</v>
      </c>
      <c r="M15" s="1153">
        <v>0</v>
      </c>
      <c r="N15" s="1153">
        <v>0</v>
      </c>
      <c r="O15" s="60">
        <f t="shared" si="0"/>
        <v>179.68</v>
      </c>
      <c r="P15" s="264"/>
    </row>
    <row r="16" spans="1:24">
      <c r="A16" s="104">
        <f t="shared" si="1"/>
        <v>5</v>
      </c>
      <c r="B16" s="60" t="s">
        <v>114</v>
      </c>
      <c r="C16" s="1153">
        <v>355588</v>
      </c>
      <c r="D16" s="1153">
        <v>355588</v>
      </c>
      <c r="E16" s="1153">
        <v>475588</v>
      </c>
      <c r="F16" s="1153">
        <v>475588</v>
      </c>
      <c r="G16" s="1153">
        <v>475588</v>
      </c>
      <c r="H16" s="1153">
        <v>475588</v>
      </c>
      <c r="I16" s="1153">
        <f>H16</f>
        <v>475588</v>
      </c>
      <c r="J16" s="1153">
        <v>395588</v>
      </c>
      <c r="K16" s="1153">
        <v>395588</v>
      </c>
      <c r="L16" s="1153">
        <v>395588</v>
      </c>
      <c r="M16" s="1153">
        <v>395588</v>
      </c>
      <c r="N16" s="1153">
        <v>395588</v>
      </c>
      <c r="O16" s="60">
        <f t="shared" si="0"/>
        <v>5067056</v>
      </c>
      <c r="P16" s="264"/>
      <c r="R16" s="1040"/>
      <c r="S16" s="1040"/>
    </row>
    <row r="17" spans="1:18">
      <c r="A17" s="104">
        <f t="shared" si="1"/>
        <v>6</v>
      </c>
      <c r="B17" s="60" t="s">
        <v>1406</v>
      </c>
      <c r="C17" s="1153">
        <v>0</v>
      </c>
      <c r="D17" s="1153">
        <v>63869.85</v>
      </c>
      <c r="E17" s="1153">
        <v>0</v>
      </c>
      <c r="F17" s="1153">
        <v>0</v>
      </c>
      <c r="G17" s="1153">
        <v>0</v>
      </c>
      <c r="H17" s="1153">
        <v>0</v>
      </c>
      <c r="I17" s="1153">
        <v>0</v>
      </c>
      <c r="J17" s="1153">
        <v>0</v>
      </c>
      <c r="K17" s="1153">
        <v>0</v>
      </c>
      <c r="L17" s="1153">
        <v>0</v>
      </c>
      <c r="M17" s="1153">
        <v>0</v>
      </c>
      <c r="N17" s="1153">
        <v>0</v>
      </c>
      <c r="O17" s="60">
        <f t="shared" si="0"/>
        <v>63869.85</v>
      </c>
      <c r="P17" s="264"/>
    </row>
    <row r="18" spans="1:18">
      <c r="A18" s="104">
        <f t="shared" si="1"/>
        <v>7</v>
      </c>
      <c r="B18" s="60" t="s">
        <v>113</v>
      </c>
      <c r="C18" s="1153">
        <v>70.2</v>
      </c>
      <c r="D18" s="1153">
        <v>50946.46</v>
      </c>
      <c r="E18" s="1153">
        <v>35.5</v>
      </c>
      <c r="F18" s="1153">
        <v>0</v>
      </c>
      <c r="G18" s="1153">
        <v>17414.849999999999</v>
      </c>
      <c r="H18" s="1153">
        <v>192</v>
      </c>
      <c r="I18" s="1153">
        <v>76</v>
      </c>
      <c r="J18" s="1153">
        <v>14234</v>
      </c>
      <c r="K18" s="1153">
        <v>55</v>
      </c>
      <c r="L18" s="1153">
        <v>600</v>
      </c>
      <c r="M18" s="1153">
        <v>25776</v>
      </c>
      <c r="N18" s="1153">
        <v>227</v>
      </c>
      <c r="O18" s="60">
        <f t="shared" si="0"/>
        <v>109627.01</v>
      </c>
      <c r="P18" s="264"/>
    </row>
    <row r="19" spans="1:18" ht="17.25" customHeight="1">
      <c r="A19" s="104">
        <f t="shared" si="1"/>
        <v>8</v>
      </c>
      <c r="B19" s="60" t="s">
        <v>298</v>
      </c>
      <c r="C19" s="1153">
        <v>26509.54</v>
      </c>
      <c r="D19" s="1153">
        <v>26509.54</v>
      </c>
      <c r="E19" s="1153">
        <v>26509.54</v>
      </c>
      <c r="F19" s="1153">
        <v>26509.54</v>
      </c>
      <c r="G19" s="1153">
        <v>31189.31</v>
      </c>
      <c r="H19" s="1153">
        <v>31189.31</v>
      </c>
      <c r="I19" s="1153">
        <v>28037</v>
      </c>
      <c r="J19" s="1153">
        <v>31189</v>
      </c>
      <c r="K19" s="1153">
        <v>31189</v>
      </c>
      <c r="L19" s="1153">
        <v>31189</v>
      </c>
      <c r="M19" s="1153">
        <v>31189</v>
      </c>
      <c r="N19" s="1153">
        <v>31189</v>
      </c>
      <c r="O19" s="60">
        <f t="shared" si="0"/>
        <v>352398.78</v>
      </c>
      <c r="P19" s="264"/>
    </row>
    <row r="20" spans="1:18">
      <c r="A20" s="104">
        <f t="shared" si="1"/>
        <v>9</v>
      </c>
      <c r="B20" s="60" t="s">
        <v>43</v>
      </c>
      <c r="C20" s="1153">
        <v>15633.9</v>
      </c>
      <c r="D20" s="1153">
        <v>14237.6</v>
      </c>
      <c r="E20" s="1153">
        <v>16828.98</v>
      </c>
      <c r="F20" s="1153">
        <v>13664.88</v>
      </c>
      <c r="G20" s="1153">
        <v>13940.71</v>
      </c>
      <c r="H20" s="1153">
        <v>12724.86</v>
      </c>
      <c r="I20" s="1153">
        <v>12327.229549399461</v>
      </c>
      <c r="J20" s="578">
        <f>J52</f>
        <v>13456.108062539495</v>
      </c>
      <c r="K20" s="578">
        <f t="shared" ref="K20:N20" si="2">K52</f>
        <v>13456.108062539495</v>
      </c>
      <c r="L20" s="578">
        <f t="shared" si="2"/>
        <v>13456.108062539495</v>
      </c>
      <c r="M20" s="578">
        <f t="shared" si="2"/>
        <v>13456.108062539495</v>
      </c>
      <c r="N20" s="578">
        <f t="shared" si="2"/>
        <v>13456.108062539495</v>
      </c>
      <c r="O20" s="60">
        <f t="shared" si="0"/>
        <v>166638.6998620969</v>
      </c>
      <c r="P20" s="768"/>
      <c r="Q20" s="768"/>
      <c r="R20" s="794"/>
    </row>
    <row r="21" spans="1:18" ht="15.75">
      <c r="A21" s="104">
        <f t="shared" si="1"/>
        <v>10</v>
      </c>
      <c r="B21" s="60" t="s">
        <v>1020</v>
      </c>
      <c r="C21" s="1153">
        <v>15496.55</v>
      </c>
      <c r="D21" s="1153">
        <v>14055.77</v>
      </c>
      <c r="E21" s="1153">
        <v>18877.48</v>
      </c>
      <c r="F21" s="1153">
        <v>15967.61</v>
      </c>
      <c r="G21" s="1153">
        <v>17564.29</v>
      </c>
      <c r="H21" s="1153">
        <v>14940.69</v>
      </c>
      <c r="I21" s="1153">
        <v>13725.44226995427</v>
      </c>
      <c r="J21" s="578">
        <f>J39</f>
        <v>13928.293020179539</v>
      </c>
      <c r="K21" s="578">
        <f t="shared" ref="K21:N21" si="3">K39</f>
        <v>13928.293020179539</v>
      </c>
      <c r="L21" s="578">
        <f t="shared" si="3"/>
        <v>13928.293020179539</v>
      </c>
      <c r="M21" s="578">
        <f t="shared" si="3"/>
        <v>13928.293020179539</v>
      </c>
      <c r="N21" s="578">
        <f t="shared" si="3"/>
        <v>13928.293020179539</v>
      </c>
      <c r="O21" s="60">
        <f t="shared" si="0"/>
        <v>180269.29737085203</v>
      </c>
      <c r="P21" s="768"/>
      <c r="Q21" s="768"/>
      <c r="R21" s="769"/>
    </row>
    <row r="22" spans="1:18">
      <c r="A22" s="104">
        <f t="shared" si="1"/>
        <v>11</v>
      </c>
      <c r="B22" s="60" t="s">
        <v>1245</v>
      </c>
      <c r="C22" s="1153">
        <v>10438.870000000001</v>
      </c>
      <c r="D22" s="1153">
        <v>8686.01</v>
      </c>
      <c r="E22" s="1153">
        <v>15608.87</v>
      </c>
      <c r="F22" s="1153">
        <v>8141.77</v>
      </c>
      <c r="G22" s="1153">
        <v>9004.4500000000007</v>
      </c>
      <c r="H22" s="1153">
        <v>9278.74</v>
      </c>
      <c r="I22" s="1153">
        <v>8662.638180646265</v>
      </c>
      <c r="J22" s="578">
        <f>J67</f>
        <v>8027.9597799140956</v>
      </c>
      <c r="K22" s="578">
        <f t="shared" ref="K22:N22" si="4">K67</f>
        <v>8027.9597799140956</v>
      </c>
      <c r="L22" s="578">
        <f t="shared" si="4"/>
        <v>8027.9597799140956</v>
      </c>
      <c r="M22" s="578">
        <f t="shared" si="4"/>
        <v>8027.9597799140956</v>
      </c>
      <c r="N22" s="578">
        <f t="shared" si="4"/>
        <v>8027.9597799140956</v>
      </c>
      <c r="O22" s="60">
        <f t="shared" si="0"/>
        <v>109961.14708021672</v>
      </c>
      <c r="P22" s="768"/>
      <c r="Q22" s="768"/>
      <c r="R22" s="794"/>
    </row>
    <row r="23" spans="1:18">
      <c r="A23" s="104">
        <f t="shared" si="1"/>
        <v>12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</row>
    <row r="24" spans="1:18">
      <c r="A24" s="104">
        <f t="shared" si="1"/>
        <v>13</v>
      </c>
      <c r="B24" s="60" t="s">
        <v>101</v>
      </c>
      <c r="C24" s="717">
        <f t="shared" ref="C24:H24" si="5">SUM(C12:C22)</f>
        <v>455463.65</v>
      </c>
      <c r="D24" s="717">
        <f t="shared" si="5"/>
        <v>551122.26</v>
      </c>
      <c r="E24" s="717">
        <f t="shared" si="5"/>
        <v>603830.34</v>
      </c>
      <c r="F24" s="717">
        <f t="shared" si="5"/>
        <v>554649.6399999999</v>
      </c>
      <c r="G24" s="717">
        <f t="shared" si="5"/>
        <v>583075.12</v>
      </c>
      <c r="H24" s="717">
        <f t="shared" si="5"/>
        <v>562687.6</v>
      </c>
      <c r="I24" s="717">
        <f t="shared" ref="I24:N24" si="6">SUM(I12:I23)</f>
        <v>557509.30999999994</v>
      </c>
      <c r="J24" s="717">
        <f t="shared" si="6"/>
        <v>532755.3608626331</v>
      </c>
      <c r="K24" s="717">
        <f t="shared" si="6"/>
        <v>517484.36086263316</v>
      </c>
      <c r="L24" s="717">
        <f t="shared" si="6"/>
        <v>483306.36086263316</v>
      </c>
      <c r="M24" s="717">
        <f t="shared" si="6"/>
        <v>540899.3608626331</v>
      </c>
      <c r="N24" s="717">
        <f t="shared" si="6"/>
        <v>494761.36086263316</v>
      </c>
      <c r="O24" s="716">
        <f>SUM(C24:N24)</f>
        <v>6437544.724313166</v>
      </c>
      <c r="P24" s="768"/>
    </row>
    <row r="25" spans="1:18">
      <c r="A25" s="104">
        <f t="shared" si="1"/>
        <v>14</v>
      </c>
      <c r="C25" s="1005"/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261"/>
    </row>
    <row r="26" spans="1:18" ht="15.75">
      <c r="A26" s="104">
        <f t="shared" si="1"/>
        <v>15</v>
      </c>
      <c r="B26" s="372" t="s">
        <v>81</v>
      </c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P26" s="794"/>
    </row>
    <row r="27" spans="1:18">
      <c r="A27" s="104">
        <f t="shared" si="1"/>
        <v>16</v>
      </c>
      <c r="B27" s="60" t="s">
        <v>294</v>
      </c>
      <c r="C27" s="1153">
        <v>246064.07999999993</v>
      </c>
      <c r="D27" s="1153">
        <v>223116.25000000006</v>
      </c>
      <c r="E27" s="1153">
        <v>272951.9600000002</v>
      </c>
      <c r="F27" s="1153">
        <v>217850.18000000005</v>
      </c>
      <c r="G27" s="1153">
        <v>223830.8300000001</v>
      </c>
      <c r="H27" s="1153">
        <v>198393.37</v>
      </c>
      <c r="I27" s="1153">
        <v>175303.43618294419</v>
      </c>
      <c r="J27" s="1153">
        <v>193084.9756696331</v>
      </c>
      <c r="K27" s="1153">
        <v>193084.9756696331</v>
      </c>
      <c r="L27" s="1153">
        <v>193084.9756696331</v>
      </c>
      <c r="M27" s="1153">
        <v>193084.9756696331</v>
      </c>
      <c r="N27" s="1153">
        <v>193084.9756696331</v>
      </c>
      <c r="O27" s="715">
        <f t="shared" ref="O27:O34" si="7">SUM(C27:N27)</f>
        <v>2522934.9845311102</v>
      </c>
      <c r="Q27" s="1057"/>
    </row>
    <row r="28" spans="1:18">
      <c r="A28" s="104">
        <f t="shared" si="1"/>
        <v>17</v>
      </c>
      <c r="B28" s="60" t="s">
        <v>295</v>
      </c>
      <c r="C28" s="1153">
        <v>293.57999999999947</v>
      </c>
      <c r="D28" s="1153">
        <v>-298.44000000000005</v>
      </c>
      <c r="E28" s="1153">
        <v>399.57999999999993</v>
      </c>
      <c r="F28" s="1153">
        <v>170.03</v>
      </c>
      <c r="G28" s="1153">
        <v>176.73</v>
      </c>
      <c r="H28" s="1153">
        <v>156.05999999999995</v>
      </c>
      <c r="I28" s="1153">
        <v>113.8338061352573</v>
      </c>
      <c r="J28" s="1153">
        <v>125.38030153082846</v>
      </c>
      <c r="K28" s="1153">
        <v>125.38030153082846</v>
      </c>
      <c r="L28" s="1153">
        <v>125.38030153082846</v>
      </c>
      <c r="M28" s="1153">
        <v>125.38030153082846</v>
      </c>
      <c r="N28" s="1153">
        <v>125.38030153082846</v>
      </c>
      <c r="O28" s="60">
        <f t="shared" si="7"/>
        <v>1638.2753137893992</v>
      </c>
    </row>
    <row r="29" spans="1:18">
      <c r="A29" s="104">
        <f t="shared" si="1"/>
        <v>18</v>
      </c>
      <c r="B29" s="60" t="s">
        <v>296</v>
      </c>
      <c r="C29" s="1153">
        <v>3331.3900000000021</v>
      </c>
      <c r="D29" s="1153">
        <v>-586.07999999999993</v>
      </c>
      <c r="E29" s="1153">
        <v>630.81999999999994</v>
      </c>
      <c r="F29" s="1153">
        <v>628.08999999999992</v>
      </c>
      <c r="G29" s="1153">
        <v>491.69</v>
      </c>
      <c r="H29" s="1153">
        <v>569.2600000000001</v>
      </c>
      <c r="I29" s="1153">
        <v>642.40878381144216</v>
      </c>
      <c r="J29" s="1153">
        <v>707.57018283854427</v>
      </c>
      <c r="K29" s="1153">
        <v>707.57018283854427</v>
      </c>
      <c r="L29" s="1153">
        <v>707.57018283854427</v>
      </c>
      <c r="M29" s="1153">
        <v>707.57018283854427</v>
      </c>
      <c r="N29" s="1153">
        <v>707.57018283854427</v>
      </c>
      <c r="O29" s="60">
        <f t="shared" si="7"/>
        <v>9245.4296980041654</v>
      </c>
    </row>
    <row r="30" spans="1:18">
      <c r="A30" s="104">
        <f t="shared" si="1"/>
        <v>19</v>
      </c>
      <c r="B30" s="60" t="s">
        <v>297</v>
      </c>
      <c r="C30" s="1153">
        <v>45000</v>
      </c>
      <c r="D30" s="1153">
        <v>45000</v>
      </c>
      <c r="E30" s="1153">
        <v>85000</v>
      </c>
      <c r="F30" s="1153">
        <v>85000</v>
      </c>
      <c r="G30" s="1153">
        <v>85000</v>
      </c>
      <c r="H30" s="1153">
        <v>85000</v>
      </c>
      <c r="I30" s="1153">
        <v>85000</v>
      </c>
      <c r="J30" s="1153">
        <v>71000</v>
      </c>
      <c r="K30" s="1153">
        <v>71000</v>
      </c>
      <c r="L30" s="1153">
        <v>71000</v>
      </c>
      <c r="M30" s="1153">
        <v>71000</v>
      </c>
      <c r="N30" s="1153">
        <v>71000</v>
      </c>
      <c r="O30" s="60">
        <f t="shared" si="7"/>
        <v>870000</v>
      </c>
      <c r="P30" s="768"/>
    </row>
    <row r="31" spans="1:18">
      <c r="A31" s="104">
        <f t="shared" si="1"/>
        <v>20</v>
      </c>
      <c r="B31" s="60" t="s">
        <v>210</v>
      </c>
      <c r="C31" s="1153">
        <v>0</v>
      </c>
      <c r="D31" s="1153">
        <v>0</v>
      </c>
      <c r="E31" s="1153">
        <v>0</v>
      </c>
      <c r="F31" s="1153">
        <v>0</v>
      </c>
      <c r="G31" s="1153">
        <v>44.640000000000008</v>
      </c>
      <c r="H31" s="1153">
        <v>0</v>
      </c>
      <c r="I31" s="1153">
        <v>0</v>
      </c>
      <c r="J31" s="1153">
        <v>0</v>
      </c>
      <c r="K31" s="1153">
        <v>0</v>
      </c>
      <c r="L31" s="1153">
        <v>0</v>
      </c>
      <c r="M31" s="1153">
        <v>0</v>
      </c>
      <c r="N31" s="1153">
        <v>0</v>
      </c>
      <c r="O31" s="60">
        <f t="shared" si="7"/>
        <v>44.640000000000008</v>
      </c>
    </row>
    <row r="32" spans="1:18">
      <c r="A32" s="104">
        <f t="shared" si="1"/>
        <v>21</v>
      </c>
      <c r="B32" s="60" t="s">
        <v>211</v>
      </c>
      <c r="C32" s="1153">
        <v>0</v>
      </c>
      <c r="D32" s="1153">
        <v>58.94</v>
      </c>
      <c r="E32" s="1153">
        <v>0</v>
      </c>
      <c r="F32" s="1153">
        <v>-1.38</v>
      </c>
      <c r="G32" s="1153">
        <v>24466.23</v>
      </c>
      <c r="H32" s="1153">
        <v>0</v>
      </c>
      <c r="I32" s="1153">
        <v>0</v>
      </c>
      <c r="J32" s="1153">
        <v>0</v>
      </c>
      <c r="K32" s="1153">
        <v>0</v>
      </c>
      <c r="L32" s="1153">
        <v>0</v>
      </c>
      <c r="M32" s="1153">
        <v>0</v>
      </c>
      <c r="N32" s="1153">
        <v>0</v>
      </c>
      <c r="O32" s="60">
        <f t="shared" si="7"/>
        <v>24523.79</v>
      </c>
      <c r="Q32" s="119"/>
      <c r="R32" s="794"/>
    </row>
    <row r="33" spans="1:17">
      <c r="A33" s="104">
        <f t="shared" si="1"/>
        <v>22</v>
      </c>
      <c r="B33"/>
      <c r="C33" s="824"/>
      <c r="D33" s="824"/>
      <c r="E33" s="824"/>
      <c r="F33" s="681"/>
      <c r="G33" s="681"/>
      <c r="H33" s="681"/>
      <c r="I33" s="681"/>
      <c r="J33" s="681"/>
      <c r="K33" s="681"/>
      <c r="L33" s="681"/>
      <c r="M33" s="681"/>
      <c r="N33" s="681"/>
    </row>
    <row r="34" spans="1:17">
      <c r="A34" s="104">
        <f t="shared" si="1"/>
        <v>23</v>
      </c>
      <c r="B34" s="60" t="s">
        <v>212</v>
      </c>
      <c r="C34" s="717">
        <f t="shared" ref="C34:N34" si="8">SUM(C27:C32)</f>
        <v>294689.04999999993</v>
      </c>
      <c r="D34" s="717">
        <f t="shared" si="8"/>
        <v>267290.6700000001</v>
      </c>
      <c r="E34" s="717">
        <f t="shared" si="8"/>
        <v>358982.36000000022</v>
      </c>
      <c r="F34" s="717">
        <f t="shared" si="8"/>
        <v>303646.92000000004</v>
      </c>
      <c r="G34" s="717">
        <f t="shared" si="8"/>
        <v>334010.12000000011</v>
      </c>
      <c r="H34" s="717">
        <f t="shared" si="8"/>
        <v>284118.69</v>
      </c>
      <c r="I34" s="717">
        <f t="shared" si="8"/>
        <v>261059.67877289088</v>
      </c>
      <c r="J34" s="717">
        <f t="shared" si="8"/>
        <v>264917.92615400243</v>
      </c>
      <c r="K34" s="717">
        <f t="shared" si="8"/>
        <v>264917.92615400243</v>
      </c>
      <c r="L34" s="717">
        <f t="shared" si="8"/>
        <v>264917.92615400243</v>
      </c>
      <c r="M34" s="717">
        <f t="shared" si="8"/>
        <v>264917.92615400243</v>
      </c>
      <c r="N34" s="717">
        <f t="shared" si="8"/>
        <v>264917.92615400243</v>
      </c>
      <c r="O34" s="716">
        <f t="shared" si="7"/>
        <v>3428387.1195429037</v>
      </c>
    </row>
    <row r="35" spans="1:17">
      <c r="A35" s="104">
        <f t="shared" si="1"/>
        <v>24</v>
      </c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</row>
    <row r="36" spans="1:17">
      <c r="A36" s="104">
        <f t="shared" si="1"/>
        <v>25</v>
      </c>
      <c r="B36" s="60" t="s">
        <v>213</v>
      </c>
      <c r="C36" s="408"/>
      <c r="D36" s="408"/>
      <c r="E36" s="408"/>
      <c r="F36" s="408"/>
      <c r="G36" s="408"/>
      <c r="H36" s="408"/>
      <c r="I36" s="408"/>
      <c r="J36" s="408">
        <f>Allocation!$G$14</f>
        <v>0.1071</v>
      </c>
      <c r="K36" s="408">
        <f>J36</f>
        <v>0.1071</v>
      </c>
      <c r="L36" s="408">
        <f t="shared" ref="L36:N36" si="9">K36</f>
        <v>0.1071</v>
      </c>
      <c r="M36" s="408">
        <f t="shared" si="9"/>
        <v>0.1071</v>
      </c>
      <c r="N36" s="408">
        <f t="shared" si="9"/>
        <v>0.1071</v>
      </c>
    </row>
    <row r="37" spans="1:17">
      <c r="A37" s="104">
        <f t="shared" si="1"/>
        <v>26</v>
      </c>
      <c r="B37" s="60" t="s">
        <v>214</v>
      </c>
      <c r="C37" s="756"/>
      <c r="D37" s="756"/>
      <c r="E37" s="756"/>
      <c r="F37" s="756"/>
      <c r="G37" s="756"/>
      <c r="H37" s="756"/>
      <c r="I37" s="756"/>
      <c r="J37" s="756">
        <f>Allocation!$H$14</f>
        <v>0.49090457251500325</v>
      </c>
      <c r="K37" s="408">
        <f>J37</f>
        <v>0.49090457251500325</v>
      </c>
      <c r="L37" s="408">
        <f t="shared" ref="L37:N37" si="10">K37</f>
        <v>0.49090457251500325</v>
      </c>
      <c r="M37" s="408">
        <f t="shared" si="10"/>
        <v>0.49090457251500325</v>
      </c>
      <c r="N37" s="408">
        <f t="shared" si="10"/>
        <v>0.49090457251500325</v>
      </c>
    </row>
    <row r="38" spans="1:17">
      <c r="A38" s="104">
        <f t="shared" si="1"/>
        <v>27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</row>
    <row r="39" spans="1:17">
      <c r="A39" s="104">
        <f t="shared" si="1"/>
        <v>28</v>
      </c>
      <c r="B39" s="60" t="s">
        <v>215</v>
      </c>
      <c r="C39" s="717">
        <f t="shared" ref="C39:I39" si="11">C21</f>
        <v>15496.55</v>
      </c>
      <c r="D39" s="717">
        <f t="shared" si="11"/>
        <v>14055.77</v>
      </c>
      <c r="E39" s="717">
        <f t="shared" si="11"/>
        <v>18877.48</v>
      </c>
      <c r="F39" s="717">
        <f t="shared" si="11"/>
        <v>15967.61</v>
      </c>
      <c r="G39" s="717">
        <f t="shared" si="11"/>
        <v>17564.29</v>
      </c>
      <c r="H39" s="717">
        <f t="shared" si="11"/>
        <v>14940.69</v>
      </c>
      <c r="I39" s="717">
        <f t="shared" si="11"/>
        <v>13725.44226995427</v>
      </c>
      <c r="J39" s="717">
        <f>(J34)*J36*J37</f>
        <v>13928.293020179539</v>
      </c>
      <c r="K39" s="717">
        <f t="shared" ref="K39:N39" si="12">(K34)*K36*K37</f>
        <v>13928.293020179539</v>
      </c>
      <c r="L39" s="717">
        <f t="shared" si="12"/>
        <v>13928.293020179539</v>
      </c>
      <c r="M39" s="717">
        <f t="shared" si="12"/>
        <v>13928.293020179539</v>
      </c>
      <c r="N39" s="717">
        <f t="shared" si="12"/>
        <v>13928.293020179539</v>
      </c>
      <c r="O39" s="716">
        <f>SUM(C39:N39)</f>
        <v>180269.29737085203</v>
      </c>
    </row>
    <row r="40" spans="1:17">
      <c r="A40" s="104">
        <f t="shared" si="1"/>
        <v>29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</row>
    <row r="41" spans="1:17" ht="15.75">
      <c r="A41" s="104">
        <f t="shared" si="1"/>
        <v>30</v>
      </c>
      <c r="B41" s="372" t="s">
        <v>82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</row>
    <row r="42" spans="1:17">
      <c r="A42" s="104">
        <f t="shared" si="1"/>
        <v>31</v>
      </c>
      <c r="B42" s="60" t="s">
        <v>294</v>
      </c>
      <c r="C42" s="1153">
        <v>220184.16999999998</v>
      </c>
      <c r="D42" s="1153">
        <v>199801.41</v>
      </c>
      <c r="E42" s="1153">
        <v>243419.56000000003</v>
      </c>
      <c r="F42" s="1153">
        <v>188310.48</v>
      </c>
      <c r="G42" s="1153">
        <v>193205.41999999998</v>
      </c>
      <c r="H42" s="1153">
        <v>171926.27</v>
      </c>
      <c r="I42" s="1153">
        <v>165088.71111387134</v>
      </c>
      <c r="J42" s="1153">
        <v>179787.49262949187</v>
      </c>
      <c r="K42" s="1153">
        <v>179787.49262949187</v>
      </c>
      <c r="L42" s="1153">
        <v>179787.49262949187</v>
      </c>
      <c r="M42" s="1153">
        <v>179787.49262949187</v>
      </c>
      <c r="N42" s="1153">
        <v>179787.49262949187</v>
      </c>
      <c r="O42" s="715">
        <f t="shared" ref="O42:O47" si="13">SUM(C42:N42)</f>
        <v>2280873.4842613307</v>
      </c>
      <c r="P42" s="768"/>
    </row>
    <row r="43" spans="1:17">
      <c r="A43" s="104">
        <f t="shared" si="1"/>
        <v>32</v>
      </c>
      <c r="B43" s="60" t="s">
        <v>295</v>
      </c>
      <c r="C43" s="1153">
        <v>264.57000000000016</v>
      </c>
      <c r="D43" s="1153">
        <v>-266.5100000000001</v>
      </c>
      <c r="E43" s="1153">
        <v>355.96</v>
      </c>
      <c r="F43" s="1153">
        <v>145.5</v>
      </c>
      <c r="G43" s="1153">
        <v>152.31</v>
      </c>
      <c r="H43" s="1153">
        <v>135.41999999999999</v>
      </c>
      <c r="I43" s="1153">
        <v>106.80558419806606</v>
      </c>
      <c r="J43" s="1153">
        <v>116.31508933735282</v>
      </c>
      <c r="K43" s="1153">
        <v>116.31508933735282</v>
      </c>
      <c r="L43" s="1153">
        <v>116.31508933735282</v>
      </c>
      <c r="M43" s="1153">
        <v>116.31508933735282</v>
      </c>
      <c r="N43" s="1153">
        <v>116.31508933735282</v>
      </c>
      <c r="O43" s="60">
        <f t="shared" si="13"/>
        <v>1475.6310308848304</v>
      </c>
    </row>
    <row r="44" spans="1:17">
      <c r="A44" s="104">
        <f t="shared" si="1"/>
        <v>33</v>
      </c>
      <c r="B44" s="60" t="s">
        <v>296</v>
      </c>
      <c r="C44" s="1153">
        <v>2984.8899999999994</v>
      </c>
      <c r="D44" s="1153">
        <v>-522.12000000000035</v>
      </c>
      <c r="E44" s="1153">
        <v>559.8900000000001</v>
      </c>
      <c r="F44" s="1153">
        <v>539.84</v>
      </c>
      <c r="G44" s="1153">
        <v>423.86</v>
      </c>
      <c r="H44" s="1153">
        <v>493.40000000000003</v>
      </c>
      <c r="I44" s="1153">
        <v>607.76549236853396</v>
      </c>
      <c r="J44" s="1153">
        <v>661.87829102559488</v>
      </c>
      <c r="K44" s="1153">
        <v>661.87829102559488</v>
      </c>
      <c r="L44" s="1153">
        <v>661.87829102559488</v>
      </c>
      <c r="M44" s="1153">
        <v>661.87829102559488</v>
      </c>
      <c r="N44" s="1153">
        <v>661.87829102559488</v>
      </c>
      <c r="O44" s="60">
        <f t="shared" si="13"/>
        <v>8396.9169474965074</v>
      </c>
    </row>
    <row r="45" spans="1:17">
      <c r="A45" s="104">
        <f t="shared" si="1"/>
        <v>34</v>
      </c>
      <c r="B45" s="60" t="s">
        <v>297</v>
      </c>
      <c r="C45" s="1153">
        <v>50000</v>
      </c>
      <c r="D45" s="1153">
        <v>50000</v>
      </c>
      <c r="E45" s="1153">
        <v>50000</v>
      </c>
      <c r="F45" s="1153">
        <v>50000</v>
      </c>
      <c r="G45" s="1153">
        <v>50000</v>
      </c>
      <c r="H45" s="1153">
        <v>50000</v>
      </c>
      <c r="I45" s="1153">
        <v>50000</v>
      </c>
      <c r="J45" s="1153">
        <v>55000</v>
      </c>
      <c r="K45" s="1153">
        <v>55000</v>
      </c>
      <c r="L45" s="1153">
        <v>55000</v>
      </c>
      <c r="M45" s="1153">
        <v>55000</v>
      </c>
      <c r="N45" s="1153">
        <v>55000</v>
      </c>
      <c r="O45" s="60">
        <f t="shared" si="13"/>
        <v>625000</v>
      </c>
      <c r="P45" s="768"/>
    </row>
    <row r="46" spans="1:17">
      <c r="A46" s="104">
        <f t="shared" si="1"/>
        <v>35</v>
      </c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</row>
    <row r="47" spans="1:17">
      <c r="A47" s="104">
        <f t="shared" si="1"/>
        <v>36</v>
      </c>
      <c r="B47" s="60" t="s">
        <v>212</v>
      </c>
      <c r="C47" s="717">
        <f t="shared" ref="C47:N47" si="14">SUM(C42:C45)</f>
        <v>273433.63</v>
      </c>
      <c r="D47" s="717">
        <f t="shared" si="14"/>
        <v>249012.78</v>
      </c>
      <c r="E47" s="717">
        <f t="shared" si="14"/>
        <v>294335.41000000003</v>
      </c>
      <c r="F47" s="717">
        <f t="shared" si="14"/>
        <v>238995.82</v>
      </c>
      <c r="G47" s="717">
        <f t="shared" si="14"/>
        <v>243781.58999999997</v>
      </c>
      <c r="H47" s="717">
        <f t="shared" si="14"/>
        <v>222555.09</v>
      </c>
      <c r="I47" s="717">
        <f t="shared" si="14"/>
        <v>215803.28219043795</v>
      </c>
      <c r="J47" s="717">
        <f>SUM(J42:J45)</f>
        <v>235565.68600985481</v>
      </c>
      <c r="K47" s="717">
        <f t="shared" si="14"/>
        <v>235565.68600985481</v>
      </c>
      <c r="L47" s="717">
        <f t="shared" si="14"/>
        <v>235565.68600985481</v>
      </c>
      <c r="M47" s="717">
        <f t="shared" si="14"/>
        <v>235565.68600985481</v>
      </c>
      <c r="N47" s="717">
        <f t="shared" si="14"/>
        <v>235565.68600985481</v>
      </c>
      <c r="O47" s="716">
        <f t="shared" si="13"/>
        <v>2915746.0322397128</v>
      </c>
      <c r="Q47" s="119"/>
    </row>
    <row r="48" spans="1:17">
      <c r="A48" s="104">
        <f t="shared" si="1"/>
        <v>37</v>
      </c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</row>
    <row r="49" spans="1:17">
      <c r="A49" s="104">
        <f t="shared" si="1"/>
        <v>38</v>
      </c>
      <c r="B49" s="60" t="s">
        <v>213</v>
      </c>
      <c r="C49" s="756"/>
      <c r="D49" s="756"/>
      <c r="E49" s="756"/>
      <c r="F49" s="756"/>
      <c r="G49" s="756"/>
      <c r="H49" s="756"/>
      <c r="I49" s="756"/>
      <c r="J49" s="756">
        <f>Allocation!$C$15</f>
        <v>0.1086</v>
      </c>
      <c r="K49" s="756">
        <f>J49</f>
        <v>0.1086</v>
      </c>
      <c r="L49" s="756">
        <f t="shared" ref="L49:N49" si="15">K49</f>
        <v>0.1086</v>
      </c>
      <c r="M49" s="756">
        <f t="shared" si="15"/>
        <v>0.1086</v>
      </c>
      <c r="N49" s="756">
        <f t="shared" si="15"/>
        <v>0.1086</v>
      </c>
    </row>
    <row r="50" spans="1:17">
      <c r="A50" s="104">
        <f t="shared" si="1"/>
        <v>39</v>
      </c>
      <c r="B50" s="60" t="s">
        <v>214</v>
      </c>
      <c r="C50" s="756"/>
      <c r="D50" s="1102"/>
      <c r="E50" s="756"/>
      <c r="F50" s="756"/>
      <c r="G50" s="756"/>
      <c r="H50" s="756"/>
      <c r="I50" s="756"/>
      <c r="J50" s="756">
        <f>Allocation!$D$15</f>
        <v>0.52599015110063552</v>
      </c>
      <c r="K50" s="756">
        <f>J50</f>
        <v>0.52599015110063552</v>
      </c>
      <c r="L50" s="756">
        <f t="shared" ref="L50:N50" si="16">K50</f>
        <v>0.52599015110063552</v>
      </c>
      <c r="M50" s="756">
        <f t="shared" si="16"/>
        <v>0.52599015110063552</v>
      </c>
      <c r="N50" s="756">
        <f t="shared" si="16"/>
        <v>0.52599015110063552</v>
      </c>
    </row>
    <row r="51" spans="1:17">
      <c r="A51" s="104">
        <f t="shared" si="1"/>
        <v>40</v>
      </c>
      <c r="C51" s="266"/>
      <c r="D51" s="266"/>
      <c r="E51" s="266"/>
      <c r="F51" s="266"/>
      <c r="G51" s="266"/>
      <c r="H51" s="266"/>
      <c r="I51" s="266"/>
      <c r="J51" s="756"/>
      <c r="K51" s="266"/>
      <c r="L51" s="266"/>
      <c r="M51" s="266"/>
      <c r="N51" s="266"/>
    </row>
    <row r="52" spans="1:17">
      <c r="A52" s="104">
        <f t="shared" si="1"/>
        <v>41</v>
      </c>
      <c r="B52" s="60" t="s">
        <v>215</v>
      </c>
      <c r="C52" s="717">
        <f t="shared" ref="C52:I52" si="17">C20</f>
        <v>15633.9</v>
      </c>
      <c r="D52" s="717">
        <f t="shared" si="17"/>
        <v>14237.6</v>
      </c>
      <c r="E52" s="717">
        <f t="shared" si="17"/>
        <v>16828.98</v>
      </c>
      <c r="F52" s="717">
        <f t="shared" si="17"/>
        <v>13664.88</v>
      </c>
      <c r="G52" s="717">
        <f t="shared" si="17"/>
        <v>13940.71</v>
      </c>
      <c r="H52" s="717">
        <f t="shared" si="17"/>
        <v>12724.86</v>
      </c>
      <c r="I52" s="717">
        <f t="shared" si="17"/>
        <v>12327.229549399461</v>
      </c>
      <c r="J52" s="717">
        <f>(J47)*J49*J50</f>
        <v>13456.108062539495</v>
      </c>
      <c r="K52" s="717">
        <f t="shared" ref="K52:N52" si="18">(K47)*K49*K50</f>
        <v>13456.108062539495</v>
      </c>
      <c r="L52" s="717">
        <f t="shared" si="18"/>
        <v>13456.108062539495</v>
      </c>
      <c r="M52" s="717">
        <f t="shared" si="18"/>
        <v>13456.108062539495</v>
      </c>
      <c r="N52" s="717">
        <f t="shared" si="18"/>
        <v>13456.108062539495</v>
      </c>
      <c r="O52" s="716">
        <f>SUM(C52:N52)</f>
        <v>166638.6998620969</v>
      </c>
    </row>
    <row r="53" spans="1:17">
      <c r="A53" s="104">
        <f t="shared" si="1"/>
        <v>42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</row>
    <row r="54" spans="1:17" ht="15.75">
      <c r="A54" s="104">
        <f t="shared" si="1"/>
        <v>43</v>
      </c>
      <c r="B54" s="372" t="s">
        <v>83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</row>
    <row r="55" spans="1:17">
      <c r="A55" s="104">
        <f t="shared" si="1"/>
        <v>44</v>
      </c>
      <c r="B55" s="60" t="s">
        <v>294</v>
      </c>
      <c r="C55" s="1153">
        <v>10597.980000000001</v>
      </c>
      <c r="D55" s="1153">
        <v>7986.24</v>
      </c>
      <c r="E55" s="1153">
        <v>21767.620000000006</v>
      </c>
      <c r="F55" s="1153">
        <v>6560.800000000002</v>
      </c>
      <c r="G55" s="1153">
        <v>8325.7099999999973</v>
      </c>
      <c r="H55" s="1153">
        <v>8803.19</v>
      </c>
      <c r="I55" s="1153">
        <v>7622.8497917870172</v>
      </c>
      <c r="J55" s="1153">
        <v>8826.2759720775739</v>
      </c>
      <c r="K55" s="1153">
        <v>8826.2759720775739</v>
      </c>
      <c r="L55" s="1153">
        <v>8826.2759720775739</v>
      </c>
      <c r="M55" s="1153">
        <v>8826.2759720775739</v>
      </c>
      <c r="N55" s="1153">
        <v>8826.2759720775739</v>
      </c>
      <c r="O55" s="715">
        <f t="shared" ref="O55:O62" si="19">SUM(C55:N55)</f>
        <v>115795.76965217493</v>
      </c>
    </row>
    <row r="56" spans="1:17">
      <c r="A56" s="104">
        <f t="shared" si="1"/>
        <v>45</v>
      </c>
      <c r="B56" s="60" t="s">
        <v>295</v>
      </c>
      <c r="C56" s="1153">
        <v>-110.30000000000001</v>
      </c>
      <c r="D56" s="1153">
        <v>-30.099999999999998</v>
      </c>
      <c r="E56" s="1153">
        <v>3.9200000000000008</v>
      </c>
      <c r="F56" s="1153">
        <v>5.05</v>
      </c>
      <c r="G56" s="1153">
        <v>0.97</v>
      </c>
      <c r="H56" s="1153">
        <v>0.46000000000000013</v>
      </c>
      <c r="I56" s="1153">
        <v>-15.473870130735644</v>
      </c>
      <c r="J56" s="1153">
        <v>-17.916743981641982</v>
      </c>
      <c r="K56" s="1153">
        <v>-17.916743981641982</v>
      </c>
      <c r="L56" s="1153">
        <v>-17.916743981641982</v>
      </c>
      <c r="M56" s="1153">
        <v>-17.916743981641982</v>
      </c>
      <c r="N56" s="1153">
        <v>-17.916743981641982</v>
      </c>
      <c r="O56" s="60">
        <f t="shared" si="19"/>
        <v>-235.05759003894556</v>
      </c>
    </row>
    <row r="57" spans="1:17">
      <c r="A57" s="104">
        <f t="shared" si="1"/>
        <v>46</v>
      </c>
      <c r="B57" s="60" t="s">
        <v>296</v>
      </c>
      <c r="C57" s="1153">
        <v>633.2299999999999</v>
      </c>
      <c r="D57" s="1153">
        <v>-320.97000000000008</v>
      </c>
      <c r="E57" s="1153">
        <v>-5.2899999999999991</v>
      </c>
      <c r="F57" s="1153">
        <v>12.2</v>
      </c>
      <c r="G57" s="1153">
        <v>4.4500000000000011</v>
      </c>
      <c r="H57" s="1153">
        <v>3.2</v>
      </c>
      <c r="I57" s="1153">
        <v>38.901309508669385</v>
      </c>
      <c r="J57" s="1153">
        <v>45.042694369847915</v>
      </c>
      <c r="K57" s="1153">
        <v>45.042694369847915</v>
      </c>
      <c r="L57" s="1153">
        <v>45.042694369847915</v>
      </c>
      <c r="M57" s="1153">
        <v>45.042694369847915</v>
      </c>
      <c r="N57" s="1153">
        <v>45.042694369847915</v>
      </c>
      <c r="O57" s="60">
        <f t="shared" si="19"/>
        <v>590.93478135790883</v>
      </c>
    </row>
    <row r="58" spans="1:17">
      <c r="A58" s="104">
        <f t="shared" si="1"/>
        <v>47</v>
      </c>
      <c r="B58" t="s">
        <v>1244</v>
      </c>
      <c r="C58" s="1153">
        <v>139.52000000000001</v>
      </c>
      <c r="D58" s="1153">
        <v>55.27</v>
      </c>
      <c r="E58" s="1153">
        <v>23.69</v>
      </c>
      <c r="F58" s="1153">
        <v>3.95</v>
      </c>
      <c r="G58" s="1153">
        <v>7.9</v>
      </c>
      <c r="H58" s="1153">
        <v>90.8</v>
      </c>
      <c r="I58" s="1153">
        <v>0</v>
      </c>
      <c r="J58" s="1153">
        <v>0</v>
      </c>
      <c r="K58" s="1153">
        <v>0</v>
      </c>
      <c r="L58" s="1153">
        <v>0</v>
      </c>
      <c r="M58" s="1153">
        <v>0</v>
      </c>
      <c r="N58" s="1153">
        <v>0</v>
      </c>
      <c r="O58" s="60">
        <f t="shared" si="19"/>
        <v>321.13</v>
      </c>
    </row>
    <row r="59" spans="1:17">
      <c r="A59" s="104">
        <f t="shared" si="1"/>
        <v>48</v>
      </c>
      <c r="B59" s="60" t="s">
        <v>297</v>
      </c>
      <c r="C59" s="1153">
        <v>10000</v>
      </c>
      <c r="D59" s="1153">
        <v>10000</v>
      </c>
      <c r="E59" s="1153">
        <v>10000</v>
      </c>
      <c r="F59" s="1153">
        <v>10000</v>
      </c>
      <c r="G59" s="1153">
        <v>10000</v>
      </c>
      <c r="H59" s="1153">
        <v>10000</v>
      </c>
      <c r="I59" s="1153">
        <v>10000</v>
      </c>
      <c r="J59" s="1153">
        <v>7500</v>
      </c>
      <c r="K59" s="1153">
        <v>7500</v>
      </c>
      <c r="L59" s="1153">
        <v>7500</v>
      </c>
      <c r="M59" s="1153">
        <v>7500</v>
      </c>
      <c r="N59" s="1153">
        <v>7500</v>
      </c>
      <c r="O59" s="60">
        <f t="shared" si="19"/>
        <v>107500</v>
      </c>
    </row>
    <row r="60" spans="1:17">
      <c r="A60" s="104">
        <f t="shared" si="1"/>
        <v>49</v>
      </c>
      <c r="B60" s="119" t="s">
        <v>1405</v>
      </c>
      <c r="C60" s="1153">
        <v>0</v>
      </c>
      <c r="D60" s="1153">
        <v>0</v>
      </c>
      <c r="E60" s="1153">
        <v>0</v>
      </c>
      <c r="F60" s="1153">
        <v>0</v>
      </c>
      <c r="G60" s="1153">
        <v>0</v>
      </c>
      <c r="H60" s="1153">
        <v>0</v>
      </c>
      <c r="I60" s="1153">
        <v>0</v>
      </c>
      <c r="J60" s="1153">
        <v>0</v>
      </c>
      <c r="K60" s="1153">
        <v>0</v>
      </c>
      <c r="L60" s="1153">
        <v>0</v>
      </c>
      <c r="M60" s="1153">
        <v>0</v>
      </c>
      <c r="N60" s="1153">
        <v>0</v>
      </c>
      <c r="O60" s="60">
        <f t="shared" si="19"/>
        <v>0</v>
      </c>
    </row>
    <row r="61" spans="1:17">
      <c r="A61" s="104">
        <f t="shared" si="1"/>
        <v>50</v>
      </c>
      <c r="B61"/>
      <c r="C61" s="681"/>
      <c r="D61" s="681"/>
      <c r="E61" s="824"/>
      <c r="F61" s="824"/>
      <c r="G61" s="681"/>
      <c r="H61" s="681"/>
      <c r="I61" s="681"/>
      <c r="J61" s="681"/>
      <c r="K61" s="681"/>
      <c r="L61" s="681"/>
      <c r="M61" s="681"/>
      <c r="N61" s="681"/>
      <c r="Q61" s="119"/>
    </row>
    <row r="62" spans="1:17">
      <c r="A62" s="104">
        <f t="shared" si="1"/>
        <v>51</v>
      </c>
      <c r="B62" s="60" t="s">
        <v>212</v>
      </c>
      <c r="C62" s="717">
        <f t="shared" ref="C62:N62" si="20">SUM(C55:C60)</f>
        <v>21260.43</v>
      </c>
      <c r="D62" s="717">
        <f t="shared" si="20"/>
        <v>17690.439999999999</v>
      </c>
      <c r="E62" s="717">
        <f t="shared" si="20"/>
        <v>31789.940000000002</v>
      </c>
      <c r="F62" s="717">
        <f t="shared" si="20"/>
        <v>16582</v>
      </c>
      <c r="G62" s="717">
        <f t="shared" si="20"/>
        <v>18339.03</v>
      </c>
      <c r="H62" s="717">
        <f t="shared" si="20"/>
        <v>18897.650000000001</v>
      </c>
      <c r="I62" s="717">
        <f t="shared" si="20"/>
        <v>17646.27723116495</v>
      </c>
      <c r="J62" s="717">
        <f t="shared" si="20"/>
        <v>16353.401922465779</v>
      </c>
      <c r="K62" s="717">
        <f t="shared" si="20"/>
        <v>16353.401922465779</v>
      </c>
      <c r="L62" s="717">
        <f t="shared" si="20"/>
        <v>16353.401922465779</v>
      </c>
      <c r="M62" s="717">
        <f t="shared" si="20"/>
        <v>16353.401922465779</v>
      </c>
      <c r="N62" s="717">
        <f t="shared" si="20"/>
        <v>16353.401922465779</v>
      </c>
      <c r="O62" s="716">
        <f t="shared" si="19"/>
        <v>223972.77684349378</v>
      </c>
    </row>
    <row r="63" spans="1:17">
      <c r="A63" s="104">
        <f t="shared" si="1"/>
        <v>52</v>
      </c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</row>
    <row r="64" spans="1:17">
      <c r="A64" s="104">
        <f t="shared" si="1"/>
        <v>53</v>
      </c>
      <c r="B64" s="60" t="s">
        <v>213</v>
      </c>
      <c r="C64" s="756"/>
      <c r="D64" s="756"/>
      <c r="E64" s="756"/>
      <c r="F64" s="756"/>
      <c r="G64" s="756"/>
      <c r="H64" s="756"/>
      <c r="I64" s="756"/>
      <c r="J64" s="756">
        <v>1</v>
      </c>
      <c r="K64" s="756">
        <f>J64</f>
        <v>1</v>
      </c>
      <c r="L64" s="756">
        <f t="shared" ref="L64:N64" si="21">K64</f>
        <v>1</v>
      </c>
      <c r="M64" s="756">
        <f t="shared" si="21"/>
        <v>1</v>
      </c>
      <c r="N64" s="756">
        <f t="shared" si="21"/>
        <v>1</v>
      </c>
    </row>
    <row r="65" spans="1:16">
      <c r="A65" s="104">
        <f t="shared" si="1"/>
        <v>54</v>
      </c>
      <c r="B65" s="60" t="s">
        <v>214</v>
      </c>
      <c r="C65" s="756"/>
      <c r="D65" s="756"/>
      <c r="E65" s="756"/>
      <c r="F65" s="756"/>
      <c r="G65" s="756"/>
      <c r="H65" s="756"/>
      <c r="I65" s="756"/>
      <c r="J65" s="756">
        <f>Allocation!$H$17</f>
        <v>0.49090457251500325</v>
      </c>
      <c r="K65" s="756">
        <f>J65</f>
        <v>0.49090457251500325</v>
      </c>
      <c r="L65" s="756">
        <f t="shared" ref="L65:N65" si="22">K65</f>
        <v>0.49090457251500325</v>
      </c>
      <c r="M65" s="756">
        <f t="shared" si="22"/>
        <v>0.49090457251500325</v>
      </c>
      <c r="N65" s="756">
        <f t="shared" si="22"/>
        <v>0.49090457251500325</v>
      </c>
    </row>
    <row r="66" spans="1:16">
      <c r="A66" s="104">
        <f t="shared" si="1"/>
        <v>55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</row>
    <row r="67" spans="1:16">
      <c r="A67" s="104">
        <f t="shared" si="1"/>
        <v>56</v>
      </c>
      <c r="B67" s="60" t="s">
        <v>215</v>
      </c>
      <c r="C67" s="717">
        <f t="shared" ref="C67:I67" si="23">C22</f>
        <v>10438.870000000001</v>
      </c>
      <c r="D67" s="717">
        <f t="shared" si="23"/>
        <v>8686.01</v>
      </c>
      <c r="E67" s="717">
        <f t="shared" si="23"/>
        <v>15608.87</v>
      </c>
      <c r="F67" s="717">
        <f t="shared" si="23"/>
        <v>8141.77</v>
      </c>
      <c r="G67" s="717">
        <f t="shared" si="23"/>
        <v>9004.4500000000007</v>
      </c>
      <c r="H67" s="717">
        <f t="shared" si="23"/>
        <v>9278.74</v>
      </c>
      <c r="I67" s="717">
        <f t="shared" si="23"/>
        <v>8662.638180646265</v>
      </c>
      <c r="J67" s="717">
        <f>(J62)*J64*J65</f>
        <v>8027.9597799140956</v>
      </c>
      <c r="K67" s="717">
        <f t="shared" ref="K67:N67" si="24">(K62)*K64*K65</f>
        <v>8027.9597799140956</v>
      </c>
      <c r="L67" s="717">
        <f t="shared" si="24"/>
        <v>8027.9597799140956</v>
      </c>
      <c r="M67" s="717">
        <f t="shared" si="24"/>
        <v>8027.9597799140956</v>
      </c>
      <c r="N67" s="717">
        <f t="shared" si="24"/>
        <v>8027.9597799140956</v>
      </c>
      <c r="O67" s="717">
        <f>SUM(C67:N67)</f>
        <v>109961.14708021672</v>
      </c>
    </row>
    <row r="68" spans="1:16">
      <c r="C68" s="957"/>
      <c r="E68" s="266"/>
    </row>
    <row r="69" spans="1:16">
      <c r="E69" s="266"/>
    </row>
    <row r="70" spans="1:16">
      <c r="B70" s="675" t="s">
        <v>1442</v>
      </c>
      <c r="C70" s="756">
        <f>C39/C34</f>
        <v>5.2586107288343432E-2</v>
      </c>
      <c r="D70" s="756">
        <f t="shared" ref="D70:N70" si="25">D39/D34</f>
        <v>5.2586085402831287E-2</v>
      </c>
      <c r="E70" s="756">
        <f t="shared" si="25"/>
        <v>5.2586093645381318E-2</v>
      </c>
      <c r="F70" s="756">
        <f t="shared" si="25"/>
        <v>5.2586108892525567E-2</v>
      </c>
      <c r="G70" s="756">
        <f t="shared" si="25"/>
        <v>5.2586101283398225E-2</v>
      </c>
      <c r="H70" s="756">
        <f t="shared" si="25"/>
        <v>5.258608646970743E-2</v>
      </c>
      <c r="I70" s="756">
        <f t="shared" si="25"/>
        <v>5.2575879716356855E-2</v>
      </c>
      <c r="J70" s="756">
        <f t="shared" si="25"/>
        <v>5.2575879716356855E-2</v>
      </c>
      <c r="K70" s="756">
        <f t="shared" si="25"/>
        <v>5.2575879716356855E-2</v>
      </c>
      <c r="L70" s="756">
        <f t="shared" si="25"/>
        <v>5.2575879716356855E-2</v>
      </c>
      <c r="M70" s="756">
        <f t="shared" si="25"/>
        <v>5.2575879716356855E-2</v>
      </c>
      <c r="N70" s="756">
        <f t="shared" si="25"/>
        <v>5.2575879716356855E-2</v>
      </c>
      <c r="O70" s="768"/>
    </row>
    <row r="71" spans="1:16">
      <c r="B71" s="675" t="s">
        <v>1443</v>
      </c>
      <c r="C71" s="756">
        <f>C52/C47</f>
        <v>5.7176214937423753E-2</v>
      </c>
      <c r="D71" s="756">
        <f t="shared" ref="D71:I71" si="26">D52/D47</f>
        <v>5.7176181881106666E-2</v>
      </c>
      <c r="E71" s="756">
        <f t="shared" si="26"/>
        <v>5.7176199085254467E-2</v>
      </c>
      <c r="F71" s="756">
        <f t="shared" si="26"/>
        <v>5.7176230111472236E-2</v>
      </c>
      <c r="G71" s="756">
        <f t="shared" si="26"/>
        <v>5.7185245202478176E-2</v>
      </c>
      <c r="H71" s="756">
        <f t="shared" si="26"/>
        <v>5.7176225446023278E-2</v>
      </c>
      <c r="I71" s="756">
        <f t="shared" si="26"/>
        <v>5.7122530409529006E-2</v>
      </c>
      <c r="J71" s="756">
        <f t="shared" ref="J71:N71" si="27">J52/J47</f>
        <v>5.712253040952902E-2</v>
      </c>
      <c r="K71" s="756">
        <f t="shared" si="27"/>
        <v>5.712253040952902E-2</v>
      </c>
      <c r="L71" s="756">
        <f t="shared" si="27"/>
        <v>5.712253040952902E-2</v>
      </c>
      <c r="M71" s="756">
        <f t="shared" si="27"/>
        <v>5.712253040952902E-2</v>
      </c>
      <c r="N71" s="756">
        <f t="shared" si="27"/>
        <v>5.712253040952902E-2</v>
      </c>
      <c r="P71" s="768"/>
    </row>
    <row r="72" spans="1:16">
      <c r="B72" s="675" t="s">
        <v>1444</v>
      </c>
      <c r="C72" s="756">
        <f>C67/C62</f>
        <v>0.4909999468496169</v>
      </c>
      <c r="D72" s="756">
        <f t="shared" ref="D72:I72" si="28">D67/D62</f>
        <v>0.49100022384971775</v>
      </c>
      <c r="E72" s="756">
        <f t="shared" si="28"/>
        <v>0.49100029757841629</v>
      </c>
      <c r="F72" s="756">
        <f t="shared" si="28"/>
        <v>0.49100048245085037</v>
      </c>
      <c r="G72" s="756">
        <f t="shared" si="28"/>
        <v>0.49099925132354333</v>
      </c>
      <c r="H72" s="756">
        <f t="shared" si="28"/>
        <v>0.49099967456271015</v>
      </c>
      <c r="I72" s="756">
        <f t="shared" si="28"/>
        <v>0.49090457251500325</v>
      </c>
      <c r="J72" s="756">
        <f t="shared" ref="J72:N72" si="29">J67/J62</f>
        <v>0.49090457251500325</v>
      </c>
      <c r="K72" s="756">
        <f t="shared" si="29"/>
        <v>0.49090457251500325</v>
      </c>
      <c r="L72" s="756">
        <f t="shared" si="29"/>
        <v>0.49090457251500325</v>
      </c>
      <c r="M72" s="756">
        <f t="shared" si="29"/>
        <v>0.49090457251500325</v>
      </c>
      <c r="N72" s="756">
        <f t="shared" si="29"/>
        <v>0.49090457251500325</v>
      </c>
      <c r="P72" s="768"/>
    </row>
    <row r="73" spans="1:16">
      <c r="P73" s="768"/>
    </row>
    <row r="74" spans="1:16">
      <c r="E74" s="266"/>
      <c r="F74" s="266"/>
      <c r="G74" s="266"/>
      <c r="H74" s="266"/>
      <c r="I74" s="266"/>
      <c r="P74" s="768"/>
    </row>
    <row r="75" spans="1:16">
      <c r="E75" s="887"/>
      <c r="F75" s="266"/>
      <c r="G75" s="266"/>
      <c r="H75" s="266"/>
      <c r="I75" s="266"/>
      <c r="J75" s="1057"/>
    </row>
    <row r="76" spans="1:16">
      <c r="E76" s="266"/>
      <c r="F76" s="266"/>
      <c r="G76" s="266"/>
      <c r="H76" s="266"/>
      <c r="I76" s="266"/>
    </row>
    <row r="78" spans="1:16">
      <c r="J78" s="768"/>
      <c r="K78" s="768"/>
    </row>
    <row r="79" spans="1:16">
      <c r="J79" s="768"/>
      <c r="K79" s="768"/>
    </row>
    <row r="80" spans="1:16">
      <c r="J80" s="768"/>
      <c r="K80" s="768"/>
    </row>
    <row r="81" spans="10:11">
      <c r="J81" s="768"/>
      <c r="K81" s="768"/>
    </row>
    <row r="82" spans="10:11">
      <c r="J82" s="768"/>
      <c r="K82" s="768"/>
    </row>
    <row r="83" spans="10:11">
      <c r="J83" s="768"/>
      <c r="K83" s="768"/>
    </row>
    <row r="84" spans="10:11">
      <c r="J84" s="768"/>
      <c r="K84" s="768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69"/>
  <sheetViews>
    <sheetView view="pageBreakPreview" zoomScale="70" zoomScaleNormal="70" zoomScaleSheetLayoutView="70" workbookViewId="0">
      <pane xSplit="2" ySplit="10" topLeftCell="C11" activePane="bottomRight" state="frozen"/>
      <selection activeCell="E55" sqref="E55"/>
      <selection pane="topRight" activeCell="E55" sqref="E55"/>
      <selection pane="bottomLeft" activeCell="E55" sqref="E55"/>
      <selection pane="bottomRight" activeCell="C11" sqref="C11"/>
    </sheetView>
  </sheetViews>
  <sheetFormatPr defaultColWidth="8.88671875" defaultRowHeight="15"/>
  <cols>
    <col min="1" max="1" width="4.6640625" style="1" customWidth="1"/>
    <col min="2" max="2" width="40.6640625" style="1" customWidth="1"/>
    <col min="3" max="14" width="10" style="1" customWidth="1"/>
    <col min="15" max="15" width="13.88671875" style="1" customWidth="1"/>
    <col min="16" max="16" width="13.109375" style="1" bestFit="1" customWidth="1"/>
    <col min="17" max="17" width="12" style="1" bestFit="1" customWidth="1"/>
    <col min="18" max="18" width="11.44140625" style="1" bestFit="1" customWidth="1"/>
    <col min="19" max="16384" width="8.88671875" style="1"/>
  </cols>
  <sheetData>
    <row r="1" spans="1:24" s="79" customFormat="1">
      <c r="A1" s="1266" t="str">
        <f>'Table of Contents'!A1:C1</f>
        <v>Atmos Energy Corporation, Kentucky/Mid-States Division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66" t="str">
        <f>'Table of Contents'!A2:C2</f>
        <v>Kentucky Jurisdiction Case No. 2015-00343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66" t="s">
        <v>197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"/>
      <c r="Q3" s="1057"/>
      <c r="R3" s="1"/>
      <c r="S3" s="1"/>
      <c r="T3" s="1"/>
      <c r="U3" s="1"/>
      <c r="V3" s="1"/>
      <c r="W3" s="1"/>
      <c r="X3" s="1"/>
    </row>
    <row r="4" spans="1:24" s="79" customFormat="1">
      <c r="A4" s="1266" t="str">
        <f>'Table of Contents'!A4:C4</f>
        <v>Forecasted Test Period: Twelve Months Ended May 31, 2017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"/>
      <c r="Q4" s="1"/>
      <c r="R4" s="1"/>
      <c r="S4" s="1"/>
      <c r="T4" s="1"/>
      <c r="U4" s="1"/>
      <c r="V4" s="1"/>
      <c r="W4" s="1"/>
      <c r="X4" s="1"/>
    </row>
    <row r="5" spans="1:24" s="79" customFormat="1">
      <c r="A5" s="107"/>
      <c r="B5" s="205"/>
      <c r="C5" s="205"/>
      <c r="D5" s="40"/>
      <c r="E5" s="40"/>
      <c r="F5" s="272"/>
      <c r="G5" s="40"/>
      <c r="H5" s="40"/>
      <c r="I5" s="40"/>
      <c r="J5" s="40"/>
      <c r="K5" s="40"/>
      <c r="L5" s="40"/>
      <c r="M5" s="483"/>
      <c r="N5" s="40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9" customFormat="1">
      <c r="A6" s="115" t="str">
        <f>'C.2.1 F'!A6</f>
        <v>Data:________Base Period___X____Forecasted Period</v>
      </c>
      <c r="B6" s="107"/>
      <c r="C6" s="107"/>
      <c r="D6" s="1"/>
      <c r="E6" s="1"/>
      <c r="F6" s="1"/>
      <c r="G6" s="1"/>
      <c r="H6" s="1"/>
      <c r="I6" s="1"/>
      <c r="J6" s="1"/>
      <c r="K6" s="1"/>
      <c r="L6" s="1"/>
      <c r="M6" s="100"/>
      <c r="N6" s="1"/>
      <c r="O6" s="488" t="s">
        <v>1525</v>
      </c>
      <c r="P6" s="1"/>
      <c r="Q6" s="1"/>
      <c r="R6" s="1"/>
      <c r="S6" s="1"/>
      <c r="T6" s="1"/>
      <c r="U6" s="1"/>
      <c r="V6" s="1"/>
      <c r="W6" s="1"/>
      <c r="X6" s="1"/>
    </row>
    <row r="7" spans="1:24" s="79" customFormat="1">
      <c r="A7" s="115" t="str">
        <f>'C.2.1 F'!A7</f>
        <v>Type of Filing:___X____Original________Updated ________Revised</v>
      </c>
      <c r="B7" s="107"/>
      <c r="C7" s="107"/>
      <c r="D7" s="1"/>
      <c r="E7" s="768"/>
      <c r="F7" s="1"/>
      <c r="G7" s="1"/>
      <c r="H7" s="768"/>
      <c r="I7" s="1"/>
      <c r="J7" s="1"/>
      <c r="K7" s="1"/>
      <c r="L7" s="1"/>
      <c r="M7" s="100"/>
      <c r="N7" s="326"/>
      <c r="O7" s="647" t="s">
        <v>731</v>
      </c>
      <c r="P7" s="1"/>
      <c r="Q7" s="1"/>
      <c r="R7" s="1"/>
      <c r="S7" s="1"/>
      <c r="T7" s="1"/>
      <c r="U7" s="1"/>
      <c r="V7" s="1"/>
      <c r="W7" s="1"/>
      <c r="X7" s="1"/>
    </row>
    <row r="8" spans="1:24" s="79" customFormat="1">
      <c r="A8" s="510" t="str">
        <f>'C.2.1 F'!A8</f>
        <v>Workpaper Reference No(s).____________________</v>
      </c>
      <c r="B8" s="108"/>
      <c r="C8" s="206"/>
      <c r="D8" s="6"/>
      <c r="E8" s="6"/>
      <c r="F8" s="6"/>
      <c r="G8" s="6"/>
      <c r="H8" s="6"/>
      <c r="I8" s="6"/>
      <c r="J8" s="6"/>
      <c r="K8" s="6"/>
      <c r="L8" s="45"/>
      <c r="M8" s="108"/>
      <c r="N8" s="327"/>
      <c r="O8" s="958" t="str">
        <f>LEFT(C.1!J9,15)</f>
        <v>Witness: Waller</v>
      </c>
      <c r="P8" s="1"/>
      <c r="Q8" s="1"/>
      <c r="R8" s="1"/>
      <c r="S8" s="1"/>
      <c r="T8" s="1"/>
      <c r="U8" s="1"/>
      <c r="V8" s="1"/>
      <c r="W8" s="1"/>
      <c r="X8" s="1"/>
    </row>
    <row r="9" spans="1:24" s="79" customFormat="1">
      <c r="A9" s="511" t="s">
        <v>98</v>
      </c>
      <c r="B9" s="107"/>
      <c r="C9" s="500" t="str">
        <f>'C.2.2-F 09'!D9</f>
        <v>Forecasted</v>
      </c>
      <c r="D9" s="500" t="str">
        <f>'C.2.2-F 09'!E9</f>
        <v>Forecasted</v>
      </c>
      <c r="E9" s="500" t="str">
        <f>'C.2.2-F 09'!F9</f>
        <v>Forecasted</v>
      </c>
      <c r="F9" s="500" t="str">
        <f>'C.2.2-F 09'!G9</f>
        <v>Forecasted</v>
      </c>
      <c r="G9" s="500" t="str">
        <f>'C.2.2-F 09'!H9</f>
        <v>Forecasted</v>
      </c>
      <c r="H9" s="500" t="str">
        <f>'C.2.2-F 09'!I9</f>
        <v>Forecasted</v>
      </c>
      <c r="I9" s="500" t="str">
        <f>'C.2.2-F 09'!J9</f>
        <v>Forecasted</v>
      </c>
      <c r="J9" s="500" t="str">
        <f>'C.2.2-F 09'!K9</f>
        <v>Forecasted</v>
      </c>
      <c r="K9" s="500" t="str">
        <f>'C.2.2-F 09'!L9</f>
        <v>Forecasted</v>
      </c>
      <c r="L9" s="500" t="str">
        <f>'C.2.2-F 09'!M9</f>
        <v>Forecasted</v>
      </c>
      <c r="M9" s="500" t="str">
        <f>'C.2.2-F 09'!N9</f>
        <v>Forecasted</v>
      </c>
      <c r="N9" s="500" t="str">
        <f>'C.2.2-F 09'!O9</f>
        <v>Forecasted</v>
      </c>
      <c r="O9" s="472"/>
      <c r="P9" s="1"/>
      <c r="Q9" s="1"/>
      <c r="R9" s="1"/>
      <c r="S9" s="1"/>
      <c r="T9" s="1"/>
      <c r="U9" s="1"/>
      <c r="V9" s="1"/>
      <c r="W9" s="1"/>
      <c r="X9" s="1"/>
    </row>
    <row r="10" spans="1:24" s="79" customFormat="1">
      <c r="A10" s="512" t="s">
        <v>104</v>
      </c>
      <c r="B10" s="461" t="s">
        <v>196</v>
      </c>
      <c r="C10" s="513">
        <f>'C.2.2-F 09'!D10</f>
        <v>42551</v>
      </c>
      <c r="D10" s="513">
        <f>'C.2.2-F 09'!E10</f>
        <v>42582</v>
      </c>
      <c r="E10" s="513">
        <f>'C.2.2-F 09'!F10</f>
        <v>42613</v>
      </c>
      <c r="F10" s="513">
        <f>'C.2.2-F 09'!G10</f>
        <v>42643</v>
      </c>
      <c r="G10" s="513">
        <f>'C.2.2-F 09'!H10</f>
        <v>42674</v>
      </c>
      <c r="H10" s="513">
        <f>'C.2.2-F 09'!I10</f>
        <v>42704</v>
      </c>
      <c r="I10" s="513">
        <f>'C.2.2-F 09'!J10</f>
        <v>42735</v>
      </c>
      <c r="J10" s="513">
        <f>'C.2.2-F 09'!K10</f>
        <v>42766</v>
      </c>
      <c r="K10" s="513">
        <f>'C.2.2-F 09'!L10</f>
        <v>42794</v>
      </c>
      <c r="L10" s="513">
        <f>'C.2.2-F 09'!M10</f>
        <v>42825</v>
      </c>
      <c r="M10" s="513">
        <f>'C.2.2-F 09'!N10</f>
        <v>42855</v>
      </c>
      <c r="N10" s="513">
        <f>'C.2.2-F 09'!O10</f>
        <v>42886</v>
      </c>
      <c r="O10" s="473" t="str">
        <f>'C.2.2 B 09'!P10</f>
        <v>Total</v>
      </c>
      <c r="P10" s="296"/>
      <c r="R10" s="1"/>
      <c r="S10" s="1"/>
      <c r="T10" s="1"/>
      <c r="U10" s="1"/>
      <c r="V10" s="1"/>
      <c r="W10" s="1"/>
      <c r="X10" s="1"/>
    </row>
    <row r="11" spans="1:24" ht="15.75">
      <c r="A11" s="107"/>
      <c r="B11" s="372"/>
      <c r="C11" s="159"/>
      <c r="D11" s="2"/>
      <c r="E11" s="2"/>
      <c r="F11" s="2"/>
      <c r="G11" s="2"/>
      <c r="H11" s="159"/>
      <c r="I11" s="2"/>
      <c r="J11" s="2"/>
      <c r="K11" s="2"/>
      <c r="L11" s="2"/>
      <c r="M11" s="2"/>
      <c r="N11" s="2"/>
      <c r="O11" s="2"/>
    </row>
    <row r="12" spans="1:24" ht="15.75">
      <c r="A12" s="107"/>
      <c r="B12" s="372" t="s">
        <v>198</v>
      </c>
      <c r="C12" s="159"/>
      <c r="D12" s="2"/>
      <c r="E12" s="2"/>
      <c r="F12" s="2"/>
      <c r="G12" s="2"/>
      <c r="H12" s="159"/>
      <c r="I12" s="2"/>
      <c r="J12" s="2"/>
      <c r="K12" s="2"/>
      <c r="L12" s="2"/>
      <c r="M12" s="2"/>
      <c r="N12" s="2"/>
      <c r="O12" s="2"/>
    </row>
    <row r="13" spans="1:24">
      <c r="A13" s="77">
        <v>1</v>
      </c>
      <c r="B13" s="1" t="s">
        <v>294</v>
      </c>
      <c r="C13" s="1153">
        <f>'C.2.3 B'!F12*1.03</f>
        <v>15103.775799999996</v>
      </c>
      <c r="D13" s="1153">
        <f>'C.2.3 B'!G12*1.03</f>
        <v>18811.0857</v>
      </c>
      <c r="E13" s="1153">
        <f>'C.2.3 B'!H12*1.03</f>
        <v>19664.306800000002</v>
      </c>
      <c r="F13" s="1153">
        <f>'C.2.3 B'!I12*1.03</f>
        <v>19578.9385399534</v>
      </c>
      <c r="G13" s="1153">
        <f>'C.2.3 B'!J12*1.03</f>
        <v>57765.713394053055</v>
      </c>
      <c r="H13" s="1153">
        <f>'C.2.3 B'!K12*1.03</f>
        <v>56645.920753523591</v>
      </c>
      <c r="I13" s="1153">
        <f>'C.2.3 B'!L12*1.03</f>
        <v>21039.180957640179</v>
      </c>
      <c r="J13" s="1153">
        <f>'C.2.3 B'!M12*1.03</f>
        <v>54281.230433870704</v>
      </c>
      <c r="K13" s="1153">
        <f>'C.2.3 B'!N12*1.03</f>
        <v>33168.216994437375</v>
      </c>
      <c r="L13" s="1153">
        <f>'C.2.3 B'!C12*1.03*1.03</f>
        <v>31996.637910000005</v>
      </c>
      <c r="M13" s="1153">
        <f>'C.2.3 B'!D12*1.03*1.03</f>
        <v>19204.125357000001</v>
      </c>
      <c r="N13" s="1153">
        <f>'C.2.3 B'!E12*1.03*1.03</f>
        <v>53189.049002</v>
      </c>
      <c r="O13" s="445">
        <f t="shared" ref="O13:O23" si="0">SUM(C13:N13)</f>
        <v>400448.18164247827</v>
      </c>
      <c r="P13" s="768"/>
      <c r="S13" s="1057"/>
    </row>
    <row r="14" spans="1:24">
      <c r="A14" s="77">
        <f>A13+1</f>
        <v>2</v>
      </c>
      <c r="B14" s="1" t="s">
        <v>295</v>
      </c>
      <c r="C14" s="681">
        <f>'C.2.3 B'!F13*1.03</f>
        <v>11.762600000000001</v>
      </c>
      <c r="D14" s="681">
        <f>'C.2.3 B'!G13*1.03</f>
        <v>2.0703000000000009</v>
      </c>
      <c r="E14" s="681">
        <f>'C.2.3 B'!H13*1.03</f>
        <v>0.98880000000000046</v>
      </c>
      <c r="F14" s="681">
        <f>'C.2.3 B'!I13*1.03</f>
        <v>-38.12409947402513</v>
      </c>
      <c r="G14" s="681">
        <f>'C.2.3 B'!J13*1.03</f>
        <v>-112.48136864666546</v>
      </c>
      <c r="H14" s="681">
        <f>'C.2.3 B'!K13*1.03</f>
        <v>-110.30090896900164</v>
      </c>
      <c r="I14" s="681">
        <f>'C.2.3 B'!L13*1.03</f>
        <v>-40.967482789953053</v>
      </c>
      <c r="J14" s="681">
        <f>'C.2.3 B'!M13*1.03</f>
        <v>-105.6963851441914</v>
      </c>
      <c r="K14" s="681">
        <f>'C.2.3 B'!N13*1.03</f>
        <v>-64.585135782084677</v>
      </c>
      <c r="L14" s="681">
        <f>'C.2.3 B'!C13*1.03*1.03</f>
        <v>-249.01444800000004</v>
      </c>
      <c r="M14" s="681">
        <f>'C.2.3 B'!D13*1.03*1.03</f>
        <v>-86.728575000000006</v>
      </c>
      <c r="N14" s="681">
        <f>'C.2.3 B'!E13*1.03*1.03</f>
        <v>9.7496710000000046</v>
      </c>
      <c r="O14" s="578">
        <f t="shared" si="0"/>
        <v>-783.32703280592125</v>
      </c>
      <c r="P14" s="82"/>
    </row>
    <row r="15" spans="1:24">
      <c r="A15" s="923">
        <f t="shared" ref="A15:A68" si="1">A14+1</f>
        <v>3</v>
      </c>
      <c r="B15" s="1" t="s">
        <v>296</v>
      </c>
      <c r="C15" s="681">
        <f>'C.2.3 B'!F14*1.03</f>
        <v>28.376499999999997</v>
      </c>
      <c r="D15" s="681">
        <f>'C.2.3 B'!G14*1.03</f>
        <v>9.8983000000000008</v>
      </c>
      <c r="E15" s="681">
        <f>'C.2.3 B'!H14*1.03</f>
        <v>7.1894</v>
      </c>
      <c r="F15" s="681">
        <f>'C.2.3 B'!I14*1.03</f>
        <v>124.97555952062463</v>
      </c>
      <c r="G15" s="681">
        <f>'C.2.3 B'!J14*1.03</f>
        <v>368.72797459361163</v>
      </c>
      <c r="H15" s="681">
        <f>'C.2.3 B'!K14*1.03</f>
        <v>361.58015544541479</v>
      </c>
      <c r="I15" s="681">
        <f>'C.2.3 B'!L14*1.03</f>
        <v>134.29652514977505</v>
      </c>
      <c r="J15" s="681">
        <f>'C.2.3 B'!M14*1.03</f>
        <v>346.48595127348995</v>
      </c>
      <c r="K15" s="681">
        <f>'C.2.3 B'!N14*1.03</f>
        <v>211.7181413447129</v>
      </c>
      <c r="L15" s="681">
        <f>'C.2.3 B'!C14*1.03*1.03</f>
        <v>1911.1158690000002</v>
      </c>
      <c r="M15" s="681">
        <f>'C.2.3 B'!D14*1.03*1.03</f>
        <v>-927.06746499999997</v>
      </c>
      <c r="N15" s="681">
        <f>'C.2.3 B'!E14*1.03*1.03</f>
        <v>-12.274612999999999</v>
      </c>
      <c r="O15" s="578">
        <f t="shared" si="0"/>
        <v>2565.022298327629</v>
      </c>
      <c r="P15" s="82"/>
    </row>
    <row r="16" spans="1:24">
      <c r="A16" s="923">
        <f t="shared" si="1"/>
        <v>4</v>
      </c>
      <c r="B16" s="1" t="s">
        <v>1244</v>
      </c>
      <c r="C16" s="681">
        <f>'C.2.3 B'!F15*1.03</f>
        <v>77.260300000000001</v>
      </c>
      <c r="D16" s="681">
        <f>'C.2.3 B'!G15*1.03</f>
        <v>101.661</v>
      </c>
      <c r="E16" s="681">
        <f>'C.2.3 B'!H15*1.03</f>
        <v>-335.26499999999999</v>
      </c>
      <c r="F16" s="681">
        <f>'C.2.3 B'!I15</f>
        <v>0</v>
      </c>
      <c r="G16" s="681">
        <f>'C.2.3 B'!J15</f>
        <v>0</v>
      </c>
      <c r="H16" s="681">
        <f>'C.2.3 B'!K15</f>
        <v>0</v>
      </c>
      <c r="I16" s="681">
        <f>'C.2.3 B'!L15</f>
        <v>0</v>
      </c>
      <c r="J16" s="681">
        <f>'C.2.3 B'!M15</f>
        <v>0</v>
      </c>
      <c r="K16" s="681">
        <f>'C.2.3 B'!N15</f>
        <v>0</v>
      </c>
      <c r="L16" s="824">
        <f>'C.2.3 B'!C15*1.03</f>
        <v>0</v>
      </c>
      <c r="M16" s="824">
        <f>'C.2.3 B'!M15</f>
        <v>0</v>
      </c>
      <c r="N16" s="824">
        <f>'C.2.3 B'!N15</f>
        <v>0</v>
      </c>
      <c r="O16" s="578">
        <f t="shared" si="0"/>
        <v>-156.34369999999998</v>
      </c>
      <c r="P16" s="768"/>
      <c r="R16" s="1003"/>
    </row>
    <row r="17" spans="1:18">
      <c r="A17" s="923">
        <f t="shared" si="1"/>
        <v>5</v>
      </c>
      <c r="B17" s="1" t="s">
        <v>114</v>
      </c>
      <c r="C17" s="681">
        <v>395588</v>
      </c>
      <c r="D17" s="681">
        <v>395588</v>
      </c>
      <c r="E17" s="681">
        <v>395588</v>
      </c>
      <c r="F17" s="681">
        <v>395588</v>
      </c>
      <c r="G17" s="681">
        <v>395588</v>
      </c>
      <c r="H17" s="681">
        <v>395588</v>
      </c>
      <c r="I17" s="681">
        <v>395588</v>
      </c>
      <c r="J17" s="681">
        <v>395588</v>
      </c>
      <c r="K17" s="681">
        <v>395588</v>
      </c>
      <c r="L17" s="681">
        <v>395588</v>
      </c>
      <c r="M17" s="681">
        <v>395588</v>
      </c>
      <c r="N17" s="681">
        <v>395588</v>
      </c>
      <c r="O17" s="681">
        <f>SUM(C17:N17)</f>
        <v>4747056</v>
      </c>
      <c r="P17" s="818"/>
      <c r="Q17" s="818"/>
      <c r="R17" s="768"/>
    </row>
    <row r="18" spans="1:18">
      <c r="A18" s="999">
        <f t="shared" si="1"/>
        <v>6</v>
      </c>
      <c r="B18" s="60" t="s">
        <v>1406</v>
      </c>
      <c r="C18" s="681">
        <f>'C.2.3 B'!F17</f>
        <v>0</v>
      </c>
      <c r="D18" s="681">
        <f>'C.2.3 B'!G17</f>
        <v>0</v>
      </c>
      <c r="E18" s="681">
        <f>'C.2.3 B'!H17</f>
        <v>0</v>
      </c>
      <c r="F18" s="681">
        <f>'C.2.3 B'!I17</f>
        <v>0</v>
      </c>
      <c r="G18" s="681">
        <f>'C.2.3 B'!J17</f>
        <v>0</v>
      </c>
      <c r="H18" s="681">
        <f>'C.2.3 B'!K17</f>
        <v>0</v>
      </c>
      <c r="I18" s="681">
        <f>'C.2.3 B'!L17</f>
        <v>0</v>
      </c>
      <c r="J18" s="681">
        <f>'C.2.3 B'!M17</f>
        <v>0</v>
      </c>
      <c r="K18" s="681">
        <f>'C.2.3 B'!N17</f>
        <v>0</v>
      </c>
      <c r="L18" s="681">
        <f>'C.2.3 B'!C17</f>
        <v>0</v>
      </c>
      <c r="M18" s="681">
        <f>'C.2.3 B'!D17</f>
        <v>63869.85</v>
      </c>
      <c r="N18" s="681">
        <f>'C.2.3 B'!E17</f>
        <v>0</v>
      </c>
      <c r="O18" s="578">
        <f t="shared" si="0"/>
        <v>63869.85</v>
      </c>
      <c r="Q18" s="1002"/>
    </row>
    <row r="19" spans="1:18">
      <c r="A19" s="999">
        <f t="shared" si="1"/>
        <v>7</v>
      </c>
      <c r="B19" s="1" t="s">
        <v>113</v>
      </c>
      <c r="C19" s="681">
        <f>'C.2.3 B'!F18</f>
        <v>0</v>
      </c>
      <c r="D19" s="681">
        <f>'C.2.3 B'!G18</f>
        <v>17414.849999999999</v>
      </c>
      <c r="E19" s="681">
        <f>'C.2.3 B'!H18</f>
        <v>192</v>
      </c>
      <c r="F19" s="681">
        <f>'C.2.3 B'!I18</f>
        <v>76</v>
      </c>
      <c r="G19" s="681">
        <f>'C.2.3 B'!J18</f>
        <v>14234</v>
      </c>
      <c r="H19" s="681">
        <f>'C.2.3 B'!K18</f>
        <v>55</v>
      </c>
      <c r="I19" s="681">
        <f>'C.2.3 B'!L18</f>
        <v>600</v>
      </c>
      <c r="J19" s="681">
        <f>'C.2.3 B'!M18</f>
        <v>25776</v>
      </c>
      <c r="K19" s="681">
        <f>'C.2.3 B'!N18</f>
        <v>227</v>
      </c>
      <c r="L19" s="681">
        <f>'C.2.3 B'!C18</f>
        <v>70.2</v>
      </c>
      <c r="M19" s="681">
        <f>'C.2.3 B'!D18</f>
        <v>50946.46</v>
      </c>
      <c r="N19" s="681">
        <f>'C.2.3 B'!E18</f>
        <v>35.5</v>
      </c>
      <c r="O19" s="578">
        <f t="shared" si="0"/>
        <v>109627.01</v>
      </c>
      <c r="P19" s="768"/>
      <c r="Q19" s="1002"/>
    </row>
    <row r="20" spans="1:18">
      <c r="A20" s="999">
        <f t="shared" si="1"/>
        <v>8</v>
      </c>
      <c r="B20" s="1" t="s">
        <v>298</v>
      </c>
      <c r="C20" s="681">
        <f>$O20/12</f>
        <v>26424.637504422586</v>
      </c>
      <c r="D20" s="681">
        <f>C20</f>
        <v>26424.637504422586</v>
      </c>
      <c r="E20" s="681">
        <f t="shared" ref="E20" si="2">D20</f>
        <v>26424.637504422586</v>
      </c>
      <c r="F20" s="681">
        <f t="shared" ref="F20" si="3">E20</f>
        <v>26424.637504422586</v>
      </c>
      <c r="G20" s="681">
        <f t="shared" ref="G20" si="4">F20</f>
        <v>26424.637504422586</v>
      </c>
      <c r="H20" s="681">
        <f t="shared" ref="H20" si="5">G20</f>
        <v>26424.637504422586</v>
      </c>
      <c r="I20" s="681">
        <f t="shared" ref="I20" si="6">H20</f>
        <v>26424.637504422586</v>
      </c>
      <c r="J20" s="681">
        <f t="shared" ref="J20" si="7">I20</f>
        <v>26424.637504422586</v>
      </c>
      <c r="K20" s="681">
        <f t="shared" ref="K20" si="8">J20</f>
        <v>26424.637504422586</v>
      </c>
      <c r="L20" s="681">
        <f t="shared" ref="L20" si="9">K20</f>
        <v>26424.637504422586</v>
      </c>
      <c r="M20" s="681">
        <f t="shared" ref="M20" si="10">L20</f>
        <v>26424.637504422586</v>
      </c>
      <c r="N20" s="681">
        <f t="shared" ref="N20" si="11">M20</f>
        <v>26424.637504422586</v>
      </c>
      <c r="O20" s="681">
        <f>-H.1!$E$21*SUM('C.2.2-F 09'!$P$17:$P$28)</f>
        <v>317095.65005307103</v>
      </c>
      <c r="P20" s="1041"/>
      <c r="Q20" s="768"/>
      <c r="R20" s="768"/>
    </row>
    <row r="21" spans="1:18">
      <c r="A21" s="997">
        <f t="shared" si="1"/>
        <v>9</v>
      </c>
      <c r="B21" s="1" t="s">
        <v>43</v>
      </c>
      <c r="C21" s="578">
        <f>C53</f>
        <v>14261.536232004686</v>
      </c>
      <c r="D21" s="578">
        <f t="shared" ref="D21:N21" si="12">D53</f>
        <v>14543.112783133436</v>
      </c>
      <c r="E21" s="578">
        <f t="shared" si="12"/>
        <v>13294.226049643432</v>
      </c>
      <c r="F21" s="578">
        <f t="shared" si="12"/>
        <v>12896.975292314799</v>
      </c>
      <c r="G21" s="578">
        <f t="shared" si="12"/>
        <v>13765.539129239958</v>
      </c>
      <c r="H21" s="578">
        <f t="shared" si="12"/>
        <v>13765.539129239958</v>
      </c>
      <c r="I21" s="578">
        <f t="shared" si="12"/>
        <v>13765.539129239958</v>
      </c>
      <c r="J21" s="578">
        <f t="shared" si="12"/>
        <v>13765.539129239958</v>
      </c>
      <c r="K21" s="578">
        <f t="shared" si="12"/>
        <v>13765.539129239958</v>
      </c>
      <c r="L21" s="578">
        <f t="shared" si="12"/>
        <v>16682.105941053505</v>
      </c>
      <c r="M21" s="578">
        <f t="shared" si="12"/>
        <v>15202.17086682479</v>
      </c>
      <c r="N21" s="578">
        <f t="shared" si="12"/>
        <v>17948.780824843889</v>
      </c>
      <c r="O21" s="578">
        <f t="shared" si="0"/>
        <v>173656.60363601832</v>
      </c>
      <c r="P21" s="818"/>
      <c r="Q21" s="768"/>
    </row>
    <row r="22" spans="1:18">
      <c r="A22" s="923">
        <f t="shared" si="1"/>
        <v>10</v>
      </c>
      <c r="B22" s="1" t="s">
        <v>1020</v>
      </c>
      <c r="C22" s="578">
        <f>C40</f>
        <v>15573.382982476824</v>
      </c>
      <c r="D22" s="578">
        <f t="shared" ref="D22:N22" si="13">D40</f>
        <v>15890.23039120604</v>
      </c>
      <c r="E22" s="578">
        <f t="shared" si="13"/>
        <v>14515.792963421438</v>
      </c>
      <c r="F22" s="578">
        <f t="shared" si="13"/>
        <v>13267.074728747191</v>
      </c>
      <c r="G22" s="578">
        <f t="shared" si="13"/>
        <v>14234.155186989085</v>
      </c>
      <c r="H22" s="578">
        <f t="shared" si="13"/>
        <v>14234.155186989085</v>
      </c>
      <c r="I22" s="578">
        <f t="shared" si="13"/>
        <v>14234.155186989085</v>
      </c>
      <c r="J22" s="578">
        <f t="shared" si="13"/>
        <v>14234.155186989085</v>
      </c>
      <c r="K22" s="578">
        <f t="shared" si="13"/>
        <v>14234.155186989085</v>
      </c>
      <c r="L22" s="578">
        <f t="shared" si="13"/>
        <v>17504.248497276905</v>
      </c>
      <c r="M22" s="578">
        <f t="shared" si="13"/>
        <v>16224.270154340778</v>
      </c>
      <c r="N22" s="578">
        <f t="shared" si="13"/>
        <v>19003.993967217466</v>
      </c>
      <c r="O22" s="578">
        <f t="shared" si="0"/>
        <v>183149.76961963205</v>
      </c>
      <c r="P22" s="818"/>
      <c r="Q22" s="768"/>
    </row>
    <row r="23" spans="1:18">
      <c r="A23" s="923">
        <f t="shared" si="1"/>
        <v>11</v>
      </c>
      <c r="B23" s="1" t="s">
        <v>1245</v>
      </c>
      <c r="C23" s="578">
        <f>C68</f>
        <v>7009.8522070450899</v>
      </c>
      <c r="D23" s="578">
        <f t="shared" ref="D23:N23" si="14">D68</f>
        <v>7898.2622899225053</v>
      </c>
      <c r="E23" s="578">
        <f t="shared" si="14"/>
        <v>8180.7182755897866</v>
      </c>
      <c r="F23" s="578">
        <f t="shared" si="14"/>
        <v>7547.9845230236442</v>
      </c>
      <c r="G23" s="578">
        <f t="shared" si="14"/>
        <v>8158.3450444956416</v>
      </c>
      <c r="H23" s="578">
        <f t="shared" si="14"/>
        <v>8158.3450444956416</v>
      </c>
      <c r="I23" s="578">
        <f t="shared" si="14"/>
        <v>8158.3450444956416</v>
      </c>
      <c r="J23" s="578">
        <f t="shared" si="14"/>
        <v>8158.3450444956416</v>
      </c>
      <c r="K23" s="578">
        <f t="shared" si="14"/>
        <v>8158.3450444956416</v>
      </c>
      <c r="L23" s="578">
        <f t="shared" si="14"/>
        <v>9546.2236807946865</v>
      </c>
      <c r="M23" s="578">
        <f t="shared" si="14"/>
        <v>7686.9705290985303</v>
      </c>
      <c r="N23" s="578">
        <f t="shared" si="14"/>
        <v>15029.999448602497</v>
      </c>
      <c r="O23" s="578">
        <f t="shared" si="0"/>
        <v>103691.73617655494</v>
      </c>
      <c r="P23" s="818"/>
      <c r="Q23" s="768"/>
    </row>
    <row r="24" spans="1:18">
      <c r="A24" s="997">
        <f t="shared" si="1"/>
        <v>12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</row>
    <row r="25" spans="1:18">
      <c r="A25" s="923">
        <f t="shared" si="1"/>
        <v>13</v>
      </c>
      <c r="B25" s="1" t="s">
        <v>101</v>
      </c>
      <c r="C25" s="718">
        <f t="shared" ref="C25:N25" si="15">SUM(C13:C24)</f>
        <v>474078.58412594919</v>
      </c>
      <c r="D25" s="718">
        <f t="shared" si="15"/>
        <v>496683.80826868454</v>
      </c>
      <c r="E25" s="718">
        <f t="shared" si="15"/>
        <v>477532.59479307721</v>
      </c>
      <c r="F25" s="718">
        <f t="shared" si="15"/>
        <v>475466.46204850817</v>
      </c>
      <c r="G25" s="718">
        <f t="shared" si="15"/>
        <v>530426.63686514727</v>
      </c>
      <c r="H25" s="718">
        <f t="shared" si="15"/>
        <v>515122.87686514732</v>
      </c>
      <c r="I25" s="718">
        <f t="shared" si="15"/>
        <v>479903.18686514732</v>
      </c>
      <c r="J25" s="718">
        <f t="shared" si="15"/>
        <v>538468.69686514733</v>
      </c>
      <c r="K25" s="718">
        <f t="shared" si="15"/>
        <v>491713.02686514729</v>
      </c>
      <c r="L25" s="718">
        <f t="shared" si="15"/>
        <v>499474.1549545477</v>
      </c>
      <c r="M25" s="718">
        <f t="shared" si="15"/>
        <v>594132.68837168661</v>
      </c>
      <c r="N25" s="718">
        <f t="shared" si="15"/>
        <v>527217.4358050864</v>
      </c>
      <c r="O25" s="718">
        <f>SUM(C25:N25)</f>
        <v>6100220.1526932763</v>
      </c>
      <c r="P25" s="1002"/>
    </row>
    <row r="26" spans="1:18">
      <c r="A26" s="923">
        <f t="shared" si="1"/>
        <v>14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8" ht="15.75">
      <c r="A27" s="923">
        <f t="shared" si="1"/>
        <v>15</v>
      </c>
      <c r="B27" s="372" t="s">
        <v>81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8">
      <c r="A28" s="923">
        <f t="shared" si="1"/>
        <v>16</v>
      </c>
      <c r="B28" s="1" t="s">
        <v>294</v>
      </c>
      <c r="C28" s="1153">
        <f>'C.2.3 B'!F27*1.03</f>
        <v>224385.68540000005</v>
      </c>
      <c r="D28" s="1153">
        <f>'C.2.3 B'!G27*1.03</f>
        <v>230545.75490000012</v>
      </c>
      <c r="E28" s="1153">
        <f>'C.2.3 B'!H27*1.03</f>
        <v>204345.17110000001</v>
      </c>
      <c r="F28" s="1153">
        <f>'C.2.3 B'!I27*1.03</f>
        <v>180562.53926843253</v>
      </c>
      <c r="G28" s="1153">
        <f>'C.2.3 B'!J27*1.03</f>
        <v>198877.52493972209</v>
      </c>
      <c r="H28" s="1153">
        <f>'C.2.3 B'!K27*1.03</f>
        <v>198877.52493972209</v>
      </c>
      <c r="I28" s="1153">
        <f>'C.2.3 B'!L27*1.03</f>
        <v>198877.52493972209</v>
      </c>
      <c r="J28" s="1153">
        <f>'C.2.3 B'!M27*1.03</f>
        <v>198877.52493972209</v>
      </c>
      <c r="K28" s="1153">
        <f>'C.2.3 B'!N27*1.03</f>
        <v>198877.52493972209</v>
      </c>
      <c r="L28" s="1153">
        <f>'C.2.3 B'!C27*1.03*1.03</f>
        <v>261049.38247199994</v>
      </c>
      <c r="M28" s="1153">
        <f>'C.2.3 B'!D27*1.03*1.03</f>
        <v>236704.02962500008</v>
      </c>
      <c r="N28" s="1153">
        <f>'C.2.3 B'!E27*1.03*1.03</f>
        <v>289574.73436400021</v>
      </c>
      <c r="O28" s="445">
        <f t="shared" ref="O28:O35" si="16">SUM(C28:N28)</f>
        <v>2621554.9218280436</v>
      </c>
    </row>
    <row r="29" spans="1:18">
      <c r="A29" s="923">
        <f t="shared" si="1"/>
        <v>17</v>
      </c>
      <c r="B29" s="1" t="s">
        <v>295</v>
      </c>
      <c r="C29" s="681">
        <f>'C.2.3 B'!F28*1.03</f>
        <v>175.1309</v>
      </c>
      <c r="D29" s="681">
        <f>'C.2.3 B'!G28*1.03</f>
        <v>182.03190000000001</v>
      </c>
      <c r="E29" s="681">
        <f>'C.2.3 B'!H28*1.03</f>
        <v>160.74179999999996</v>
      </c>
      <c r="F29" s="681">
        <f>'C.2.3 B'!I28*1.03</f>
        <v>117.24882031931503</v>
      </c>
      <c r="G29" s="681">
        <f>'C.2.3 B'!J28*1.03</f>
        <v>129.14171057675333</v>
      </c>
      <c r="H29" s="681">
        <f>'C.2.3 B'!K28*1.03</f>
        <v>129.14171057675333</v>
      </c>
      <c r="I29" s="681">
        <f>'C.2.3 B'!L28*1.03</f>
        <v>129.14171057675333</v>
      </c>
      <c r="J29" s="681">
        <f>'C.2.3 B'!M28*1.03</f>
        <v>129.14171057675333</v>
      </c>
      <c r="K29" s="681">
        <f>'C.2.3 B'!N28*1.03</f>
        <v>129.14171057675333</v>
      </c>
      <c r="L29" s="681">
        <f>'C.2.3 B'!L28*1.03*1.03</f>
        <v>133.01596189405592</v>
      </c>
      <c r="M29" s="681">
        <f>'C.2.3 B'!M28*1.03*1.03</f>
        <v>133.01596189405592</v>
      </c>
      <c r="N29" s="681">
        <f>'C.2.3 B'!N28*1.03*1.03</f>
        <v>133.01596189405592</v>
      </c>
      <c r="O29" s="578">
        <f t="shared" si="16"/>
        <v>1679.9098588852492</v>
      </c>
    </row>
    <row r="30" spans="1:18">
      <c r="A30" s="923">
        <f t="shared" si="1"/>
        <v>18</v>
      </c>
      <c r="B30" s="1" t="s">
        <v>296</v>
      </c>
      <c r="C30" s="681">
        <f>'C.2.3 B'!F29*1.03</f>
        <v>646.93269999999995</v>
      </c>
      <c r="D30" s="681">
        <f>'C.2.3 B'!G29*1.03</f>
        <v>506.44069999999999</v>
      </c>
      <c r="E30" s="681">
        <f>'C.2.3 B'!H29*1.03</f>
        <v>586.33780000000013</v>
      </c>
      <c r="F30" s="681">
        <f>'C.2.3 B'!I29*1.03</f>
        <v>661.68104732578547</v>
      </c>
      <c r="G30" s="681">
        <f>'C.2.3 B'!J29*1.03</f>
        <v>728.79728832370063</v>
      </c>
      <c r="H30" s="681">
        <f>'C.2.3 B'!K29*1.03</f>
        <v>728.79728832370063</v>
      </c>
      <c r="I30" s="681">
        <f>'C.2.3 B'!L29*1.03</f>
        <v>728.79728832370063</v>
      </c>
      <c r="J30" s="681">
        <f>'C.2.3 B'!M29*1.03</f>
        <v>728.79728832370063</v>
      </c>
      <c r="K30" s="681">
        <f>'C.2.3 B'!N29*1.03</f>
        <v>728.79728832370063</v>
      </c>
      <c r="L30" s="681">
        <f>'C.2.3 B'!L29*1.03*1.03</f>
        <v>750.66120697341171</v>
      </c>
      <c r="M30" s="681">
        <f>'C.2.3 B'!M29*1.03*1.03</f>
        <v>750.66120697341171</v>
      </c>
      <c r="N30" s="681">
        <f>'C.2.3 B'!N29*1.03*1.03</f>
        <v>750.66120697341171</v>
      </c>
      <c r="O30" s="578">
        <f t="shared" si="16"/>
        <v>8297.3623098645239</v>
      </c>
    </row>
    <row r="31" spans="1:18">
      <c r="A31" s="923">
        <f t="shared" si="1"/>
        <v>19</v>
      </c>
      <c r="B31" s="1" t="s">
        <v>297</v>
      </c>
      <c r="C31" s="681">
        <v>71000</v>
      </c>
      <c r="D31" s="681">
        <v>71000</v>
      </c>
      <c r="E31" s="681">
        <v>71000</v>
      </c>
      <c r="F31" s="681">
        <v>71000</v>
      </c>
      <c r="G31" s="681">
        <v>71000</v>
      </c>
      <c r="H31" s="681">
        <v>71000</v>
      </c>
      <c r="I31" s="681">
        <v>71000</v>
      </c>
      <c r="J31" s="681">
        <v>71000</v>
      </c>
      <c r="K31" s="681">
        <v>71000</v>
      </c>
      <c r="L31" s="681">
        <v>71000</v>
      </c>
      <c r="M31" s="681">
        <v>71000</v>
      </c>
      <c r="N31" s="681">
        <v>71000</v>
      </c>
      <c r="O31" s="681">
        <f>SUM(C31:N31)</f>
        <v>852000</v>
      </c>
      <c r="P31" s="818"/>
      <c r="Q31" s="818"/>
      <c r="R31" s="768"/>
    </row>
    <row r="32" spans="1:18">
      <c r="A32" s="923">
        <f t="shared" si="1"/>
        <v>20</v>
      </c>
      <c r="B32" s="1" t="s">
        <v>210</v>
      </c>
      <c r="C32" s="681">
        <f>'C.2.3 B'!N31</f>
        <v>0</v>
      </c>
      <c r="D32" s="681">
        <f>C32</f>
        <v>0</v>
      </c>
      <c r="E32" s="681">
        <f t="shared" ref="E32:N32" si="17">D32</f>
        <v>0</v>
      </c>
      <c r="F32" s="681">
        <f t="shared" si="17"/>
        <v>0</v>
      </c>
      <c r="G32" s="681">
        <f t="shared" si="17"/>
        <v>0</v>
      </c>
      <c r="H32" s="681">
        <f t="shared" si="17"/>
        <v>0</v>
      </c>
      <c r="I32" s="681">
        <f t="shared" si="17"/>
        <v>0</v>
      </c>
      <c r="J32" s="681">
        <f t="shared" si="17"/>
        <v>0</v>
      </c>
      <c r="K32" s="681">
        <f t="shared" si="17"/>
        <v>0</v>
      </c>
      <c r="L32" s="681">
        <f t="shared" si="17"/>
        <v>0</v>
      </c>
      <c r="M32" s="681">
        <f t="shared" si="17"/>
        <v>0</v>
      </c>
      <c r="N32" s="681">
        <f t="shared" si="17"/>
        <v>0</v>
      </c>
      <c r="O32" s="578">
        <f t="shared" si="16"/>
        <v>0</v>
      </c>
    </row>
    <row r="33" spans="1:18">
      <c r="A33" s="923">
        <f t="shared" si="1"/>
        <v>21</v>
      </c>
      <c r="B33" s="1" t="s">
        <v>211</v>
      </c>
      <c r="C33" s="681">
        <f>'C.2.3 B'!N32</f>
        <v>0</v>
      </c>
      <c r="D33" s="681">
        <f>C33</f>
        <v>0</v>
      </c>
      <c r="E33" s="681">
        <f t="shared" ref="E33:N33" si="18">D33</f>
        <v>0</v>
      </c>
      <c r="F33" s="681">
        <f t="shared" si="18"/>
        <v>0</v>
      </c>
      <c r="G33" s="681">
        <f t="shared" si="18"/>
        <v>0</v>
      </c>
      <c r="H33" s="681">
        <f t="shared" si="18"/>
        <v>0</v>
      </c>
      <c r="I33" s="681">
        <f t="shared" si="18"/>
        <v>0</v>
      </c>
      <c r="J33" s="681">
        <f t="shared" si="18"/>
        <v>0</v>
      </c>
      <c r="K33" s="681">
        <f t="shared" si="18"/>
        <v>0</v>
      </c>
      <c r="L33" s="681">
        <f t="shared" si="18"/>
        <v>0</v>
      </c>
      <c r="M33" s="681">
        <f t="shared" si="18"/>
        <v>0</v>
      </c>
      <c r="N33" s="681">
        <f t="shared" si="18"/>
        <v>0</v>
      </c>
      <c r="O33" s="578">
        <f t="shared" si="16"/>
        <v>0</v>
      </c>
    </row>
    <row r="34" spans="1:18">
      <c r="A34" s="997">
        <f t="shared" si="1"/>
        <v>22</v>
      </c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</row>
    <row r="35" spans="1:18">
      <c r="A35" s="923">
        <f t="shared" si="1"/>
        <v>23</v>
      </c>
      <c r="B35" s="1" t="s">
        <v>212</v>
      </c>
      <c r="C35" s="718">
        <f t="shared" ref="C35:N35" si="19">SUM(C28:C34)</f>
        <v>296207.74900000007</v>
      </c>
      <c r="D35" s="718">
        <f t="shared" si="19"/>
        <v>302234.22750000015</v>
      </c>
      <c r="E35" s="718">
        <f t="shared" si="19"/>
        <v>276092.25069999998</v>
      </c>
      <c r="F35" s="718">
        <f t="shared" si="19"/>
        <v>252341.46913607762</v>
      </c>
      <c r="G35" s="718">
        <f t="shared" si="19"/>
        <v>270735.4639386225</v>
      </c>
      <c r="H35" s="718">
        <f t="shared" si="19"/>
        <v>270735.4639386225</v>
      </c>
      <c r="I35" s="718">
        <f t="shared" si="19"/>
        <v>270735.4639386225</v>
      </c>
      <c r="J35" s="718">
        <f t="shared" si="19"/>
        <v>270735.4639386225</v>
      </c>
      <c r="K35" s="718">
        <f t="shared" si="19"/>
        <v>270735.4639386225</v>
      </c>
      <c r="L35" s="718">
        <f t="shared" si="19"/>
        <v>332933.0596408674</v>
      </c>
      <c r="M35" s="718">
        <f t="shared" si="19"/>
        <v>308587.70679386758</v>
      </c>
      <c r="N35" s="718">
        <f t="shared" si="19"/>
        <v>361458.4115328677</v>
      </c>
      <c r="O35" s="718">
        <f t="shared" si="16"/>
        <v>3483532.1939967931</v>
      </c>
    </row>
    <row r="36" spans="1:18">
      <c r="A36" s="923">
        <f t="shared" si="1"/>
        <v>24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7"/>
    </row>
    <row r="37" spans="1:18">
      <c r="A37" s="923">
        <f t="shared" si="1"/>
        <v>25</v>
      </c>
      <c r="B37" s="1" t="s">
        <v>213</v>
      </c>
      <c r="C37" s="408">
        <f>Allocation!C14</f>
        <v>0.1071</v>
      </c>
      <c r="D37" s="408">
        <f>$C$37</f>
        <v>0.1071</v>
      </c>
      <c r="E37" s="408">
        <f t="shared" ref="E37:N37" si="20">$C$37</f>
        <v>0.1071</v>
      </c>
      <c r="F37" s="408">
        <f t="shared" si="20"/>
        <v>0.1071</v>
      </c>
      <c r="G37" s="408">
        <f t="shared" si="20"/>
        <v>0.1071</v>
      </c>
      <c r="H37" s="408">
        <f t="shared" si="20"/>
        <v>0.1071</v>
      </c>
      <c r="I37" s="408">
        <f t="shared" si="20"/>
        <v>0.1071</v>
      </c>
      <c r="J37" s="408">
        <f t="shared" si="20"/>
        <v>0.1071</v>
      </c>
      <c r="K37" s="408">
        <f t="shared" si="20"/>
        <v>0.1071</v>
      </c>
      <c r="L37" s="408">
        <f t="shared" si="20"/>
        <v>0.1071</v>
      </c>
      <c r="M37" s="408">
        <f t="shared" si="20"/>
        <v>0.1071</v>
      </c>
      <c r="N37" s="408">
        <f t="shared" si="20"/>
        <v>0.1071</v>
      </c>
      <c r="O37" s="107"/>
    </row>
    <row r="38" spans="1:18">
      <c r="A38" s="923">
        <f t="shared" si="1"/>
        <v>26</v>
      </c>
      <c r="B38" s="1" t="s">
        <v>214</v>
      </c>
      <c r="C38" s="756">
        <f>Allocation!D14</f>
        <v>0.49090457251500325</v>
      </c>
      <c r="D38" s="756">
        <f>$C$38</f>
        <v>0.49090457251500325</v>
      </c>
      <c r="E38" s="756">
        <f t="shared" ref="E38:N38" si="21">$C$38</f>
        <v>0.49090457251500325</v>
      </c>
      <c r="F38" s="756">
        <f t="shared" si="21"/>
        <v>0.49090457251500325</v>
      </c>
      <c r="G38" s="756">
        <f t="shared" si="21"/>
        <v>0.49090457251500325</v>
      </c>
      <c r="H38" s="756">
        <f t="shared" si="21"/>
        <v>0.49090457251500325</v>
      </c>
      <c r="I38" s="756">
        <f t="shared" si="21"/>
        <v>0.49090457251500325</v>
      </c>
      <c r="J38" s="756">
        <f t="shared" si="21"/>
        <v>0.49090457251500325</v>
      </c>
      <c r="K38" s="756">
        <f t="shared" si="21"/>
        <v>0.49090457251500325</v>
      </c>
      <c r="L38" s="756">
        <f t="shared" si="21"/>
        <v>0.49090457251500325</v>
      </c>
      <c r="M38" s="756">
        <f t="shared" si="21"/>
        <v>0.49090457251500325</v>
      </c>
      <c r="N38" s="756">
        <f t="shared" si="21"/>
        <v>0.49090457251500325</v>
      </c>
      <c r="O38" s="107"/>
    </row>
    <row r="39" spans="1:18">
      <c r="A39" s="923">
        <f t="shared" si="1"/>
        <v>27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8">
      <c r="A40" s="923">
        <f t="shared" si="1"/>
        <v>28</v>
      </c>
      <c r="B40" s="1" t="s">
        <v>1409</v>
      </c>
      <c r="C40" s="1154">
        <f t="shared" ref="C40:N40" si="22">C35*C37*C38</f>
        <v>15573.382982476824</v>
      </c>
      <c r="D40" s="1154">
        <f t="shared" si="22"/>
        <v>15890.23039120604</v>
      </c>
      <c r="E40" s="1154">
        <f t="shared" si="22"/>
        <v>14515.792963421438</v>
      </c>
      <c r="F40" s="1154">
        <f t="shared" si="22"/>
        <v>13267.074728747191</v>
      </c>
      <c r="G40" s="1154">
        <f t="shared" si="22"/>
        <v>14234.155186989085</v>
      </c>
      <c r="H40" s="1154">
        <f t="shared" si="22"/>
        <v>14234.155186989085</v>
      </c>
      <c r="I40" s="1154">
        <f t="shared" si="22"/>
        <v>14234.155186989085</v>
      </c>
      <c r="J40" s="1154">
        <f t="shared" si="22"/>
        <v>14234.155186989085</v>
      </c>
      <c r="K40" s="1154">
        <f t="shared" si="22"/>
        <v>14234.155186989085</v>
      </c>
      <c r="L40" s="1154">
        <f t="shared" si="22"/>
        <v>17504.248497276905</v>
      </c>
      <c r="M40" s="1154">
        <f t="shared" si="22"/>
        <v>16224.270154340778</v>
      </c>
      <c r="N40" s="1154">
        <f t="shared" si="22"/>
        <v>19003.993967217466</v>
      </c>
      <c r="O40" s="718">
        <f>SUM(C40:N40)</f>
        <v>183149.76961963205</v>
      </c>
    </row>
    <row r="41" spans="1:18">
      <c r="A41" s="923">
        <f t="shared" si="1"/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8" ht="15.75">
      <c r="A42" s="923">
        <f t="shared" si="1"/>
        <v>30</v>
      </c>
      <c r="B42" s="372" t="s">
        <v>82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</row>
    <row r="43" spans="1:18">
      <c r="A43" s="923">
        <f t="shared" si="1"/>
        <v>31</v>
      </c>
      <c r="B43" s="1" t="s">
        <v>294</v>
      </c>
      <c r="C43" s="1153">
        <f>'C.2.3 B'!F42*1.03</f>
        <v>193959.79440000001</v>
      </c>
      <c r="D43" s="1153">
        <f>'C.2.3 B'!G42*1.03</f>
        <v>199001.58259999999</v>
      </c>
      <c r="E43" s="1153">
        <f>'C.2.3 B'!H42*1.03</f>
        <v>177084.05809999999</v>
      </c>
      <c r="F43" s="1153">
        <f>'C.2.3 B'!I42*1.03</f>
        <v>170041.37244728749</v>
      </c>
      <c r="G43" s="1153">
        <f>'C.2.3 B'!J42*1.03</f>
        <v>185181.11740837662</v>
      </c>
      <c r="H43" s="1153">
        <f>'C.2.3 B'!K42*1.03</f>
        <v>185181.11740837662</v>
      </c>
      <c r="I43" s="1153">
        <f>'C.2.3 B'!L42*1.03</f>
        <v>185181.11740837662</v>
      </c>
      <c r="J43" s="1153">
        <f>'C.2.3 B'!M42*1.03</f>
        <v>185181.11740837662</v>
      </c>
      <c r="K43" s="1153">
        <f>'C.2.3 B'!N42*1.03</f>
        <v>185181.11740837662</v>
      </c>
      <c r="L43" s="1153">
        <f>'C.2.3 B'!C42*1.03*1.03</f>
        <v>233593.38595299999</v>
      </c>
      <c r="M43" s="1153">
        <f>'C.2.3 B'!D42*1.03*1.03</f>
        <v>211969.31586900001</v>
      </c>
      <c r="N43" s="1153">
        <f>'C.2.3 B'!E42*1.03*1.03</f>
        <v>258243.81120400006</v>
      </c>
      <c r="O43" s="445">
        <f t="shared" ref="O43:O48" si="23">SUM(C43:N43)</f>
        <v>2369798.9076151708</v>
      </c>
      <c r="P43" s="768"/>
    </row>
    <row r="44" spans="1:18">
      <c r="A44" s="923">
        <f t="shared" si="1"/>
        <v>32</v>
      </c>
      <c r="B44" s="1" t="s">
        <v>295</v>
      </c>
      <c r="C44" s="1153">
        <f>'C.2.3 B'!F43*1.03</f>
        <v>149.86500000000001</v>
      </c>
      <c r="D44" s="1153">
        <f>'C.2.3 B'!G43*1.03</f>
        <v>156.8793</v>
      </c>
      <c r="E44" s="1153">
        <f>'C.2.3 B'!H43*1.03</f>
        <v>139.48259999999999</v>
      </c>
      <c r="F44" s="1153">
        <f>'C.2.3 B'!I43*1.03</f>
        <v>110.00975172400804</v>
      </c>
      <c r="G44" s="1153">
        <f>'C.2.3 B'!J43*1.03</f>
        <v>119.80454201747341</v>
      </c>
      <c r="H44" s="1153">
        <f>'C.2.3 B'!K43*1.03</f>
        <v>119.80454201747341</v>
      </c>
      <c r="I44" s="1153">
        <f>'C.2.3 B'!L43*1.03</f>
        <v>119.80454201747341</v>
      </c>
      <c r="J44" s="1153">
        <f>'C.2.3 B'!M43*1.03</f>
        <v>119.80454201747341</v>
      </c>
      <c r="K44" s="1153">
        <f>'C.2.3 B'!N43*1.03</f>
        <v>119.80454201747341</v>
      </c>
      <c r="L44" s="1153">
        <f>'C.2.3 B'!C43*1.03*1.03</f>
        <v>280.68231300000014</v>
      </c>
      <c r="M44" s="1153">
        <f>'C.2.3 B'!D43*1.03*1.03</f>
        <v>-282.7404590000001</v>
      </c>
      <c r="N44" s="1153">
        <f>'C.2.3 B'!E43*1.03*1.03</f>
        <v>377.63796400000001</v>
      </c>
      <c r="O44" s="578">
        <f t="shared" si="23"/>
        <v>1530.8391798113753</v>
      </c>
    </row>
    <row r="45" spans="1:18">
      <c r="A45" s="923">
        <f t="shared" si="1"/>
        <v>33</v>
      </c>
      <c r="B45" s="1" t="s">
        <v>296</v>
      </c>
      <c r="C45" s="1153">
        <f>'C.2.3 B'!F44*1.03</f>
        <v>556.03520000000003</v>
      </c>
      <c r="D45" s="1153">
        <f>'C.2.3 B'!G44*1.03</f>
        <v>436.57580000000002</v>
      </c>
      <c r="E45" s="1153">
        <f>'C.2.3 B'!H44*1.03</f>
        <v>508.20200000000006</v>
      </c>
      <c r="F45" s="1153">
        <f>'C.2.3 B'!I44*1.03</f>
        <v>625.99845713958996</v>
      </c>
      <c r="G45" s="1153">
        <f>'C.2.3 B'!J44*1.03</f>
        <v>681.73463975636275</v>
      </c>
      <c r="H45" s="1153">
        <f>'C.2.3 B'!K44*1.03</f>
        <v>681.73463975636275</v>
      </c>
      <c r="I45" s="1153">
        <f>'C.2.3 B'!L44*1.03</f>
        <v>681.73463975636275</v>
      </c>
      <c r="J45" s="1153">
        <f>'C.2.3 B'!M44*1.03</f>
        <v>681.73463975636275</v>
      </c>
      <c r="K45" s="1153">
        <f>'C.2.3 B'!N44*1.03</f>
        <v>681.73463975636275</v>
      </c>
      <c r="L45" s="1153">
        <f>'C.2.3 B'!C44*1.03*1.03</f>
        <v>3166.6698009999996</v>
      </c>
      <c r="M45" s="1153">
        <f>'C.2.3 B'!D44*1.03*1.03</f>
        <v>-553.91710800000033</v>
      </c>
      <c r="N45" s="1153">
        <f>'C.2.3 B'!E44*1.03*1.03</f>
        <v>593.98730100000012</v>
      </c>
      <c r="O45" s="578">
        <f t="shared" si="23"/>
        <v>8742.2246499214016</v>
      </c>
    </row>
    <row r="46" spans="1:18">
      <c r="A46" s="923">
        <f t="shared" si="1"/>
        <v>34</v>
      </c>
      <c r="B46" s="1" t="s">
        <v>297</v>
      </c>
      <c r="C46" s="681">
        <v>55000</v>
      </c>
      <c r="D46" s="681">
        <f>C46</f>
        <v>55000</v>
      </c>
      <c r="E46" s="681">
        <f t="shared" ref="E46:N46" si="24">D46</f>
        <v>55000</v>
      </c>
      <c r="F46" s="681">
        <f t="shared" si="24"/>
        <v>55000</v>
      </c>
      <c r="G46" s="681">
        <f t="shared" si="24"/>
        <v>55000</v>
      </c>
      <c r="H46" s="681">
        <f t="shared" si="24"/>
        <v>55000</v>
      </c>
      <c r="I46" s="681">
        <f t="shared" si="24"/>
        <v>55000</v>
      </c>
      <c r="J46" s="681">
        <f t="shared" si="24"/>
        <v>55000</v>
      </c>
      <c r="K46" s="681">
        <f t="shared" si="24"/>
        <v>55000</v>
      </c>
      <c r="L46" s="681">
        <f t="shared" si="24"/>
        <v>55000</v>
      </c>
      <c r="M46" s="681">
        <f t="shared" si="24"/>
        <v>55000</v>
      </c>
      <c r="N46" s="681">
        <f t="shared" si="24"/>
        <v>55000</v>
      </c>
      <c r="O46" s="681">
        <f>SUM(C46:N46)</f>
        <v>660000</v>
      </c>
      <c r="P46" s="818"/>
      <c r="Q46" s="818"/>
      <c r="R46" s="768"/>
    </row>
    <row r="47" spans="1:18">
      <c r="A47" s="923">
        <f t="shared" si="1"/>
        <v>35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</row>
    <row r="48" spans="1:18">
      <c r="A48" s="923">
        <f t="shared" si="1"/>
        <v>36</v>
      </c>
      <c r="B48" s="1" t="s">
        <v>212</v>
      </c>
      <c r="C48" s="718">
        <f t="shared" ref="C48:N48" si="25">SUM(C43:C46)</f>
        <v>249665.69460000002</v>
      </c>
      <c r="D48" s="718">
        <f t="shared" si="25"/>
        <v>254595.03769999999</v>
      </c>
      <c r="E48" s="718">
        <f t="shared" si="25"/>
        <v>232731.74269999997</v>
      </c>
      <c r="F48" s="718">
        <f t="shared" si="25"/>
        <v>225777.3806561511</v>
      </c>
      <c r="G48" s="718">
        <f t="shared" si="25"/>
        <v>240982.65659015044</v>
      </c>
      <c r="H48" s="718">
        <f t="shared" si="25"/>
        <v>240982.65659015044</v>
      </c>
      <c r="I48" s="718">
        <f t="shared" si="25"/>
        <v>240982.65659015044</v>
      </c>
      <c r="J48" s="718">
        <f t="shared" si="25"/>
        <v>240982.65659015044</v>
      </c>
      <c r="K48" s="718">
        <f t="shared" si="25"/>
        <v>240982.65659015044</v>
      </c>
      <c r="L48" s="718">
        <f t="shared" si="25"/>
        <v>292040.738067</v>
      </c>
      <c r="M48" s="718">
        <f t="shared" si="25"/>
        <v>266132.65830200003</v>
      </c>
      <c r="N48" s="718">
        <f t="shared" si="25"/>
        <v>314215.43646900007</v>
      </c>
      <c r="O48" s="718">
        <f t="shared" si="23"/>
        <v>3040071.9714449029</v>
      </c>
    </row>
    <row r="49" spans="1:18">
      <c r="A49" s="923">
        <f t="shared" si="1"/>
        <v>37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8">
      <c r="A50" s="923">
        <f t="shared" si="1"/>
        <v>38</v>
      </c>
      <c r="B50" s="1" t="s">
        <v>213</v>
      </c>
      <c r="C50" s="756">
        <f>Allocation!C15</f>
        <v>0.1086</v>
      </c>
      <c r="D50" s="756">
        <f>$C$50</f>
        <v>0.1086</v>
      </c>
      <c r="E50" s="756">
        <f t="shared" ref="E50:N50" si="26">$C$50</f>
        <v>0.1086</v>
      </c>
      <c r="F50" s="756">
        <f t="shared" si="26"/>
        <v>0.1086</v>
      </c>
      <c r="G50" s="756">
        <f t="shared" si="26"/>
        <v>0.1086</v>
      </c>
      <c r="H50" s="756">
        <f t="shared" si="26"/>
        <v>0.1086</v>
      </c>
      <c r="I50" s="756">
        <f t="shared" si="26"/>
        <v>0.1086</v>
      </c>
      <c r="J50" s="756">
        <f t="shared" si="26"/>
        <v>0.1086</v>
      </c>
      <c r="K50" s="756">
        <f t="shared" si="26"/>
        <v>0.1086</v>
      </c>
      <c r="L50" s="756">
        <f t="shared" si="26"/>
        <v>0.1086</v>
      </c>
      <c r="M50" s="756">
        <f t="shared" si="26"/>
        <v>0.1086</v>
      </c>
      <c r="N50" s="756">
        <f t="shared" si="26"/>
        <v>0.1086</v>
      </c>
      <c r="O50" s="107"/>
    </row>
    <row r="51" spans="1:18">
      <c r="A51" s="923">
        <f t="shared" si="1"/>
        <v>39</v>
      </c>
      <c r="B51" s="1" t="s">
        <v>214</v>
      </c>
      <c r="C51" s="756">
        <f>Allocation!D15</f>
        <v>0.52599015110063552</v>
      </c>
      <c r="D51" s="756">
        <f>$C$51</f>
        <v>0.52599015110063552</v>
      </c>
      <c r="E51" s="756">
        <f t="shared" ref="E51:N51" si="27">$C$51</f>
        <v>0.52599015110063552</v>
      </c>
      <c r="F51" s="756">
        <f t="shared" si="27"/>
        <v>0.52599015110063552</v>
      </c>
      <c r="G51" s="756">
        <f t="shared" si="27"/>
        <v>0.52599015110063552</v>
      </c>
      <c r="H51" s="756">
        <f t="shared" si="27"/>
        <v>0.52599015110063552</v>
      </c>
      <c r="I51" s="756">
        <f t="shared" si="27"/>
        <v>0.52599015110063552</v>
      </c>
      <c r="J51" s="756">
        <f t="shared" si="27"/>
        <v>0.52599015110063552</v>
      </c>
      <c r="K51" s="756">
        <f t="shared" si="27"/>
        <v>0.52599015110063552</v>
      </c>
      <c r="L51" s="756">
        <f t="shared" si="27"/>
        <v>0.52599015110063552</v>
      </c>
      <c r="M51" s="756">
        <f t="shared" si="27"/>
        <v>0.52599015110063552</v>
      </c>
      <c r="N51" s="756">
        <f t="shared" si="27"/>
        <v>0.52599015110063552</v>
      </c>
      <c r="O51" s="107"/>
    </row>
    <row r="52" spans="1:18">
      <c r="A52" s="923">
        <f t="shared" si="1"/>
        <v>40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8">
      <c r="A53" s="923">
        <f t="shared" si="1"/>
        <v>41</v>
      </c>
      <c r="B53" s="1" t="s">
        <v>1408</v>
      </c>
      <c r="C53" s="1154">
        <f t="shared" ref="C53:N53" si="28">C48*C50*C51</f>
        <v>14261.536232004686</v>
      </c>
      <c r="D53" s="1154">
        <f t="shared" si="28"/>
        <v>14543.112783133436</v>
      </c>
      <c r="E53" s="1154">
        <f t="shared" si="28"/>
        <v>13294.226049643432</v>
      </c>
      <c r="F53" s="1154">
        <f t="shared" si="28"/>
        <v>12896.975292314799</v>
      </c>
      <c r="G53" s="1154">
        <f t="shared" si="28"/>
        <v>13765.539129239958</v>
      </c>
      <c r="H53" s="1154">
        <f t="shared" si="28"/>
        <v>13765.539129239958</v>
      </c>
      <c r="I53" s="1154">
        <f t="shared" si="28"/>
        <v>13765.539129239958</v>
      </c>
      <c r="J53" s="1154">
        <f t="shared" si="28"/>
        <v>13765.539129239958</v>
      </c>
      <c r="K53" s="1154">
        <f t="shared" si="28"/>
        <v>13765.539129239958</v>
      </c>
      <c r="L53" s="1154">
        <f t="shared" si="28"/>
        <v>16682.105941053505</v>
      </c>
      <c r="M53" s="1154">
        <f t="shared" si="28"/>
        <v>15202.17086682479</v>
      </c>
      <c r="N53" s="1154">
        <f t="shared" si="28"/>
        <v>17948.780824843889</v>
      </c>
      <c r="O53" s="718">
        <f>SUM(C53:N53)</f>
        <v>173656.60363601832</v>
      </c>
    </row>
    <row r="54" spans="1:18">
      <c r="A54" s="923">
        <f t="shared" si="1"/>
        <v>42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8" ht="15.75">
      <c r="A55" s="923">
        <f t="shared" si="1"/>
        <v>43</v>
      </c>
      <c r="B55" s="372" t="s">
        <v>83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8">
      <c r="A56" s="923">
        <f t="shared" si="1"/>
        <v>44</v>
      </c>
      <c r="B56" s="1" t="s">
        <v>294</v>
      </c>
      <c r="C56" s="1153">
        <f>'C.2.3 B'!F55*1.03</f>
        <v>6757.6240000000025</v>
      </c>
      <c r="D56" s="1153">
        <f>'C.2.3 B'!G55*1.03</f>
        <v>8575.4812999999976</v>
      </c>
      <c r="E56" s="1153">
        <f>'C.2.3 B'!H55*1.03</f>
        <v>9067.2857000000004</v>
      </c>
      <c r="F56" s="1153">
        <f>'C.2.3 B'!I55*1.03</f>
        <v>7851.5352855406281</v>
      </c>
      <c r="G56" s="1153">
        <f>'C.2.3 B'!J55*1.03</f>
        <v>9091.0642512399008</v>
      </c>
      <c r="H56" s="1153">
        <f>'C.2.3 B'!K55*1.03</f>
        <v>9091.0642512399008</v>
      </c>
      <c r="I56" s="1153">
        <f>'C.2.3 B'!L55*1.03</f>
        <v>9091.0642512399008</v>
      </c>
      <c r="J56" s="1153">
        <f>'C.2.3 B'!M55*1.03</f>
        <v>9091.0642512399008</v>
      </c>
      <c r="K56" s="1153">
        <f>'C.2.3 B'!N55*1.03</f>
        <v>9091.0642512399008</v>
      </c>
      <c r="L56" s="1153">
        <f>'C.2.3 B'!C55*1.03*1.03</f>
        <v>11243.396982000002</v>
      </c>
      <c r="M56" s="1153">
        <f>'C.2.3 B'!D55*1.03*1.03</f>
        <v>8472.6020160000007</v>
      </c>
      <c r="N56" s="1153">
        <f>'C.2.3 B'!E55*1.03*1.03</f>
        <v>23093.268058000009</v>
      </c>
      <c r="O56" s="445">
        <f t="shared" ref="O56:O63" si="29">SUM(C56:N56)</f>
        <v>120516.51459774014</v>
      </c>
    </row>
    <row r="57" spans="1:18">
      <c r="A57" s="923">
        <f t="shared" si="1"/>
        <v>45</v>
      </c>
      <c r="B57" s="1" t="s">
        <v>295</v>
      </c>
      <c r="C57" s="1153">
        <f>'C.2.3 B'!F56*1.03</f>
        <v>5.2015000000000002</v>
      </c>
      <c r="D57" s="1153">
        <f>'C.2.3 B'!G56*1.03</f>
        <v>0.99909999999999999</v>
      </c>
      <c r="E57" s="1153">
        <f>'C.2.3 B'!H56*1.03</f>
        <v>0.47380000000000017</v>
      </c>
      <c r="F57" s="1153">
        <f>'C.2.3 B'!I56*1.03</f>
        <v>-15.938086234657714</v>
      </c>
      <c r="G57" s="1153">
        <f>'C.2.3 B'!J56*1.03</f>
        <v>-18.454246301091242</v>
      </c>
      <c r="H57" s="1153">
        <f>'C.2.3 B'!K56*1.03</f>
        <v>-18.454246301091242</v>
      </c>
      <c r="I57" s="1153">
        <f>'C.2.3 B'!L56*1.03</f>
        <v>-18.454246301091242</v>
      </c>
      <c r="J57" s="1153">
        <f>'C.2.3 B'!M56*1.03</f>
        <v>-18.454246301091242</v>
      </c>
      <c r="K57" s="1153">
        <f>'C.2.3 B'!N56*1.03</f>
        <v>-18.454246301091242</v>
      </c>
      <c r="L57" s="1153">
        <f>'C.2.3 B'!C56*1.03*1.03</f>
        <v>-117.01727000000001</v>
      </c>
      <c r="M57" s="1153">
        <f>'C.2.3 B'!D56*1.03*1.03</f>
        <v>-31.93309</v>
      </c>
      <c r="N57" s="1153">
        <f>'C.2.3 B'!E56*1.03*1.03</f>
        <v>4.1587280000000018</v>
      </c>
      <c r="O57" s="578">
        <f t="shared" si="29"/>
        <v>-246.32654974011393</v>
      </c>
    </row>
    <row r="58" spans="1:18">
      <c r="A58" s="923">
        <f t="shared" si="1"/>
        <v>46</v>
      </c>
      <c r="B58" s="1" t="s">
        <v>296</v>
      </c>
      <c r="C58" s="1153">
        <f>'C.2.3 B'!F57*1.03</f>
        <v>12.565999999999999</v>
      </c>
      <c r="D58" s="1153">
        <f>'C.2.3 B'!G57*1.03</f>
        <v>4.5835000000000008</v>
      </c>
      <c r="E58" s="1153">
        <f>'C.2.3 B'!H57*1.03</f>
        <v>3.2960000000000003</v>
      </c>
      <c r="F58" s="1153">
        <f>'C.2.3 B'!I57*1.03</f>
        <v>40.068348793929466</v>
      </c>
      <c r="G58" s="1153">
        <f>'C.2.3 B'!J57*1.03</f>
        <v>46.393975200943352</v>
      </c>
      <c r="H58" s="1153">
        <f>'C.2.3 B'!K57*1.03</f>
        <v>46.393975200943352</v>
      </c>
      <c r="I58" s="1153">
        <f>'C.2.3 B'!L57*1.03</f>
        <v>46.393975200943352</v>
      </c>
      <c r="J58" s="1153">
        <f>'C.2.3 B'!M57*1.03</f>
        <v>46.393975200943352</v>
      </c>
      <c r="K58" s="1153">
        <f>'C.2.3 B'!N57*1.03</f>
        <v>46.393975200943352</v>
      </c>
      <c r="L58" s="1153">
        <f>'C.2.3 B'!C57*1.03*1.03</f>
        <v>671.79370699999993</v>
      </c>
      <c r="M58" s="1153">
        <f>'C.2.3 B'!D57*1.03*1.03</f>
        <v>-340.5170730000001</v>
      </c>
      <c r="N58" s="1153">
        <f>'C.2.3 B'!E57*1.03*1.03</f>
        <v>-5.6121609999999995</v>
      </c>
      <c r="O58" s="578">
        <f t="shared" si="29"/>
        <v>618.14819779864604</v>
      </c>
    </row>
    <row r="59" spans="1:18">
      <c r="A59" s="923">
        <f t="shared" si="1"/>
        <v>47</v>
      </c>
      <c r="B59" t="s">
        <v>1244</v>
      </c>
      <c r="C59" s="1153">
        <f>'C.2.3 B'!F58*1.03</f>
        <v>4.0685000000000002</v>
      </c>
      <c r="D59" s="1153">
        <f>'C.2.3 B'!G58*1.03</f>
        <v>8.1370000000000005</v>
      </c>
      <c r="E59" s="1153">
        <f>'C.2.3 B'!H58*1.03</f>
        <v>93.524000000000001</v>
      </c>
      <c r="F59" s="1153">
        <f>'C.2.3 B'!I58*1.03</f>
        <v>0</v>
      </c>
      <c r="G59" s="1153">
        <f>'C.2.3 B'!J58*1.03</f>
        <v>0</v>
      </c>
      <c r="H59" s="1153">
        <f>'C.2.3 B'!K58*1.03</f>
        <v>0</v>
      </c>
      <c r="I59" s="1153">
        <f>'C.2.3 B'!L58*1.03</f>
        <v>0</v>
      </c>
      <c r="J59" s="1153">
        <f>'C.2.3 B'!M58*1.03</f>
        <v>0</v>
      </c>
      <c r="K59" s="1153">
        <f>'C.2.3 B'!N58*1.03</f>
        <v>0</v>
      </c>
      <c r="L59" s="1153">
        <f>'C.2.3 B'!C58*1.03*1.03</f>
        <v>148.01676800000001</v>
      </c>
      <c r="M59" s="1153">
        <f>'C.2.3 B'!D58*1.03*1.03</f>
        <v>58.635943000000012</v>
      </c>
      <c r="N59" s="1153">
        <f>'C.2.3 B'!E58*1.03*1.03</f>
        <v>25.132721</v>
      </c>
      <c r="O59" s="578">
        <f t="shared" si="29"/>
        <v>337.51493200000004</v>
      </c>
    </row>
    <row r="60" spans="1:18">
      <c r="A60" s="923">
        <f t="shared" si="1"/>
        <v>48</v>
      </c>
      <c r="B60" s="1" t="s">
        <v>297</v>
      </c>
      <c r="C60" s="681">
        <v>7500</v>
      </c>
      <c r="D60" s="681">
        <f>C60</f>
        <v>7500</v>
      </c>
      <c r="E60" s="681">
        <f t="shared" ref="E60:N60" si="30">D60</f>
        <v>7500</v>
      </c>
      <c r="F60" s="681">
        <f t="shared" si="30"/>
        <v>7500</v>
      </c>
      <c r="G60" s="681">
        <f t="shared" si="30"/>
        <v>7500</v>
      </c>
      <c r="H60" s="681">
        <f t="shared" si="30"/>
        <v>7500</v>
      </c>
      <c r="I60" s="681">
        <f t="shared" si="30"/>
        <v>7500</v>
      </c>
      <c r="J60" s="681">
        <f t="shared" si="30"/>
        <v>7500</v>
      </c>
      <c r="K60" s="681">
        <f t="shared" si="30"/>
        <v>7500</v>
      </c>
      <c r="L60" s="681">
        <f t="shared" si="30"/>
        <v>7500</v>
      </c>
      <c r="M60" s="681">
        <f t="shared" si="30"/>
        <v>7500</v>
      </c>
      <c r="N60" s="681">
        <f t="shared" si="30"/>
        <v>7500</v>
      </c>
      <c r="O60" s="681">
        <f>SUM(C60:N60)</f>
        <v>90000</v>
      </c>
      <c r="P60" s="818"/>
      <c r="Q60" s="818"/>
      <c r="R60" s="768"/>
    </row>
    <row r="61" spans="1:18">
      <c r="A61" s="999">
        <f t="shared" si="1"/>
        <v>49</v>
      </c>
      <c r="B61" s="119" t="s">
        <v>1405</v>
      </c>
      <c r="C61" s="681">
        <f>'C.2.3 B'!N60</f>
        <v>0</v>
      </c>
      <c r="D61" s="681">
        <f>C61</f>
        <v>0</v>
      </c>
      <c r="E61" s="681">
        <f t="shared" ref="E61:N61" si="31">D61</f>
        <v>0</v>
      </c>
      <c r="F61" s="681">
        <f t="shared" si="31"/>
        <v>0</v>
      </c>
      <c r="G61" s="681">
        <f t="shared" si="31"/>
        <v>0</v>
      </c>
      <c r="H61" s="681">
        <f t="shared" si="31"/>
        <v>0</v>
      </c>
      <c r="I61" s="681">
        <f t="shared" si="31"/>
        <v>0</v>
      </c>
      <c r="J61" s="681">
        <f t="shared" si="31"/>
        <v>0</v>
      </c>
      <c r="K61" s="681">
        <f t="shared" si="31"/>
        <v>0</v>
      </c>
      <c r="L61" s="681">
        <f t="shared" si="31"/>
        <v>0</v>
      </c>
      <c r="M61" s="681">
        <f t="shared" si="31"/>
        <v>0</v>
      </c>
      <c r="N61" s="681">
        <f t="shared" si="31"/>
        <v>0</v>
      </c>
      <c r="O61" s="578">
        <f t="shared" si="29"/>
        <v>0</v>
      </c>
      <c r="P61" s="1002"/>
    </row>
    <row r="62" spans="1:18">
      <c r="A62" s="999">
        <f t="shared" si="1"/>
        <v>50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</row>
    <row r="63" spans="1:18">
      <c r="A63" s="923">
        <f t="shared" si="1"/>
        <v>51</v>
      </c>
      <c r="B63" s="1" t="s">
        <v>212</v>
      </c>
      <c r="C63" s="718">
        <f t="shared" ref="C63:N63" si="32">SUM(C56:C62)</f>
        <v>14279.460000000003</v>
      </c>
      <c r="D63" s="718">
        <f t="shared" si="32"/>
        <v>16089.2009</v>
      </c>
      <c r="E63" s="718">
        <f t="shared" si="32"/>
        <v>16664.5795</v>
      </c>
      <c r="F63" s="718">
        <f t="shared" si="32"/>
        <v>15375.6655480999</v>
      </c>
      <c r="G63" s="718">
        <f t="shared" si="32"/>
        <v>16619.003980139751</v>
      </c>
      <c r="H63" s="718">
        <f t="shared" si="32"/>
        <v>16619.003980139751</v>
      </c>
      <c r="I63" s="718">
        <f t="shared" si="32"/>
        <v>16619.003980139751</v>
      </c>
      <c r="J63" s="718">
        <f t="shared" si="32"/>
        <v>16619.003980139751</v>
      </c>
      <c r="K63" s="718">
        <f t="shared" si="32"/>
        <v>16619.003980139751</v>
      </c>
      <c r="L63" s="718">
        <f t="shared" si="32"/>
        <v>19446.190187</v>
      </c>
      <c r="M63" s="718">
        <f t="shared" si="32"/>
        <v>15658.787796000001</v>
      </c>
      <c r="N63" s="718">
        <f t="shared" si="32"/>
        <v>30616.947346000008</v>
      </c>
      <c r="O63" s="718">
        <f t="shared" si="29"/>
        <v>211225.85117779864</v>
      </c>
    </row>
    <row r="64" spans="1:18">
      <c r="A64" s="923">
        <f t="shared" si="1"/>
        <v>52</v>
      </c>
      <c r="C64" s="107"/>
      <c r="D64" s="107"/>
      <c r="E64" s="107"/>
      <c r="F64" s="107"/>
      <c r="G64" s="1139"/>
      <c r="H64" s="107"/>
      <c r="I64" s="107"/>
      <c r="J64" s="107"/>
      <c r="K64" s="107"/>
      <c r="L64" s="107"/>
      <c r="M64" s="107"/>
      <c r="N64" s="107"/>
      <c r="O64" s="107"/>
    </row>
    <row r="65" spans="1:15">
      <c r="A65" s="923">
        <f t="shared" si="1"/>
        <v>53</v>
      </c>
      <c r="B65" s="1" t="s">
        <v>213</v>
      </c>
      <c r="C65" s="756">
        <v>1</v>
      </c>
      <c r="D65" s="756">
        <f>$C$65</f>
        <v>1</v>
      </c>
      <c r="E65" s="756">
        <f t="shared" ref="E65:N65" si="33">$C$65</f>
        <v>1</v>
      </c>
      <c r="F65" s="756">
        <f t="shared" si="33"/>
        <v>1</v>
      </c>
      <c r="G65" s="756">
        <f t="shared" si="33"/>
        <v>1</v>
      </c>
      <c r="H65" s="756">
        <f t="shared" si="33"/>
        <v>1</v>
      </c>
      <c r="I65" s="756">
        <f t="shared" si="33"/>
        <v>1</v>
      </c>
      <c r="J65" s="756">
        <f t="shared" si="33"/>
        <v>1</v>
      </c>
      <c r="K65" s="756">
        <f t="shared" si="33"/>
        <v>1</v>
      </c>
      <c r="L65" s="756">
        <f t="shared" si="33"/>
        <v>1</v>
      </c>
      <c r="M65" s="756">
        <f t="shared" si="33"/>
        <v>1</v>
      </c>
      <c r="N65" s="756">
        <f t="shared" si="33"/>
        <v>1</v>
      </c>
      <c r="O65" s="107"/>
    </row>
    <row r="66" spans="1:15">
      <c r="A66" s="923">
        <f t="shared" si="1"/>
        <v>54</v>
      </c>
      <c r="B66" s="1" t="s">
        <v>214</v>
      </c>
      <c r="C66" s="756">
        <f>Allocation!D17</f>
        <v>0.49090457251500325</v>
      </c>
      <c r="D66" s="756">
        <f>$C$66</f>
        <v>0.49090457251500325</v>
      </c>
      <c r="E66" s="756">
        <f t="shared" ref="E66:N66" si="34">$C$66</f>
        <v>0.49090457251500325</v>
      </c>
      <c r="F66" s="756">
        <f t="shared" si="34"/>
        <v>0.49090457251500325</v>
      </c>
      <c r="G66" s="756">
        <f t="shared" si="34"/>
        <v>0.49090457251500325</v>
      </c>
      <c r="H66" s="756">
        <f t="shared" si="34"/>
        <v>0.49090457251500325</v>
      </c>
      <c r="I66" s="756">
        <f t="shared" si="34"/>
        <v>0.49090457251500325</v>
      </c>
      <c r="J66" s="756">
        <f t="shared" si="34"/>
        <v>0.49090457251500325</v>
      </c>
      <c r="K66" s="756">
        <f t="shared" si="34"/>
        <v>0.49090457251500325</v>
      </c>
      <c r="L66" s="756">
        <f t="shared" si="34"/>
        <v>0.49090457251500325</v>
      </c>
      <c r="M66" s="756">
        <f t="shared" si="34"/>
        <v>0.49090457251500325</v>
      </c>
      <c r="N66" s="756">
        <f t="shared" si="34"/>
        <v>0.49090457251500325</v>
      </c>
      <c r="O66" s="107"/>
    </row>
    <row r="67" spans="1:15">
      <c r="A67" s="923">
        <f t="shared" si="1"/>
        <v>55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>
      <c r="A68" s="923">
        <f t="shared" si="1"/>
        <v>56</v>
      </c>
      <c r="B68" s="1" t="s">
        <v>1407</v>
      </c>
      <c r="C68" s="1154">
        <f>C63*C65*C66</f>
        <v>7009.8522070450899</v>
      </c>
      <c r="D68" s="1154">
        <f t="shared" ref="D68:N68" si="35">D63*D65*D66</f>
        <v>7898.2622899225053</v>
      </c>
      <c r="E68" s="1154">
        <f t="shared" si="35"/>
        <v>8180.7182755897866</v>
      </c>
      <c r="F68" s="1154">
        <f t="shared" si="35"/>
        <v>7547.9845230236442</v>
      </c>
      <c r="G68" s="1154">
        <f t="shared" si="35"/>
        <v>8158.3450444956416</v>
      </c>
      <c r="H68" s="1154">
        <f t="shared" si="35"/>
        <v>8158.3450444956416</v>
      </c>
      <c r="I68" s="1154">
        <f t="shared" si="35"/>
        <v>8158.3450444956416</v>
      </c>
      <c r="J68" s="1154">
        <f t="shared" si="35"/>
        <v>8158.3450444956416</v>
      </c>
      <c r="K68" s="1154">
        <f t="shared" si="35"/>
        <v>8158.3450444956416</v>
      </c>
      <c r="L68" s="1154">
        <f t="shared" si="35"/>
        <v>9546.2236807946865</v>
      </c>
      <c r="M68" s="1154">
        <f t="shared" si="35"/>
        <v>7686.9705290985303</v>
      </c>
      <c r="N68" s="1154">
        <f t="shared" si="35"/>
        <v>15029.999448602497</v>
      </c>
      <c r="O68" s="718">
        <f>SUM(C68:N68)</f>
        <v>103691.73617655494</v>
      </c>
    </row>
    <row r="69" spans="1:15">
      <c r="B69" s="409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sqref="A1:C1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13" spans="1:3">
      <c r="A13" s="1248" t="s">
        <v>1526</v>
      </c>
      <c r="B13" s="1248"/>
      <c r="C13" s="1248"/>
    </row>
    <row r="15" spans="1:3">
      <c r="A15" s="1248" t="s">
        <v>64</v>
      </c>
      <c r="B15" s="1248"/>
      <c r="C15" s="1248"/>
    </row>
    <row r="18" spans="1:3">
      <c r="A18" s="84" t="s">
        <v>63</v>
      </c>
      <c r="B18" s="84"/>
      <c r="C18" s="84" t="s">
        <v>1004</v>
      </c>
    </row>
    <row r="20" spans="1:3">
      <c r="A20" t="s">
        <v>1085</v>
      </c>
      <c r="B20" s="76"/>
      <c r="C20" t="s">
        <v>1097</v>
      </c>
    </row>
    <row r="21" spans="1:3">
      <c r="A21" t="s">
        <v>485</v>
      </c>
      <c r="B21" s="76"/>
      <c r="C21" t="s">
        <v>444</v>
      </c>
    </row>
    <row r="22" spans="1:3">
      <c r="A22" t="s">
        <v>1109</v>
      </c>
      <c r="B22" s="76"/>
      <c r="C22" t="s">
        <v>444</v>
      </c>
    </row>
    <row r="23" spans="1:3">
      <c r="A23" t="s">
        <v>1111</v>
      </c>
      <c r="B23" s="76"/>
      <c r="C23" t="s">
        <v>444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87" right="0.69" top="1" bottom="1" header="0.5" footer="0.5"/>
  <pageSetup scale="8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418"/>
  <sheetViews>
    <sheetView view="pageBreakPreview" zoomScale="60" zoomScaleNormal="85" workbookViewId="0">
      <pane ySplit="12" topLeftCell="A13" activePane="bottomLeft" state="frozen"/>
      <selection activeCell="B6" sqref="B6"/>
      <selection pane="bottomLeft" activeCell="A13" sqref="A13"/>
    </sheetView>
  </sheetViews>
  <sheetFormatPr defaultColWidth="7.109375" defaultRowHeight="15.75" customHeight="1"/>
  <cols>
    <col min="1" max="1" width="4.33203125" style="1" customWidth="1"/>
    <col min="2" max="2" width="9.109375" style="1" customWidth="1"/>
    <col min="3" max="3" width="29.5546875" style="1" customWidth="1"/>
    <col min="4" max="4" width="12.44140625" style="1" customWidth="1"/>
    <col min="5" max="5" width="1.44140625" style="1" customWidth="1"/>
    <col min="6" max="6" width="11.33203125" style="1" customWidth="1"/>
    <col min="7" max="7" width="1.44140625" style="1" customWidth="1"/>
    <col min="8" max="8" width="10.6640625" style="1" customWidth="1"/>
    <col min="9" max="9" width="1.44140625" style="1" customWidth="1"/>
    <col min="10" max="10" width="16" style="1" customWidth="1"/>
    <col min="11" max="11" width="1.44140625" style="1" customWidth="1"/>
    <col min="12" max="12" width="10" style="1" customWidth="1"/>
    <col min="13" max="13" width="1.44140625" style="1" customWidth="1"/>
    <col min="14" max="14" width="12" style="1" customWidth="1"/>
    <col min="15" max="15" width="1.44140625" style="1" customWidth="1"/>
    <col min="16" max="16" width="13.5546875" style="1" customWidth="1"/>
    <col min="17" max="17" width="6.6640625" style="1" customWidth="1"/>
    <col min="18" max="18" width="7.44140625" style="1" customWidth="1"/>
    <col min="19" max="19" width="9.5546875" style="1" customWidth="1"/>
    <col min="20" max="20" width="6.109375" style="1" customWidth="1"/>
    <col min="21" max="21" width="5.33203125" style="1" customWidth="1"/>
    <col min="22" max="22" width="7.44140625" style="1" customWidth="1"/>
    <col min="23" max="16384" width="7.109375" style="1"/>
  </cols>
  <sheetData>
    <row r="1" spans="1:19" ht="15.75" customHeight="1">
      <c r="A1" s="235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/>
      <c r="R1"/>
      <c r="S1"/>
    </row>
    <row r="2" spans="1:19" ht="15.75" customHeight="1">
      <c r="A2" s="235" t="str">
        <f>'Table of Contents'!A2:C2</f>
        <v>Kentucky Jurisdiction Case No. 2015-00343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/>
      <c r="R2"/>
      <c r="S2"/>
    </row>
    <row r="3" spans="1:19" ht="15.75" customHeight="1">
      <c r="A3" s="92" t="s">
        <v>54</v>
      </c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/>
      <c r="R3"/>
      <c r="S3"/>
    </row>
    <row r="4" spans="1:19" ht="15.75" customHeight="1">
      <c r="A4" s="92" t="s">
        <v>868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/>
      <c r="R4"/>
      <c r="S4"/>
    </row>
    <row r="5" spans="1:19" ht="15.75" customHeight="1">
      <c r="A5" s="92" t="str">
        <f>Allocation!A4</f>
        <v>Forecasted Test Period: Twelve Months Ended May 31, 2017</v>
      </c>
      <c r="B5" s="40"/>
      <c r="C5" s="40"/>
      <c r="D5" s="6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/>
      <c r="R5"/>
      <c r="S5"/>
    </row>
    <row r="6" spans="1:19" ht="15.75" customHeight="1">
      <c r="A6" s="92"/>
      <c r="B6" s="40"/>
      <c r="C6" s="40"/>
      <c r="D6" s="64"/>
      <c r="E6" s="40"/>
      <c r="F6" s="40"/>
      <c r="G6" s="40"/>
      <c r="H6" s="40"/>
      <c r="I6" s="40"/>
      <c r="J6" s="40"/>
      <c r="K6" s="40"/>
      <c r="M6" s="40"/>
      <c r="N6" s="47"/>
      <c r="O6" s="40"/>
      <c r="P6" s="47"/>
      <c r="Q6"/>
      <c r="R6"/>
      <c r="S6"/>
    </row>
    <row r="7" spans="1:19" ht="15.75" customHeight="1">
      <c r="A7" s="4" t="s">
        <v>696</v>
      </c>
      <c r="N7" s="70"/>
      <c r="P7" s="720" t="s">
        <v>1527</v>
      </c>
      <c r="Q7"/>
      <c r="R7"/>
      <c r="S7"/>
    </row>
    <row r="8" spans="1:19" ht="15.75" customHeight="1">
      <c r="A8" s="4" t="s">
        <v>1068</v>
      </c>
      <c r="P8" s="721" t="s">
        <v>693</v>
      </c>
      <c r="Q8"/>
      <c r="R8"/>
      <c r="S8"/>
    </row>
    <row r="9" spans="1:19" ht="15.75" customHeight="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45"/>
      <c r="M9" s="6"/>
      <c r="N9" s="6"/>
      <c r="O9" s="6"/>
      <c r="P9" s="959" t="s">
        <v>1393</v>
      </c>
      <c r="Q9"/>
      <c r="R9"/>
      <c r="S9"/>
    </row>
    <row r="10" spans="1:19" ht="15.75" customHeight="1">
      <c r="H10" s="2" t="s">
        <v>223</v>
      </c>
      <c r="Q10"/>
      <c r="R10"/>
      <c r="S10"/>
    </row>
    <row r="11" spans="1:19" ht="15.75" customHeight="1">
      <c r="A11" s="2" t="s">
        <v>98</v>
      </c>
      <c r="B11" s="181" t="s">
        <v>1348</v>
      </c>
      <c r="D11" s="2" t="s">
        <v>45</v>
      </c>
      <c r="F11" s="33" t="s">
        <v>485</v>
      </c>
      <c r="G11" s="13"/>
      <c r="H11" s="33" t="s">
        <v>485</v>
      </c>
      <c r="I11" s="36"/>
      <c r="J11" s="33" t="s">
        <v>485</v>
      </c>
      <c r="K11" s="13"/>
      <c r="L11" s="584" t="s">
        <v>1109</v>
      </c>
      <c r="M11" s="588"/>
      <c r="N11" s="584" t="s">
        <v>1109</v>
      </c>
      <c r="O11" s="13"/>
      <c r="P11" s="33" t="s">
        <v>101</v>
      </c>
      <c r="Q11"/>
      <c r="R11"/>
      <c r="S11"/>
    </row>
    <row r="12" spans="1:19" ht="15.75" customHeight="1">
      <c r="A12" s="9" t="s">
        <v>104</v>
      </c>
      <c r="B12" s="182" t="s">
        <v>224</v>
      </c>
      <c r="C12" s="6"/>
      <c r="D12" s="9" t="s">
        <v>553</v>
      </c>
      <c r="E12" s="6"/>
      <c r="F12" s="9" t="s">
        <v>622</v>
      </c>
      <c r="G12" s="5" t="s">
        <v>332</v>
      </c>
      <c r="H12" s="9" t="s">
        <v>479</v>
      </c>
      <c r="I12" s="5" t="s">
        <v>332</v>
      </c>
      <c r="J12" s="9" t="s">
        <v>480</v>
      </c>
      <c r="K12" s="5" t="s">
        <v>332</v>
      </c>
      <c r="L12" s="585" t="s">
        <v>481</v>
      </c>
      <c r="M12" s="581" t="s">
        <v>332</v>
      </c>
      <c r="N12" s="585" t="s">
        <v>482</v>
      </c>
      <c r="O12" s="6"/>
      <c r="P12" s="9" t="s">
        <v>486</v>
      </c>
      <c r="Q12"/>
      <c r="R12"/>
      <c r="S12"/>
    </row>
    <row r="13" spans="1:19" ht="15.75" customHeight="1">
      <c r="Q13"/>
      <c r="R13"/>
      <c r="S13"/>
    </row>
    <row r="14" spans="1:19" ht="15.75" customHeight="1">
      <c r="B14" s="4" t="s">
        <v>1134</v>
      </c>
      <c r="Q14"/>
      <c r="R14"/>
      <c r="S14"/>
    </row>
    <row r="15" spans="1:19" ht="15.75" customHeight="1">
      <c r="A15" s="2" t="s">
        <v>376</v>
      </c>
      <c r="B15" s="4" t="s">
        <v>1034</v>
      </c>
      <c r="D15" s="136">
        <f>'C.2.1 B'!D15</f>
        <v>98207124.629063994</v>
      </c>
      <c r="E15" s="130"/>
      <c r="F15" s="136">
        <f>D.2.1!D15</f>
        <v>-2384094.803710565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>
        <f>SUM(F15:O15)</f>
        <v>-2384094.803710565</v>
      </c>
      <c r="Q15"/>
      <c r="R15"/>
      <c r="S15"/>
    </row>
    <row r="16" spans="1:19" ht="15.75" customHeight="1">
      <c r="A16" s="2">
        <f>A15+1</f>
        <v>2</v>
      </c>
      <c r="B16" s="4" t="s">
        <v>1035</v>
      </c>
      <c r="D16" s="136">
        <f>'C.2.1 B'!D17</f>
        <v>40950740.394301347</v>
      </c>
      <c r="E16" s="130"/>
      <c r="F16" s="136">
        <f>D.2.1!D20</f>
        <v>-1088295.1736240983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>
        <f>SUM(F16:O16)</f>
        <v>-1088295.1736240983</v>
      </c>
      <c r="Q16"/>
      <c r="R16"/>
      <c r="S16"/>
    </row>
    <row r="17" spans="1:19" ht="15.75" customHeight="1">
      <c r="A17" s="922">
        <f t="shared" ref="A17:A42" si="0">A16+1</f>
        <v>3</v>
      </c>
      <c r="B17" s="4" t="s">
        <v>1036</v>
      </c>
      <c r="D17" s="136">
        <f>'C.2.1 B'!D18</f>
        <v>5451325.746213723</v>
      </c>
      <c r="E17" s="130"/>
      <c r="F17" s="136">
        <f>D.2.1!D25</f>
        <v>-570798.50643856172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>
        <f>SUM(F17:O17)</f>
        <v>-570798.50643856172</v>
      </c>
      <c r="Q17"/>
      <c r="R17"/>
      <c r="S17"/>
    </row>
    <row r="18" spans="1:19" ht="15.75" customHeight="1">
      <c r="A18" s="922">
        <f t="shared" si="0"/>
        <v>4</v>
      </c>
      <c r="B18" s="4" t="s">
        <v>1037</v>
      </c>
      <c r="D18" s="136">
        <f>'C.2.1 B'!D21</f>
        <v>7553488.8796820827</v>
      </c>
      <c r="E18" s="130"/>
      <c r="F18" s="136">
        <f>D.2.1!D30</f>
        <v>-363879.83571324311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f>SUM(F18:O18)</f>
        <v>-363879.83571324311</v>
      </c>
      <c r="Q18"/>
      <c r="R18"/>
      <c r="S18"/>
    </row>
    <row r="19" spans="1:19" ht="15.75" customHeight="1">
      <c r="A19" s="922">
        <f t="shared" si="0"/>
        <v>5</v>
      </c>
      <c r="B19" s="4"/>
      <c r="D19" s="573"/>
      <c r="E19" s="130"/>
      <c r="F19" s="138"/>
      <c r="G19" s="136"/>
      <c r="H19" s="138"/>
      <c r="I19" s="136"/>
      <c r="J19" s="138"/>
      <c r="K19" s="136"/>
      <c r="L19" s="138"/>
      <c r="M19" s="136"/>
      <c r="N19" s="138"/>
      <c r="O19" s="136"/>
      <c r="P19" s="138"/>
      <c r="Q19"/>
      <c r="R19"/>
      <c r="S19"/>
    </row>
    <row r="20" spans="1:19" ht="15.75" customHeight="1">
      <c r="A20" s="922">
        <f t="shared" si="0"/>
        <v>6</v>
      </c>
      <c r="D20" s="136"/>
      <c r="E20" s="130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/>
      <c r="R20"/>
      <c r="S20"/>
    </row>
    <row r="21" spans="1:19" ht="15.75" customHeight="1">
      <c r="A21" s="922">
        <f t="shared" si="0"/>
        <v>7</v>
      </c>
      <c r="B21" s="4" t="s">
        <v>596</v>
      </c>
      <c r="D21" s="136">
        <f>SUM(D15:D19)</f>
        <v>152162679.64926118</v>
      </c>
      <c r="E21" s="130"/>
      <c r="F21" s="136">
        <f>SUM(F15:F19)</f>
        <v>-4407068.3194864681</v>
      </c>
      <c r="G21" s="136"/>
      <c r="H21" s="136">
        <f>SUM(H15:H19)</f>
        <v>0</v>
      </c>
      <c r="I21" s="136"/>
      <c r="J21" s="136">
        <f>SUM(J15:J19)</f>
        <v>0</v>
      </c>
      <c r="K21" s="136"/>
      <c r="L21" s="136">
        <f>SUM(L15:L19)</f>
        <v>0</v>
      </c>
      <c r="M21" s="136"/>
      <c r="N21" s="136">
        <f>SUM(N15:N19)</f>
        <v>0</v>
      </c>
      <c r="O21" s="136"/>
      <c r="P21" s="136">
        <f>SUM(F21:O21)</f>
        <v>-4407068.3194864681</v>
      </c>
      <c r="Q21"/>
      <c r="R21"/>
      <c r="S21"/>
    </row>
    <row r="22" spans="1:19" ht="15.75" customHeight="1">
      <c r="A22" s="922">
        <f t="shared" si="0"/>
        <v>8</v>
      </c>
      <c r="D22" s="136"/>
      <c r="E22" s="130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/>
      <c r="R22"/>
      <c r="S22"/>
    </row>
    <row r="23" spans="1:19" ht="15.75" customHeight="1">
      <c r="A23" s="922">
        <f t="shared" si="0"/>
        <v>9</v>
      </c>
      <c r="B23" s="4" t="s">
        <v>448</v>
      </c>
      <c r="D23" s="136"/>
      <c r="E23" s="130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/>
      <c r="R23"/>
      <c r="S23"/>
    </row>
    <row r="24" spans="1:19" ht="15.75" customHeight="1">
      <c r="A24" s="922">
        <f t="shared" si="0"/>
        <v>10</v>
      </c>
      <c r="B24" s="4" t="s">
        <v>235</v>
      </c>
      <c r="D24" s="136">
        <f>'C.2.1 B'!D26</f>
        <v>1230383.6535251739</v>
      </c>
      <c r="E24" s="130"/>
      <c r="F24" s="136"/>
      <c r="G24" s="136"/>
      <c r="H24" s="136">
        <f>D.2.1!D40</f>
        <v>-89496.474529500119</v>
      </c>
      <c r="I24" s="136"/>
      <c r="J24" s="136"/>
      <c r="K24" s="136"/>
      <c r="L24" s="136"/>
      <c r="M24" s="136"/>
      <c r="N24" s="136"/>
      <c r="O24" s="136"/>
      <c r="P24" s="136">
        <f>SUM(F24:O24)</f>
        <v>-89496.474529500119</v>
      </c>
      <c r="Q24"/>
      <c r="R24"/>
      <c r="S24"/>
    </row>
    <row r="25" spans="1:19" ht="15.75" customHeight="1">
      <c r="A25" s="922">
        <f t="shared" si="0"/>
        <v>11</v>
      </c>
      <c r="B25" s="4" t="s">
        <v>582</v>
      </c>
      <c r="D25" s="136">
        <f>'C.2.1 B'!D27</f>
        <v>796529.01</v>
      </c>
      <c r="E25" s="130"/>
      <c r="F25" s="136"/>
      <c r="G25" s="136"/>
      <c r="H25" s="136">
        <f>D.2.1!D45</f>
        <v>-704.01000000000931</v>
      </c>
      <c r="I25" s="136"/>
      <c r="J25" s="136"/>
      <c r="K25" s="136"/>
      <c r="L25" s="136"/>
      <c r="M25" s="136"/>
      <c r="N25" s="136"/>
      <c r="O25" s="136"/>
      <c r="P25" s="136">
        <f>SUM(F25:O25)</f>
        <v>-704.01000000000931</v>
      </c>
      <c r="Q25"/>
      <c r="R25"/>
      <c r="S25"/>
    </row>
    <row r="26" spans="1:19" ht="15.75" customHeight="1">
      <c r="A26" s="922">
        <f t="shared" si="0"/>
        <v>12</v>
      </c>
      <c r="B26" s="4" t="s">
        <v>1243</v>
      </c>
      <c r="D26" s="136">
        <f>'C.2.1 B'!D28</f>
        <v>14819845.18675</v>
      </c>
      <c r="E26" s="130"/>
      <c r="F26" s="136"/>
      <c r="G26" s="136"/>
      <c r="H26" s="136">
        <f>D.2.1!D50</f>
        <v>-326241.28060000017</v>
      </c>
      <c r="I26" s="136"/>
      <c r="J26" s="136"/>
      <c r="K26" s="136"/>
      <c r="L26" s="136"/>
      <c r="M26" s="136"/>
      <c r="N26" s="136"/>
      <c r="O26" s="136"/>
      <c r="P26" s="136">
        <f>SUM(F26:O26)</f>
        <v>-326241.28060000017</v>
      </c>
      <c r="Q26"/>
      <c r="R26"/>
      <c r="S26"/>
    </row>
    <row r="27" spans="1:19" ht="15.75" customHeight="1">
      <c r="A27" s="922">
        <f t="shared" si="0"/>
        <v>13</v>
      </c>
      <c r="B27" s="4" t="s">
        <v>227</v>
      </c>
      <c r="D27" s="573">
        <f>'C.2.1 B'!D29</f>
        <v>1366066.4424999999</v>
      </c>
      <c r="E27" s="130"/>
      <c r="F27" s="138"/>
      <c r="G27" s="136"/>
      <c r="H27" s="138">
        <f>D.2.1!D55</f>
        <v>1252661.6149999998</v>
      </c>
      <c r="I27" s="136"/>
      <c r="J27" s="138"/>
      <c r="K27" s="136"/>
      <c r="L27" s="138"/>
      <c r="M27" s="136"/>
      <c r="N27" s="138"/>
      <c r="O27" s="136"/>
      <c r="P27" s="138">
        <f>SUM(F27:O27)</f>
        <v>1252661.6149999998</v>
      </c>
      <c r="Q27"/>
      <c r="R27"/>
      <c r="S27"/>
    </row>
    <row r="28" spans="1:19" ht="15.75" customHeight="1">
      <c r="A28" s="922">
        <f t="shared" si="0"/>
        <v>14</v>
      </c>
      <c r="D28" s="136"/>
      <c r="E28" s="130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/>
      <c r="R28"/>
      <c r="S28"/>
    </row>
    <row r="29" spans="1:19" ht="15.75" customHeight="1">
      <c r="A29" s="922">
        <f t="shared" si="0"/>
        <v>15</v>
      </c>
      <c r="B29" s="4" t="s">
        <v>1177</v>
      </c>
      <c r="D29" s="138">
        <f>SUM(D24:D27)</f>
        <v>18212824.292775173</v>
      </c>
      <c r="E29" s="130"/>
      <c r="F29" s="138">
        <f>SUM(F25:F27)</f>
        <v>0</v>
      </c>
      <c r="G29" s="136"/>
      <c r="H29" s="138">
        <f>SUM(H24:H27)</f>
        <v>836219.84987049946</v>
      </c>
      <c r="I29" s="136"/>
      <c r="J29" s="138">
        <f>SUM(J25:J27)</f>
        <v>0</v>
      </c>
      <c r="K29" s="130"/>
      <c r="L29" s="138">
        <f>SUM(L25:L27)</f>
        <v>0</v>
      </c>
      <c r="M29" s="136"/>
      <c r="N29" s="138">
        <f>SUM(N25:N27)</f>
        <v>0</v>
      </c>
      <c r="O29" s="136"/>
      <c r="P29" s="138">
        <f>SUM(F29:O29)</f>
        <v>836219.84987049946</v>
      </c>
      <c r="Q29"/>
      <c r="R29"/>
      <c r="S29"/>
    </row>
    <row r="30" spans="1:19" ht="15.75" customHeight="1">
      <c r="A30" s="922">
        <f t="shared" si="0"/>
        <v>16</v>
      </c>
      <c r="D30" s="136"/>
      <c r="E30" s="130"/>
      <c r="F30" s="136"/>
      <c r="G30" s="136"/>
      <c r="H30" s="136"/>
      <c r="I30" s="136"/>
      <c r="J30" s="136"/>
      <c r="K30" s="130"/>
      <c r="L30" s="136"/>
      <c r="M30" s="136"/>
      <c r="N30" s="136"/>
      <c r="O30" s="136"/>
      <c r="P30" s="136"/>
      <c r="Q30"/>
      <c r="R30"/>
      <c r="S30"/>
    </row>
    <row r="31" spans="1:19" ht="15.75" customHeight="1">
      <c r="A31" s="922">
        <f t="shared" si="0"/>
        <v>17</v>
      </c>
      <c r="B31" s="4" t="s">
        <v>500</v>
      </c>
      <c r="D31" s="155">
        <f>D21+D29</f>
        <v>170375503.94203636</v>
      </c>
      <c r="E31" s="130"/>
      <c r="F31" s="155">
        <f>F21+F29</f>
        <v>-4407068.3194864681</v>
      </c>
      <c r="G31" s="136"/>
      <c r="H31" s="155">
        <f>H21+H29</f>
        <v>836219.84987049946</v>
      </c>
      <c r="I31" s="136"/>
      <c r="J31" s="155">
        <f>J21+J29</f>
        <v>0</v>
      </c>
      <c r="K31" s="130"/>
      <c r="L31" s="155">
        <f>L21+L29</f>
        <v>0</v>
      </c>
      <c r="M31" s="136"/>
      <c r="N31" s="155">
        <f>N21+N29</f>
        <v>0</v>
      </c>
      <c r="O31" s="136"/>
      <c r="P31" s="155">
        <f>SUM(F31:O31)</f>
        <v>-3570848.4696159689</v>
      </c>
      <c r="Q31"/>
      <c r="R31"/>
      <c r="S31"/>
    </row>
    <row r="32" spans="1:19" ht="15.75" customHeight="1">
      <c r="A32" s="922">
        <f t="shared" si="0"/>
        <v>18</v>
      </c>
      <c r="D32" s="136"/>
      <c r="E32" s="130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/>
      <c r="R32"/>
      <c r="S32"/>
    </row>
    <row r="33" spans="1:20" ht="15.75" customHeight="1">
      <c r="A33" s="922">
        <f t="shared" si="0"/>
        <v>19</v>
      </c>
      <c r="B33" s="4" t="s">
        <v>855</v>
      </c>
      <c r="D33" s="136"/>
      <c r="E33" s="130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/>
      <c r="R33"/>
      <c r="S33"/>
    </row>
    <row r="34" spans="1:20" ht="15.75" customHeight="1">
      <c r="A34" s="922">
        <f t="shared" si="0"/>
        <v>20</v>
      </c>
      <c r="B34" s="4" t="s">
        <v>228</v>
      </c>
      <c r="D34" s="138">
        <f>'C.2.1 B'!D104</f>
        <v>77033020.869385153</v>
      </c>
      <c r="E34" s="130"/>
      <c r="F34" s="138"/>
      <c r="G34" s="136"/>
      <c r="H34" s="138"/>
      <c r="I34" s="136"/>
      <c r="J34" s="138">
        <f>D.2.1!D60</f>
        <v>2345155.8210695088</v>
      </c>
      <c r="K34" s="136"/>
      <c r="L34" s="138"/>
      <c r="M34" s="136"/>
      <c r="N34" s="138"/>
      <c r="O34" s="136"/>
      <c r="P34" s="138">
        <f>SUM(F34:O34)</f>
        <v>2345155.8210695088</v>
      </c>
      <c r="Q34"/>
      <c r="R34"/>
      <c r="S34"/>
    </row>
    <row r="35" spans="1:20" ht="15.75" customHeight="1">
      <c r="A35" s="922">
        <f t="shared" si="0"/>
        <v>21</v>
      </c>
      <c r="D35" s="136"/>
      <c r="E35" s="130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/>
      <c r="R35"/>
      <c r="S35"/>
    </row>
    <row r="36" spans="1:20" ht="15.75" customHeight="1">
      <c r="A36" s="922">
        <f t="shared" si="0"/>
        <v>22</v>
      </c>
      <c r="B36" s="4" t="s">
        <v>856</v>
      </c>
      <c r="D36" s="138">
        <f>SUM(D34:D34)</f>
        <v>77033020.869385153</v>
      </c>
      <c r="E36" s="130"/>
      <c r="F36" s="138">
        <f>SUM(F34:F34)</f>
        <v>0</v>
      </c>
      <c r="G36" s="136"/>
      <c r="H36" s="138">
        <f>SUM(H34:H34)</f>
        <v>0</v>
      </c>
      <c r="I36" s="136"/>
      <c r="J36" s="138">
        <f>SUM(J34:J34)</f>
        <v>2345155.8210695088</v>
      </c>
      <c r="K36" s="136"/>
      <c r="L36" s="138">
        <f>SUM(L34:L34)</f>
        <v>0</v>
      </c>
      <c r="M36" s="130"/>
      <c r="N36" s="138">
        <f>SUM(N34:N34)</f>
        <v>0</v>
      </c>
      <c r="O36" s="136"/>
      <c r="P36" s="138">
        <f>SUM(F36:O36)</f>
        <v>2345155.8210695088</v>
      </c>
      <c r="Q36"/>
      <c r="R36"/>
      <c r="S36"/>
    </row>
    <row r="37" spans="1:20" ht="15.75" customHeight="1">
      <c r="A37" s="922">
        <f t="shared" si="0"/>
        <v>23</v>
      </c>
      <c r="D37" s="136"/>
      <c r="E37" s="130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/>
      <c r="R37"/>
      <c r="S37"/>
    </row>
    <row r="38" spans="1:20" ht="15.75" customHeight="1">
      <c r="A38" s="922">
        <f t="shared" si="0"/>
        <v>24</v>
      </c>
      <c r="B38" s="4" t="s">
        <v>501</v>
      </c>
      <c r="D38" s="155">
        <f>D31-D36</f>
        <v>93342483.072651207</v>
      </c>
      <c r="E38" s="130"/>
      <c r="F38" s="155">
        <f>F31-F36</f>
        <v>-4407068.3194864681</v>
      </c>
      <c r="G38" s="136"/>
      <c r="H38" s="155">
        <f>H31-H36</f>
        <v>836219.84987049946</v>
      </c>
      <c r="I38" s="136"/>
      <c r="J38" s="155">
        <f>J31-J36</f>
        <v>-2345155.8210695088</v>
      </c>
      <c r="K38" s="136"/>
      <c r="L38" s="155">
        <f>L31-L36</f>
        <v>0</v>
      </c>
      <c r="M38" s="130"/>
      <c r="N38" s="155">
        <f>N31-N36</f>
        <v>0</v>
      </c>
      <c r="O38" s="136"/>
      <c r="P38" s="155">
        <f>SUM(F38:O38)</f>
        <v>-5916004.2906854777</v>
      </c>
      <c r="Q38"/>
      <c r="R38"/>
      <c r="S38"/>
    </row>
    <row r="39" spans="1:20" ht="15.75" customHeight="1">
      <c r="A39" s="922">
        <f t="shared" si="0"/>
        <v>25</v>
      </c>
      <c r="D39" s="136"/>
      <c r="E39" s="130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/>
      <c r="R39"/>
      <c r="S39"/>
    </row>
    <row r="40" spans="1:20" ht="15.75" customHeight="1">
      <c r="A40" s="922">
        <f t="shared" si="0"/>
        <v>26</v>
      </c>
      <c r="B40" s="4" t="s">
        <v>229</v>
      </c>
      <c r="D40" s="753">
        <f>Allocation!E23</f>
        <v>0.38900000000000001</v>
      </c>
      <c r="E40" s="130"/>
      <c r="F40" s="155">
        <f>F38*$D$40</f>
        <v>-1714349.5762802362</v>
      </c>
      <c r="G40" s="136"/>
      <c r="H40" s="155">
        <f>H38*$D$40</f>
        <v>325289.52159962431</v>
      </c>
      <c r="I40" s="136"/>
      <c r="J40" s="155">
        <f>J38*$D$40</f>
        <v>-912265.61439603893</v>
      </c>
      <c r="K40" s="136"/>
      <c r="L40" s="155">
        <f>L38*$D$40</f>
        <v>0</v>
      </c>
      <c r="M40" s="136"/>
      <c r="N40" s="155">
        <f>N38*$D$40</f>
        <v>0</v>
      </c>
      <c r="O40" s="136"/>
      <c r="P40" s="155">
        <f>P38*$D$40</f>
        <v>-2301325.6690766509</v>
      </c>
      <c r="Q40"/>
      <c r="R40"/>
      <c r="S40"/>
    </row>
    <row r="41" spans="1:20" ht="15.75" customHeight="1">
      <c r="A41" s="922">
        <f t="shared" si="0"/>
        <v>27</v>
      </c>
      <c r="D41" s="753"/>
      <c r="E41" s="130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/>
      <c r="R41"/>
      <c r="S41"/>
    </row>
    <row r="42" spans="1:20" ht="15.75" customHeight="1">
      <c r="A42" s="922">
        <f t="shared" si="0"/>
        <v>28</v>
      </c>
      <c r="B42" s="4" t="s">
        <v>857</v>
      </c>
      <c r="D42" s="136"/>
      <c r="E42" s="130"/>
      <c r="F42" s="155">
        <f>F38-F40</f>
        <v>-2692718.7432062319</v>
      </c>
      <c r="G42" s="136"/>
      <c r="H42" s="155">
        <f>H38-H40</f>
        <v>510930.32827087515</v>
      </c>
      <c r="I42" s="136"/>
      <c r="J42" s="155">
        <f>J38-J40</f>
        <v>-1432890.2066734699</v>
      </c>
      <c r="K42" s="136"/>
      <c r="L42" s="155">
        <f>L38-L40</f>
        <v>0</v>
      </c>
      <c r="M42" s="136"/>
      <c r="N42" s="155">
        <f>N38-N40</f>
        <v>0</v>
      </c>
      <c r="O42" s="136"/>
      <c r="P42" s="155">
        <f>P38-P40</f>
        <v>-3614678.6216088268</v>
      </c>
      <c r="Q42"/>
      <c r="R42"/>
      <c r="S42"/>
    </row>
    <row r="43" spans="1:20" ht="15.75" customHeight="1">
      <c r="A43" s="2"/>
      <c r="B43" s="4"/>
      <c r="D43" s="136"/>
      <c r="E43" s="130"/>
      <c r="F43" s="155"/>
      <c r="G43" s="136"/>
      <c r="H43" s="155"/>
      <c r="I43" s="136"/>
      <c r="J43" s="155"/>
      <c r="K43" s="136"/>
      <c r="L43" s="155"/>
      <c r="M43" s="136"/>
      <c r="N43" s="155"/>
      <c r="O43" s="136"/>
      <c r="P43" s="155"/>
      <c r="Q43"/>
      <c r="R43"/>
      <c r="S43"/>
    </row>
    <row r="44" spans="1:20" ht="15.75" customHeight="1">
      <c r="D44" s="130"/>
      <c r="E44" s="130"/>
      <c r="F44" s="130"/>
      <c r="G44" s="130"/>
      <c r="H44" s="164" t="s">
        <v>223</v>
      </c>
      <c r="I44" s="130"/>
      <c r="J44" s="130"/>
      <c r="K44" s="130"/>
      <c r="L44" s="130"/>
      <c r="M44" s="130"/>
      <c r="N44" s="130"/>
      <c r="O44" s="130"/>
      <c r="P44" s="164" t="s">
        <v>1110</v>
      </c>
      <c r="Q44"/>
      <c r="R44"/>
      <c r="S44"/>
    </row>
    <row r="45" spans="1:20" ht="15.75" customHeight="1">
      <c r="A45" s="2" t="s">
        <v>98</v>
      </c>
      <c r="B45" s="181" t="s">
        <v>1147</v>
      </c>
      <c r="D45" s="164" t="s">
        <v>45</v>
      </c>
      <c r="E45" s="130"/>
      <c r="F45" s="1155" t="s">
        <v>1109</v>
      </c>
      <c r="G45" s="1156"/>
      <c r="H45" s="1155" t="s">
        <v>1109</v>
      </c>
      <c r="I45" s="1157"/>
      <c r="J45" s="1155" t="s">
        <v>1109</v>
      </c>
      <c r="K45" s="1157"/>
      <c r="L45" s="1155" t="s">
        <v>1109</v>
      </c>
      <c r="M45" s="1157"/>
      <c r="N45" s="1155" t="s">
        <v>1109</v>
      </c>
      <c r="O45" s="1157"/>
      <c r="P45" s="164" t="s">
        <v>101</v>
      </c>
      <c r="Q45"/>
      <c r="R45"/>
      <c r="S45"/>
    </row>
    <row r="46" spans="1:20" ht="15.75" customHeight="1">
      <c r="A46" s="9" t="s">
        <v>104</v>
      </c>
      <c r="B46" s="182" t="s">
        <v>224</v>
      </c>
      <c r="C46" s="6"/>
      <c r="D46" s="859" t="s">
        <v>553</v>
      </c>
      <c r="E46" s="1158"/>
      <c r="F46" s="859" t="s">
        <v>622</v>
      </c>
      <c r="G46" s="1159" t="s">
        <v>332</v>
      </c>
      <c r="H46" s="859" t="s">
        <v>479</v>
      </c>
      <c r="I46" s="1159" t="s">
        <v>332</v>
      </c>
      <c r="J46" s="859" t="s">
        <v>480</v>
      </c>
      <c r="K46" s="1159" t="s">
        <v>332</v>
      </c>
      <c r="L46" s="859" t="s">
        <v>481</v>
      </c>
      <c r="M46" s="1159" t="s">
        <v>332</v>
      </c>
      <c r="N46" s="859" t="s">
        <v>482</v>
      </c>
      <c r="O46" s="1159" t="s">
        <v>332</v>
      </c>
      <c r="P46" s="859" t="s">
        <v>486</v>
      </c>
      <c r="Q46"/>
      <c r="R46"/>
      <c r="S46"/>
    </row>
    <row r="47" spans="1:20" ht="15.75" customHeight="1">
      <c r="B47" s="11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/>
      <c r="R47"/>
      <c r="S47"/>
    </row>
    <row r="48" spans="1:20" ht="15.75" customHeight="1">
      <c r="A48" s="826">
        <f>A42+1</f>
        <v>29</v>
      </c>
      <c r="B48" s="819">
        <v>7590</v>
      </c>
      <c r="C48" s="1" t="s">
        <v>115</v>
      </c>
      <c r="D48" s="820">
        <f>'C.2.1 B'!D37</f>
        <v>0</v>
      </c>
      <c r="E48" s="820"/>
      <c r="F48" s="820" t="e">
        <v>#VALUE!</v>
      </c>
      <c r="G48" s="806"/>
      <c r="H48" s="820" t="e">
        <v>#VALUE!</v>
      </c>
      <c r="I48" s="820"/>
      <c r="J48" s="820" t="e">
        <v>#VALUE!</v>
      </c>
      <c r="K48" s="820"/>
      <c r="L48" s="820">
        <v>0</v>
      </c>
      <c r="M48" s="820"/>
      <c r="N48" s="820">
        <v>0</v>
      </c>
      <c r="O48" s="1160"/>
      <c r="P48" s="820" t="e">
        <f t="shared" ref="P48:P93" si="1">SUM(F48:O48)</f>
        <v>#VALUE!</v>
      </c>
      <c r="Q48"/>
      <c r="R48"/>
      <c r="S48"/>
      <c r="T48" s="819"/>
    </row>
    <row r="49" spans="1:21" ht="15.75" customHeight="1">
      <c r="A49" s="1008">
        <f t="shared" ref="A49:A93" si="2">A48+1</f>
        <v>30</v>
      </c>
      <c r="B49" s="819">
        <v>8140</v>
      </c>
      <c r="C49" s="1" t="s">
        <v>115</v>
      </c>
      <c r="D49" s="820">
        <f>'C.2.1 B'!D44</f>
        <v>-293.22558970371978</v>
      </c>
      <c r="E49" s="820"/>
      <c r="F49" s="820" t="e">
        <v>#VALUE!</v>
      </c>
      <c r="G49" s="806"/>
      <c r="H49" s="820" t="e">
        <v>#VALUE!</v>
      </c>
      <c r="I49" s="820"/>
      <c r="J49" s="820" t="e">
        <v>#VALUE!</v>
      </c>
      <c r="K49" s="820"/>
      <c r="L49" s="820">
        <v>0</v>
      </c>
      <c r="M49" s="820"/>
      <c r="N49" s="820"/>
      <c r="O49" s="1160"/>
      <c r="P49" s="820" t="e">
        <f t="shared" si="1"/>
        <v>#VALUE!</v>
      </c>
      <c r="Q49"/>
      <c r="R49"/>
      <c r="S49"/>
      <c r="T49" s="819"/>
    </row>
    <row r="50" spans="1:21" ht="15.75" customHeight="1">
      <c r="A50" s="1008">
        <f t="shared" si="2"/>
        <v>31</v>
      </c>
      <c r="B50" s="819">
        <v>8150</v>
      </c>
      <c r="C50" s="1" t="s">
        <v>236</v>
      </c>
      <c r="D50" s="820">
        <f>'C.2.1 B'!D45</f>
        <v>0</v>
      </c>
      <c r="E50" s="820"/>
      <c r="F50" s="820" t="e">
        <v>#VALUE!</v>
      </c>
      <c r="G50" s="806"/>
      <c r="H50" s="820" t="e">
        <v>#VALUE!</v>
      </c>
      <c r="I50" s="820"/>
      <c r="J50" s="820" t="e">
        <v>#VALUE!</v>
      </c>
      <c r="K50" s="820"/>
      <c r="L50" s="820">
        <v>0</v>
      </c>
      <c r="M50" s="820"/>
      <c r="N50" s="820">
        <v>0</v>
      </c>
      <c r="O50" s="1160"/>
      <c r="P50" s="820" t="e">
        <f t="shared" si="1"/>
        <v>#VALUE!</v>
      </c>
      <c r="Q50"/>
      <c r="R50"/>
      <c r="S50"/>
      <c r="T50" s="819"/>
    </row>
    <row r="51" spans="1:21" ht="15.75" customHeight="1">
      <c r="A51" s="1008">
        <f t="shared" si="2"/>
        <v>32</v>
      </c>
      <c r="B51" s="819">
        <v>8160</v>
      </c>
      <c r="C51" s="1" t="s">
        <v>116</v>
      </c>
      <c r="D51" s="820">
        <f>'C.2.1 B'!D46</f>
        <v>95658.498736967915</v>
      </c>
      <c r="E51" s="820"/>
      <c r="F51" s="820" t="e">
        <v>#VALUE!</v>
      </c>
      <c r="G51" s="806"/>
      <c r="H51" s="820" t="e">
        <v>#VALUE!</v>
      </c>
      <c r="I51" s="820"/>
      <c r="J51" s="820" t="e">
        <v>#VALUE!</v>
      </c>
      <c r="K51" s="820"/>
      <c r="L51" s="820">
        <v>0</v>
      </c>
      <c r="M51" s="820"/>
      <c r="N51" s="820">
        <v>0</v>
      </c>
      <c r="O51" s="820"/>
      <c r="P51" s="820" t="e">
        <f t="shared" si="1"/>
        <v>#VALUE!</v>
      </c>
      <c r="Q51"/>
      <c r="R51"/>
      <c r="S51"/>
      <c r="T51" s="819"/>
      <c r="U51" s="819"/>
    </row>
    <row r="52" spans="1:21" ht="15.75" customHeight="1">
      <c r="A52" s="826">
        <f t="shared" si="2"/>
        <v>33</v>
      </c>
      <c r="B52" s="819">
        <v>8170</v>
      </c>
      <c r="C52" s="1" t="s">
        <v>1213</v>
      </c>
      <c r="D52" s="820">
        <f>'C.2.1 B'!D47</f>
        <v>36987.207044918017</v>
      </c>
      <c r="E52" s="820"/>
      <c r="F52" s="820" t="e">
        <v>#VALUE!</v>
      </c>
      <c r="G52" s="806"/>
      <c r="H52" s="820" t="e">
        <v>#VALUE!</v>
      </c>
      <c r="I52" s="820"/>
      <c r="J52" s="820" t="e">
        <v>#VALUE!</v>
      </c>
      <c r="K52" s="820"/>
      <c r="L52" s="820">
        <v>0</v>
      </c>
      <c r="M52" s="820"/>
      <c r="N52" s="820">
        <v>0</v>
      </c>
      <c r="O52" s="820"/>
      <c r="P52" s="820" t="e">
        <f t="shared" si="1"/>
        <v>#VALUE!</v>
      </c>
      <c r="Q52"/>
      <c r="R52"/>
      <c r="S52"/>
      <c r="T52" s="819"/>
      <c r="U52" s="819"/>
    </row>
    <row r="53" spans="1:21" ht="15.75" customHeight="1">
      <c r="A53" s="826">
        <f t="shared" si="2"/>
        <v>34</v>
      </c>
      <c r="B53" s="819">
        <v>8180</v>
      </c>
      <c r="C53" s="1" t="s">
        <v>1214</v>
      </c>
      <c r="D53" s="820">
        <f>'C.2.1 B'!D48</f>
        <v>27287.909578191509</v>
      </c>
      <c r="E53" s="820"/>
      <c r="F53" s="820" t="e">
        <v>#VALUE!</v>
      </c>
      <c r="G53" s="806"/>
      <c r="H53" s="820" t="e">
        <v>#VALUE!</v>
      </c>
      <c r="I53" s="820"/>
      <c r="J53" s="820" t="e">
        <v>#VALUE!</v>
      </c>
      <c r="K53" s="820"/>
      <c r="L53" s="820">
        <v>0</v>
      </c>
      <c r="M53" s="820"/>
      <c r="N53" s="820">
        <v>0</v>
      </c>
      <c r="O53" s="820"/>
      <c r="P53" s="820" t="e">
        <f t="shared" si="1"/>
        <v>#VALUE!</v>
      </c>
      <c r="Q53"/>
      <c r="R53"/>
      <c r="S53"/>
      <c r="T53" s="819"/>
      <c r="U53" s="819"/>
    </row>
    <row r="54" spans="1:21" ht="15.75" customHeight="1">
      <c r="A54" s="826">
        <f t="shared" si="2"/>
        <v>35</v>
      </c>
      <c r="B54" s="819">
        <v>8190</v>
      </c>
      <c r="C54" s="1" t="s">
        <v>1061</v>
      </c>
      <c r="D54" s="820">
        <f>'C.2.1 B'!D49</f>
        <v>766.79321818353617</v>
      </c>
      <c r="E54" s="820"/>
      <c r="F54" s="820" t="e">
        <v>#VALUE!</v>
      </c>
      <c r="G54" s="806"/>
      <c r="H54" s="820" t="e">
        <v>#VALUE!</v>
      </c>
      <c r="I54" s="820"/>
      <c r="J54" s="820" t="e">
        <v>#VALUE!</v>
      </c>
      <c r="K54" s="820"/>
      <c r="L54" s="820">
        <v>0</v>
      </c>
      <c r="M54" s="820"/>
      <c r="N54" s="820">
        <v>0</v>
      </c>
      <c r="O54" s="820"/>
      <c r="P54" s="820" t="e">
        <f t="shared" si="1"/>
        <v>#VALUE!</v>
      </c>
      <c r="Q54"/>
      <c r="R54"/>
      <c r="S54"/>
      <c r="T54" s="819"/>
      <c r="U54" s="819"/>
    </row>
    <row r="55" spans="1:21" ht="15.75" customHeight="1">
      <c r="A55" s="826">
        <f t="shared" si="2"/>
        <v>36</v>
      </c>
      <c r="B55" s="819">
        <v>8200</v>
      </c>
      <c r="C55" s="1" t="s">
        <v>1062</v>
      </c>
      <c r="D55" s="820">
        <f>'C.2.1 B'!D50</f>
        <v>2891.6737903019375</v>
      </c>
      <c r="E55" s="820"/>
      <c r="F55" s="820" t="e">
        <v>#VALUE!</v>
      </c>
      <c r="G55" s="806"/>
      <c r="H55" s="820" t="e">
        <v>#VALUE!</v>
      </c>
      <c r="I55" s="820"/>
      <c r="J55" s="820" t="e">
        <v>#VALUE!</v>
      </c>
      <c r="K55" s="820"/>
      <c r="L55" s="820">
        <v>0</v>
      </c>
      <c r="M55" s="820"/>
      <c r="N55" s="820">
        <v>0</v>
      </c>
      <c r="O55" s="820"/>
      <c r="P55" s="820" t="e">
        <f t="shared" si="1"/>
        <v>#VALUE!</v>
      </c>
      <c r="Q55"/>
      <c r="R55"/>
      <c r="S55"/>
      <c r="T55" s="819"/>
      <c r="U55" s="819"/>
    </row>
    <row r="56" spans="1:21" ht="15.75" customHeight="1">
      <c r="A56" s="826">
        <f t="shared" si="2"/>
        <v>37</v>
      </c>
      <c r="B56" s="819">
        <v>8210</v>
      </c>
      <c r="C56" s="1" t="s">
        <v>1063</v>
      </c>
      <c r="D56" s="820">
        <f>'C.2.1 B'!D51</f>
        <v>49076.54180949743</v>
      </c>
      <c r="E56" s="820"/>
      <c r="F56" s="820" t="e">
        <v>#VALUE!</v>
      </c>
      <c r="G56" s="806"/>
      <c r="H56" s="820" t="e">
        <v>#VALUE!</v>
      </c>
      <c r="I56" s="1160"/>
      <c r="J56" s="820" t="e">
        <v>#VALUE!</v>
      </c>
      <c r="K56" s="820"/>
      <c r="L56" s="820">
        <v>0</v>
      </c>
      <c r="M56" s="820"/>
      <c r="N56" s="820">
        <v>0</v>
      </c>
      <c r="O56" s="820"/>
      <c r="P56" s="820" t="e">
        <f t="shared" si="1"/>
        <v>#VALUE!</v>
      </c>
      <c r="Q56"/>
      <c r="R56"/>
      <c r="S56"/>
      <c r="T56" s="819"/>
      <c r="U56" s="819"/>
    </row>
    <row r="57" spans="1:21" ht="15.75" customHeight="1">
      <c r="A57" s="826">
        <f t="shared" si="2"/>
        <v>38</v>
      </c>
      <c r="B57" s="819">
        <v>8240</v>
      </c>
      <c r="C57" s="1" t="s">
        <v>1064</v>
      </c>
      <c r="D57" s="820">
        <f>'C.2.1 B'!D52</f>
        <v>1397.6331672799963</v>
      </c>
      <c r="E57" s="820"/>
      <c r="F57" s="820" t="e">
        <v>#VALUE!</v>
      </c>
      <c r="G57" s="806"/>
      <c r="H57" s="820" t="e">
        <v>#VALUE!</v>
      </c>
      <c r="I57" s="1160"/>
      <c r="J57" s="820" t="e">
        <v>#VALUE!</v>
      </c>
      <c r="K57" s="1160"/>
      <c r="L57" s="820">
        <v>0</v>
      </c>
      <c r="M57" s="1160"/>
      <c r="N57" s="820">
        <v>0</v>
      </c>
      <c r="O57" s="820"/>
      <c r="P57" s="820" t="e">
        <f t="shared" si="1"/>
        <v>#VALUE!</v>
      </c>
      <c r="Q57"/>
      <c r="R57"/>
      <c r="S57"/>
      <c r="T57" s="819"/>
      <c r="U57" s="819"/>
    </row>
    <row r="58" spans="1:21" ht="15.75" customHeight="1">
      <c r="A58" s="826">
        <f t="shared" si="2"/>
        <v>39</v>
      </c>
      <c r="B58" s="819">
        <v>8250</v>
      </c>
      <c r="C58" s="1" t="s">
        <v>1065</v>
      </c>
      <c r="D58" s="820">
        <f>'C.2.1 B'!D53</f>
        <v>8589.4005238101036</v>
      </c>
      <c r="E58" s="820"/>
      <c r="F58" s="820" t="e">
        <v>#VALUE!</v>
      </c>
      <c r="G58" s="806"/>
      <c r="H58" s="820" t="e">
        <v>#VALUE!</v>
      </c>
      <c r="I58" s="1160"/>
      <c r="J58" s="820" t="e">
        <v>#VALUE!</v>
      </c>
      <c r="K58" s="1160"/>
      <c r="L58" s="820">
        <v>0</v>
      </c>
      <c r="M58" s="1160"/>
      <c r="N58" s="820">
        <v>0</v>
      </c>
      <c r="O58" s="1160"/>
      <c r="P58" s="820" t="e">
        <f t="shared" si="1"/>
        <v>#VALUE!</v>
      </c>
      <c r="Q58"/>
      <c r="R58"/>
      <c r="S58"/>
      <c r="T58" s="819"/>
      <c r="U58" s="819"/>
    </row>
    <row r="59" spans="1:21" ht="15.75" customHeight="1">
      <c r="A59" s="826">
        <f t="shared" si="2"/>
        <v>40</v>
      </c>
      <c r="B59" s="819">
        <v>8310</v>
      </c>
      <c r="C59" s="1" t="s">
        <v>1066</v>
      </c>
      <c r="D59" s="820">
        <f>'C.2.1 B'!D57</f>
        <v>4134.987636044435</v>
      </c>
      <c r="E59" s="820"/>
      <c r="F59" s="820" t="e">
        <v>#VALUE!</v>
      </c>
      <c r="G59" s="806"/>
      <c r="H59" s="820" t="e">
        <v>#VALUE!</v>
      </c>
      <c r="I59" s="1160"/>
      <c r="J59" s="820" t="e">
        <v>#VALUE!</v>
      </c>
      <c r="K59" s="1160"/>
      <c r="L59" s="820">
        <v>0</v>
      </c>
      <c r="M59" s="1160"/>
      <c r="N59" s="820">
        <v>0</v>
      </c>
      <c r="O59" s="820"/>
      <c r="P59" s="820" t="e">
        <f t="shared" si="1"/>
        <v>#VALUE!</v>
      </c>
      <c r="Q59"/>
      <c r="R59"/>
      <c r="S59"/>
      <c r="T59" s="819"/>
      <c r="U59" s="819"/>
    </row>
    <row r="60" spans="1:21" ht="15.75" customHeight="1">
      <c r="A60" s="826">
        <f t="shared" si="2"/>
        <v>41</v>
      </c>
      <c r="B60" s="819">
        <v>8320</v>
      </c>
      <c r="C60" s="1" t="s">
        <v>1067</v>
      </c>
      <c r="D60" s="820">
        <f>'C.2.1 B'!D58</f>
        <v>0</v>
      </c>
      <c r="E60" s="820"/>
      <c r="F60" s="820" t="e">
        <v>#VALUE!</v>
      </c>
      <c r="G60" s="806"/>
      <c r="H60" s="820" t="e">
        <v>#VALUE!</v>
      </c>
      <c r="I60" s="1160"/>
      <c r="J60" s="820" t="e">
        <v>#VALUE!</v>
      </c>
      <c r="K60" s="1160"/>
      <c r="L60" s="820">
        <v>0</v>
      </c>
      <c r="M60" s="1160"/>
      <c r="N60" s="820">
        <v>0</v>
      </c>
      <c r="O60" s="1160"/>
      <c r="P60" s="820" t="e">
        <f t="shared" si="1"/>
        <v>#VALUE!</v>
      </c>
      <c r="Q60"/>
      <c r="R60"/>
      <c r="S60"/>
      <c r="T60" s="819"/>
      <c r="U60" s="819"/>
    </row>
    <row r="61" spans="1:21" ht="15.75" customHeight="1">
      <c r="A61" s="826">
        <f t="shared" si="2"/>
        <v>42</v>
      </c>
      <c r="B61" s="819">
        <v>8340</v>
      </c>
      <c r="C61" s="1" t="s">
        <v>398</v>
      </c>
      <c r="D61" s="820">
        <f>'C.2.1 B'!D59</f>
        <v>3306.5601619777976</v>
      </c>
      <c r="E61" s="820"/>
      <c r="F61" s="820" t="e">
        <v>#VALUE!</v>
      </c>
      <c r="G61" s="806"/>
      <c r="H61" s="820" t="e">
        <v>#VALUE!</v>
      </c>
      <c r="I61" s="1160"/>
      <c r="J61" s="820" t="e">
        <v>#VALUE!</v>
      </c>
      <c r="K61" s="1160"/>
      <c r="L61" s="820">
        <v>0</v>
      </c>
      <c r="M61" s="1160"/>
      <c r="N61" s="820">
        <v>0</v>
      </c>
      <c r="O61" s="820"/>
      <c r="P61" s="820" t="e">
        <f t="shared" si="1"/>
        <v>#VALUE!</v>
      </c>
      <c r="Q61"/>
      <c r="R61"/>
      <c r="S61"/>
      <c r="T61" s="819"/>
      <c r="U61" s="819"/>
    </row>
    <row r="62" spans="1:21" ht="15.75" customHeight="1">
      <c r="A62" s="826">
        <f t="shared" si="2"/>
        <v>43</v>
      </c>
      <c r="B62" s="819">
        <v>8350</v>
      </c>
      <c r="C62" s="1" t="s">
        <v>240</v>
      </c>
      <c r="D62" s="820">
        <f>'C.2.1 B'!D60</f>
        <v>2428.3798467142192</v>
      </c>
      <c r="E62" s="820"/>
      <c r="F62" s="820" t="e">
        <v>#VALUE!</v>
      </c>
      <c r="G62" s="806"/>
      <c r="H62" s="820" t="e">
        <v>#VALUE!</v>
      </c>
      <c r="I62" s="1160"/>
      <c r="J62" s="820" t="e">
        <v>#VALUE!</v>
      </c>
      <c r="K62" s="820"/>
      <c r="L62" s="820">
        <v>0</v>
      </c>
      <c r="M62" s="1160"/>
      <c r="N62" s="820">
        <v>0</v>
      </c>
      <c r="O62" s="1160"/>
      <c r="P62" s="820" t="e">
        <f t="shared" si="1"/>
        <v>#VALUE!</v>
      </c>
      <c r="Q62"/>
      <c r="R62"/>
      <c r="S62"/>
      <c r="T62" s="819"/>
      <c r="U62" s="819"/>
    </row>
    <row r="63" spans="1:21" ht="15.75" customHeight="1">
      <c r="A63" s="826">
        <f t="shared" si="2"/>
        <v>44</v>
      </c>
      <c r="B63" s="819">
        <v>8360</v>
      </c>
      <c r="C63" s="1" t="s">
        <v>241</v>
      </c>
      <c r="D63" s="820">
        <f>'C.2.1 B'!D61</f>
        <v>247.95867076704832</v>
      </c>
      <c r="E63" s="820"/>
      <c r="F63" s="820" t="e">
        <v>#VALUE!</v>
      </c>
      <c r="G63" s="806"/>
      <c r="H63" s="820" t="e">
        <v>#VALUE!</v>
      </c>
      <c r="I63" s="1160"/>
      <c r="J63" s="820" t="e">
        <v>#VALUE!</v>
      </c>
      <c r="K63" s="820"/>
      <c r="L63" s="820">
        <v>0</v>
      </c>
      <c r="M63" s="1160"/>
      <c r="N63" s="820">
        <v>0</v>
      </c>
      <c r="O63" s="1160"/>
      <c r="P63" s="820" t="e">
        <f t="shared" si="1"/>
        <v>#VALUE!</v>
      </c>
      <c r="Q63"/>
      <c r="R63"/>
      <c r="S63"/>
      <c r="T63" s="819"/>
      <c r="U63" s="819"/>
    </row>
    <row r="64" spans="1:21" ht="15.75" customHeight="1">
      <c r="A64" s="1008">
        <f t="shared" si="2"/>
        <v>45</v>
      </c>
      <c r="B64" s="819">
        <v>8370</v>
      </c>
      <c r="C64" s="95" t="s">
        <v>1433</v>
      </c>
      <c r="D64" s="820">
        <f>'C.2.1 B'!D62</f>
        <v>0</v>
      </c>
      <c r="E64" s="820"/>
      <c r="F64" s="820" t="e">
        <v>#VALUE!</v>
      </c>
      <c r="G64" s="806"/>
      <c r="H64" s="820" t="e">
        <v>#VALUE!</v>
      </c>
      <c r="I64" s="1160"/>
      <c r="J64" s="820" t="e">
        <v>#VALUE!</v>
      </c>
      <c r="K64" s="820"/>
      <c r="L64" s="820">
        <v>0</v>
      </c>
      <c r="M64" s="1160"/>
      <c r="N64" s="820"/>
      <c r="O64" s="1160"/>
      <c r="P64" s="820" t="e">
        <f t="shared" si="1"/>
        <v>#VALUE!</v>
      </c>
      <c r="Q64"/>
      <c r="R64"/>
      <c r="S64"/>
      <c r="T64" s="819"/>
      <c r="U64" s="819"/>
    </row>
    <row r="65" spans="1:21" ht="15.75" customHeight="1">
      <c r="A65" s="1008">
        <f t="shared" si="2"/>
        <v>46</v>
      </c>
      <c r="B65" s="819">
        <v>8400</v>
      </c>
      <c r="C65" s="1" t="s">
        <v>488</v>
      </c>
      <c r="D65" s="820">
        <v>0</v>
      </c>
      <c r="E65" s="820"/>
      <c r="F65" s="820" t="e">
        <v>#VALUE!</v>
      </c>
      <c r="G65" s="806"/>
      <c r="H65" s="820" t="e">
        <v>#VALUE!</v>
      </c>
      <c r="I65" s="1160"/>
      <c r="J65" s="820" t="e">
        <v>#VALUE!</v>
      </c>
      <c r="K65" s="820"/>
      <c r="L65" s="820">
        <v>0</v>
      </c>
      <c r="M65" s="1160"/>
      <c r="N65" s="820">
        <v>0</v>
      </c>
      <c r="O65" s="1160"/>
      <c r="P65" s="820" t="e">
        <f t="shared" si="1"/>
        <v>#VALUE!</v>
      </c>
      <c r="Q65"/>
      <c r="R65"/>
      <c r="S65"/>
      <c r="T65" s="819"/>
      <c r="U65" s="819"/>
    </row>
    <row r="66" spans="1:21" ht="15.75" customHeight="1">
      <c r="A66" s="1008">
        <f t="shared" si="2"/>
        <v>47</v>
      </c>
      <c r="B66" s="819">
        <v>8410</v>
      </c>
      <c r="C66" s="1" t="s">
        <v>242</v>
      </c>
      <c r="D66" s="820">
        <f>'C.2.1 B'!D63</f>
        <v>129928.23603452992</v>
      </c>
      <c r="E66" s="820"/>
      <c r="F66" s="820" t="e">
        <v>#VALUE!</v>
      </c>
      <c r="G66" s="806"/>
      <c r="H66" s="820" t="e">
        <v>#VALUE!</v>
      </c>
      <c r="I66" s="1160"/>
      <c r="J66" s="820" t="e">
        <v>#VALUE!</v>
      </c>
      <c r="K66" s="820"/>
      <c r="L66" s="820">
        <v>0</v>
      </c>
      <c r="M66" s="1160"/>
      <c r="N66" s="820">
        <v>0</v>
      </c>
      <c r="O66" s="1160"/>
      <c r="P66" s="820" t="e">
        <f t="shared" si="1"/>
        <v>#VALUE!</v>
      </c>
      <c r="Q66"/>
      <c r="R66"/>
      <c r="S66"/>
      <c r="T66" s="819"/>
      <c r="U66" s="819"/>
    </row>
    <row r="67" spans="1:21" ht="15.75" customHeight="1">
      <c r="A67" s="826">
        <f t="shared" si="2"/>
        <v>48</v>
      </c>
      <c r="B67" s="819">
        <v>8470</v>
      </c>
      <c r="C67" s="1" t="s">
        <v>243</v>
      </c>
      <c r="D67" s="820">
        <v>0</v>
      </c>
      <c r="E67" s="820"/>
      <c r="F67" s="820" t="e">
        <v>#VALUE!</v>
      </c>
      <c r="G67" s="806"/>
      <c r="H67" s="820" t="e">
        <v>#VALUE!</v>
      </c>
      <c r="I67" s="1160"/>
      <c r="J67" s="820" t="e">
        <v>#VALUE!</v>
      </c>
      <c r="K67" s="820"/>
      <c r="L67" s="820">
        <v>0</v>
      </c>
      <c r="M67" s="1160"/>
      <c r="N67" s="820">
        <v>0</v>
      </c>
      <c r="O67" s="1160"/>
      <c r="P67" s="820" t="e">
        <f t="shared" si="1"/>
        <v>#VALUE!</v>
      </c>
      <c r="Q67"/>
      <c r="R67"/>
      <c r="S67"/>
      <c r="T67" s="819"/>
      <c r="U67" s="819"/>
    </row>
    <row r="68" spans="1:21" ht="15.75" customHeight="1">
      <c r="A68" s="826">
        <f t="shared" si="2"/>
        <v>49</v>
      </c>
      <c r="B68" s="819">
        <v>8500</v>
      </c>
      <c r="C68" s="1" t="s">
        <v>245</v>
      </c>
      <c r="D68" s="820">
        <f>'C.2.1 B'!D67</f>
        <v>0</v>
      </c>
      <c r="E68" s="820"/>
      <c r="F68" s="820" t="e">
        <v>#VALUE!</v>
      </c>
      <c r="G68" s="806"/>
      <c r="H68" s="820" t="e">
        <v>#VALUE!</v>
      </c>
      <c r="I68" s="1160"/>
      <c r="J68" s="820" t="e">
        <v>#VALUE!</v>
      </c>
      <c r="K68" s="820"/>
      <c r="L68" s="820">
        <v>0</v>
      </c>
      <c r="M68" s="1160"/>
      <c r="N68" s="820">
        <v>0</v>
      </c>
      <c r="O68" s="1160"/>
      <c r="P68" s="820" t="e">
        <f t="shared" si="1"/>
        <v>#VALUE!</v>
      </c>
      <c r="Q68"/>
      <c r="R68"/>
      <c r="S68"/>
      <c r="T68" s="819"/>
      <c r="U68" s="819"/>
    </row>
    <row r="69" spans="1:21" ht="15.75" customHeight="1">
      <c r="A69" s="1008">
        <f t="shared" si="2"/>
        <v>50</v>
      </c>
      <c r="B69" s="819">
        <v>8520</v>
      </c>
      <c r="C69" s="119" t="s">
        <v>1434</v>
      </c>
      <c r="D69" s="820">
        <f>'C.2.1 B'!D68</f>
        <v>0</v>
      </c>
      <c r="E69" s="820"/>
      <c r="F69" s="820" t="e">
        <v>#VALUE!</v>
      </c>
      <c r="G69" s="806"/>
      <c r="H69" s="820" t="e">
        <v>#VALUE!</v>
      </c>
      <c r="I69" s="1160"/>
      <c r="J69" s="820" t="e">
        <v>#VALUE!</v>
      </c>
      <c r="K69" s="820"/>
      <c r="L69" s="820">
        <v>0</v>
      </c>
      <c r="M69" s="1160"/>
      <c r="N69" s="820"/>
      <c r="O69" s="1160"/>
      <c r="P69" s="820" t="e">
        <f t="shared" si="1"/>
        <v>#VALUE!</v>
      </c>
      <c r="Q69"/>
      <c r="R69"/>
      <c r="S69"/>
      <c r="T69" s="819"/>
      <c r="U69" s="819"/>
    </row>
    <row r="70" spans="1:21" ht="15.75" customHeight="1">
      <c r="A70" s="1064"/>
      <c r="B70" s="819">
        <v>8550</v>
      </c>
      <c r="C70" s="119" t="s">
        <v>1462</v>
      </c>
      <c r="D70" s="820">
        <f>'C.2.1 B'!D69</f>
        <v>55.301854638960194</v>
      </c>
      <c r="E70" s="820"/>
      <c r="F70" s="820" t="e">
        <v>#VALUE!</v>
      </c>
      <c r="G70" s="806"/>
      <c r="H70" s="820" t="e">
        <v>#VALUE!</v>
      </c>
      <c r="I70" s="1160"/>
      <c r="J70" s="820" t="e">
        <v>#VALUE!</v>
      </c>
      <c r="K70" s="820"/>
      <c r="L70" s="820"/>
      <c r="M70" s="1160"/>
      <c r="N70" s="820"/>
      <c r="O70" s="1160"/>
      <c r="P70" s="820"/>
      <c r="Q70" s="1055"/>
      <c r="R70" s="1055"/>
      <c r="S70" s="1055"/>
      <c r="T70" s="819"/>
      <c r="U70" s="819"/>
    </row>
    <row r="71" spans="1:21" ht="15.75" customHeight="1">
      <c r="A71" s="1008">
        <f>A69+1</f>
        <v>51</v>
      </c>
      <c r="B71" s="819">
        <v>8560</v>
      </c>
      <c r="C71" s="1" t="s">
        <v>246</v>
      </c>
      <c r="D71" s="820">
        <f>'C.2.1 B'!D70</f>
        <v>316656.97825095349</v>
      </c>
      <c r="E71" s="820"/>
      <c r="F71" s="820" t="e">
        <v>#VALUE!</v>
      </c>
      <c r="G71" s="806"/>
      <c r="H71" s="820" t="e">
        <v>#VALUE!</v>
      </c>
      <c r="I71" s="1160"/>
      <c r="J71" s="820" t="e">
        <v>#VALUE!</v>
      </c>
      <c r="K71" s="820"/>
      <c r="L71" s="820">
        <v>0</v>
      </c>
      <c r="M71" s="1160"/>
      <c r="N71" s="820">
        <v>0</v>
      </c>
      <c r="O71" s="1160"/>
      <c r="P71" s="820" t="e">
        <f t="shared" si="1"/>
        <v>#VALUE!</v>
      </c>
      <c r="Q71"/>
      <c r="R71"/>
      <c r="S71"/>
      <c r="T71" s="819"/>
      <c r="U71" s="819"/>
    </row>
    <row r="72" spans="1:21" ht="15.75" customHeight="1">
      <c r="A72" s="1008">
        <f t="shared" si="2"/>
        <v>52</v>
      </c>
      <c r="B72" s="819">
        <v>8570</v>
      </c>
      <c r="C72" s="1" t="s">
        <v>247</v>
      </c>
      <c r="D72" s="820">
        <f>'C.2.1 B'!D71</f>
        <v>34521.182853303595</v>
      </c>
      <c r="E72" s="820"/>
      <c r="F72" s="820" t="e">
        <v>#VALUE!</v>
      </c>
      <c r="G72" s="806"/>
      <c r="H72" s="820" t="e">
        <v>#VALUE!</v>
      </c>
      <c r="I72" s="820"/>
      <c r="J72" s="820" t="e">
        <v>#VALUE!</v>
      </c>
      <c r="K72" s="820"/>
      <c r="L72" s="820">
        <v>0</v>
      </c>
      <c r="M72" s="820"/>
      <c r="N72" s="820">
        <v>0</v>
      </c>
      <c r="O72" s="1160"/>
      <c r="P72" s="820" t="e">
        <f t="shared" si="1"/>
        <v>#VALUE!</v>
      </c>
      <c r="Q72"/>
      <c r="R72"/>
      <c r="S72"/>
      <c r="T72" s="819"/>
      <c r="U72" s="819"/>
    </row>
    <row r="73" spans="1:21" ht="15.75" customHeight="1">
      <c r="A73" s="826">
        <f>A72+1</f>
        <v>53</v>
      </c>
      <c r="B73" s="819">
        <v>8590</v>
      </c>
      <c r="C73" s="1" t="s">
        <v>248</v>
      </c>
      <c r="D73" s="820">
        <f>'C.2.1 B'!D72</f>
        <v>0</v>
      </c>
      <c r="E73" s="820"/>
      <c r="F73" s="820" t="e">
        <v>#VALUE!</v>
      </c>
      <c r="G73" s="806"/>
      <c r="H73" s="820" t="e">
        <v>#VALUE!</v>
      </c>
      <c r="I73" s="820"/>
      <c r="J73" s="820" t="e">
        <v>#VALUE!</v>
      </c>
      <c r="K73" s="820"/>
      <c r="L73" s="820">
        <v>0</v>
      </c>
      <c r="M73" s="820"/>
      <c r="N73" s="820">
        <v>0</v>
      </c>
      <c r="O73" s="820"/>
      <c r="P73" s="820" t="e">
        <f t="shared" si="1"/>
        <v>#VALUE!</v>
      </c>
      <c r="Q73"/>
      <c r="R73"/>
      <c r="S73"/>
      <c r="T73" s="819"/>
      <c r="U73" s="819"/>
    </row>
    <row r="74" spans="1:21" ht="15.75" customHeight="1">
      <c r="A74" s="826">
        <f t="shared" si="2"/>
        <v>54</v>
      </c>
      <c r="B74" s="819">
        <v>8600</v>
      </c>
      <c r="C74" s="1" t="s">
        <v>237</v>
      </c>
      <c r="D74" s="820">
        <f>'C.2.1 B'!D73</f>
        <v>0</v>
      </c>
      <c r="E74" s="820"/>
      <c r="F74" s="820" t="e">
        <v>#VALUE!</v>
      </c>
      <c r="G74" s="806"/>
      <c r="H74" s="820" t="e">
        <v>#VALUE!</v>
      </c>
      <c r="I74" s="820"/>
      <c r="J74" s="820" t="e">
        <v>#VALUE!</v>
      </c>
      <c r="K74" s="820"/>
      <c r="L74" s="820">
        <v>0</v>
      </c>
      <c r="M74" s="820"/>
      <c r="N74" s="820">
        <v>0</v>
      </c>
      <c r="O74" s="820"/>
      <c r="P74" s="820" t="e">
        <f t="shared" si="1"/>
        <v>#VALUE!</v>
      </c>
      <c r="Q74"/>
      <c r="R74"/>
      <c r="S74"/>
      <c r="T74" s="819"/>
      <c r="U74" s="819"/>
    </row>
    <row r="75" spans="1:21" ht="15.75" customHeight="1">
      <c r="A75" s="826">
        <f t="shared" si="2"/>
        <v>55</v>
      </c>
      <c r="B75" s="819">
        <v>8620</v>
      </c>
      <c r="C75" s="1" t="s">
        <v>249</v>
      </c>
      <c r="D75" s="820">
        <f>'C.2.1 B'!D77</f>
        <v>0</v>
      </c>
      <c r="E75" s="820"/>
      <c r="F75" s="820" t="e">
        <v>#VALUE!</v>
      </c>
      <c r="G75" s="806"/>
      <c r="H75" s="820" t="e">
        <v>#VALUE!</v>
      </c>
      <c r="I75" s="820"/>
      <c r="J75" s="820" t="e">
        <v>#VALUE!</v>
      </c>
      <c r="K75" s="820"/>
      <c r="L75" s="820">
        <v>0</v>
      </c>
      <c r="M75" s="820"/>
      <c r="N75" s="820">
        <v>0</v>
      </c>
      <c r="O75" s="820"/>
      <c r="P75" s="820" t="e">
        <f t="shared" si="1"/>
        <v>#VALUE!</v>
      </c>
      <c r="Q75"/>
      <c r="R75"/>
      <c r="S75"/>
      <c r="T75" s="819"/>
      <c r="U75" s="819"/>
    </row>
    <row r="76" spans="1:21" ht="15.75" customHeight="1">
      <c r="A76" s="826">
        <f t="shared" si="2"/>
        <v>56</v>
      </c>
      <c r="B76" s="819">
        <v>8630</v>
      </c>
      <c r="C76" s="1" t="s">
        <v>250</v>
      </c>
      <c r="D76" s="820">
        <f>'C.2.1 B'!D78</f>
        <v>5912.3313289077478</v>
      </c>
      <c r="E76" s="820"/>
      <c r="F76" s="820" t="e">
        <v>#VALUE!</v>
      </c>
      <c r="G76" s="806"/>
      <c r="H76" s="820" t="e">
        <v>#VALUE!</v>
      </c>
      <c r="I76" s="1160"/>
      <c r="J76" s="820" t="e">
        <v>#VALUE!</v>
      </c>
      <c r="K76" s="820"/>
      <c r="L76" s="820">
        <v>0</v>
      </c>
      <c r="M76" s="1160"/>
      <c r="N76" s="820">
        <v>0</v>
      </c>
      <c r="O76" s="1160"/>
      <c r="P76" s="820" t="e">
        <f t="shared" si="1"/>
        <v>#VALUE!</v>
      </c>
      <c r="Q76"/>
      <c r="R76"/>
      <c r="S76"/>
      <c r="T76" s="819"/>
      <c r="U76" s="819"/>
    </row>
    <row r="77" spans="1:21" ht="15.75" customHeight="1">
      <c r="A77" s="826">
        <f t="shared" si="2"/>
        <v>57</v>
      </c>
      <c r="B77" s="819">
        <v>8640</v>
      </c>
      <c r="C77" s="1" t="s">
        <v>251</v>
      </c>
      <c r="D77" s="820">
        <f>'C.2.1 B'!D79</f>
        <v>0</v>
      </c>
      <c r="E77" s="820"/>
      <c r="F77" s="820" t="e">
        <v>#VALUE!</v>
      </c>
      <c r="G77" s="806"/>
      <c r="H77" s="820" t="e">
        <v>#VALUE!</v>
      </c>
      <c r="I77" s="1160"/>
      <c r="J77" s="820" t="e">
        <v>#VALUE!</v>
      </c>
      <c r="K77" s="820"/>
      <c r="L77" s="820">
        <v>0</v>
      </c>
      <c r="M77" s="1160"/>
      <c r="N77" s="820">
        <v>0</v>
      </c>
      <c r="O77" s="1160"/>
      <c r="P77" s="820" t="e">
        <f t="shared" si="1"/>
        <v>#VALUE!</v>
      </c>
      <c r="Q77"/>
      <c r="R77"/>
      <c r="S77"/>
      <c r="T77" s="819"/>
      <c r="U77" s="819"/>
    </row>
    <row r="78" spans="1:21" ht="15.75" customHeight="1">
      <c r="A78" s="826">
        <f t="shared" si="2"/>
        <v>58</v>
      </c>
      <c r="B78" s="819">
        <v>8650</v>
      </c>
      <c r="C78" s="1" t="s">
        <v>252</v>
      </c>
      <c r="D78" s="820">
        <f>'C.2.1 B'!D80</f>
        <v>5807.7109373173216</v>
      </c>
      <c r="E78" s="820"/>
      <c r="F78" s="820" t="e">
        <v>#VALUE!</v>
      </c>
      <c r="G78" s="806"/>
      <c r="H78" s="820" t="e">
        <v>#VALUE!</v>
      </c>
      <c r="I78" s="1160"/>
      <c r="J78" s="820" t="e">
        <v>#VALUE!</v>
      </c>
      <c r="K78" s="820"/>
      <c r="L78" s="820">
        <v>0</v>
      </c>
      <c r="M78" s="1160"/>
      <c r="N78" s="820">
        <v>0</v>
      </c>
      <c r="O78" s="1160"/>
      <c r="P78" s="820" t="e">
        <f t="shared" si="1"/>
        <v>#VALUE!</v>
      </c>
      <c r="Q78"/>
      <c r="R78"/>
      <c r="S78"/>
      <c r="T78" s="819"/>
      <c r="U78" s="819"/>
    </row>
    <row r="79" spans="1:21" ht="15.75" customHeight="1">
      <c r="A79" s="826">
        <f t="shared" si="2"/>
        <v>59</v>
      </c>
      <c r="B79" s="819">
        <v>8670</v>
      </c>
      <c r="C79" s="1" t="s">
        <v>253</v>
      </c>
      <c r="D79" s="820">
        <f>'C.2.1 B'!D81</f>
        <v>0</v>
      </c>
      <c r="E79" s="820"/>
      <c r="F79" s="820" t="e">
        <v>#VALUE!</v>
      </c>
      <c r="G79" s="806"/>
      <c r="H79" s="820" t="e">
        <v>#VALUE!</v>
      </c>
      <c r="I79" s="1160"/>
      <c r="J79" s="820" t="e">
        <v>#VALUE!</v>
      </c>
      <c r="K79" s="820"/>
      <c r="L79" s="820">
        <v>0</v>
      </c>
      <c r="M79" s="1160"/>
      <c r="N79" s="820">
        <v>0</v>
      </c>
      <c r="O79" s="1160"/>
      <c r="P79" s="820" t="e">
        <f t="shared" si="1"/>
        <v>#VALUE!</v>
      </c>
      <c r="Q79"/>
      <c r="R79"/>
      <c r="S79"/>
      <c r="T79" s="819"/>
      <c r="U79" s="819"/>
    </row>
    <row r="80" spans="1:21" ht="15.75" customHeight="1">
      <c r="A80" s="826">
        <f t="shared" si="2"/>
        <v>60</v>
      </c>
      <c r="B80" s="819">
        <v>8700</v>
      </c>
      <c r="C80" s="1" t="s">
        <v>254</v>
      </c>
      <c r="D80" s="820">
        <f>'C.2.1 B'!D107</f>
        <v>1183789.4569059813</v>
      </c>
      <c r="E80" s="820"/>
      <c r="F80" s="820" t="e">
        <v>#VALUE!</v>
      </c>
      <c r="G80" s="806"/>
      <c r="H80" s="820" t="e">
        <v>#VALUE!</v>
      </c>
      <c r="I80" s="1160"/>
      <c r="J80" s="820" t="e">
        <v>#VALUE!</v>
      </c>
      <c r="K80" s="820"/>
      <c r="L80" s="820">
        <v>0</v>
      </c>
      <c r="M80" s="1160"/>
      <c r="N80" s="820">
        <v>0</v>
      </c>
      <c r="O80" s="1160"/>
      <c r="P80" s="820" t="e">
        <f t="shared" si="1"/>
        <v>#VALUE!</v>
      </c>
      <c r="Q80"/>
      <c r="R80"/>
      <c r="S80"/>
      <c r="T80" s="819"/>
      <c r="U80" s="819"/>
    </row>
    <row r="81" spans="1:21" ht="15.75" customHeight="1">
      <c r="A81" s="826">
        <f t="shared" si="2"/>
        <v>61</v>
      </c>
      <c r="B81" s="819">
        <v>8710</v>
      </c>
      <c r="C81" s="1" t="s">
        <v>255</v>
      </c>
      <c r="D81" s="820">
        <f>'C.2.1 B'!D108</f>
        <v>1954.0543321693435</v>
      </c>
      <c r="E81" s="820"/>
      <c r="F81" s="820" t="e">
        <v>#VALUE!</v>
      </c>
      <c r="G81" s="806"/>
      <c r="H81" s="820" t="e">
        <v>#VALUE!</v>
      </c>
      <c r="I81" s="1160"/>
      <c r="J81" s="820" t="e">
        <v>#VALUE!</v>
      </c>
      <c r="K81" s="820"/>
      <c r="L81" s="820">
        <v>0</v>
      </c>
      <c r="M81" s="1160"/>
      <c r="N81" s="820">
        <v>0</v>
      </c>
      <c r="O81" s="1160"/>
      <c r="P81" s="820" t="e">
        <f t="shared" si="1"/>
        <v>#VALUE!</v>
      </c>
      <c r="Q81"/>
      <c r="R81"/>
      <c r="S81"/>
      <c r="T81" s="819"/>
      <c r="U81" s="819"/>
    </row>
    <row r="82" spans="1:21" ht="15.75" customHeight="1">
      <c r="A82" s="826">
        <f t="shared" si="2"/>
        <v>62</v>
      </c>
      <c r="B82" s="819">
        <v>8711</v>
      </c>
      <c r="C82" s="1" t="s">
        <v>238</v>
      </c>
      <c r="D82" s="820">
        <f>'C.2.1 B'!D109</f>
        <v>10649.634147097708</v>
      </c>
      <c r="E82" s="820"/>
      <c r="F82" s="820" t="e">
        <v>#VALUE!</v>
      </c>
      <c r="G82" s="806"/>
      <c r="H82" s="820" t="e">
        <v>#VALUE!</v>
      </c>
      <c r="I82" s="1160"/>
      <c r="J82" s="820" t="e">
        <v>#VALUE!</v>
      </c>
      <c r="K82" s="820"/>
      <c r="L82" s="820">
        <v>0</v>
      </c>
      <c r="M82" s="1160"/>
      <c r="N82" s="820">
        <v>0</v>
      </c>
      <c r="O82" s="1160"/>
      <c r="P82" s="820" t="e">
        <f t="shared" si="1"/>
        <v>#VALUE!</v>
      </c>
      <c r="Q82"/>
      <c r="R82"/>
      <c r="S82"/>
      <c r="T82" s="819"/>
      <c r="U82" s="819"/>
    </row>
    <row r="83" spans="1:21" ht="15.75" customHeight="1">
      <c r="A83" s="826">
        <f t="shared" si="2"/>
        <v>63</v>
      </c>
      <c r="B83" s="819">
        <v>8720</v>
      </c>
      <c r="C83" s="1" t="s">
        <v>256</v>
      </c>
      <c r="D83" s="820">
        <f>'C.2.1 B'!D110</f>
        <v>0</v>
      </c>
      <c r="E83" s="820"/>
      <c r="F83" s="820" t="e">
        <v>#VALUE!</v>
      </c>
      <c r="G83" s="806"/>
      <c r="H83" s="820" t="e">
        <v>#VALUE!</v>
      </c>
      <c r="I83" s="1160"/>
      <c r="J83" s="820" t="e">
        <v>#VALUE!</v>
      </c>
      <c r="K83" s="820"/>
      <c r="L83" s="820">
        <v>0</v>
      </c>
      <c r="M83" s="1160"/>
      <c r="N83" s="820">
        <v>0</v>
      </c>
      <c r="O83" s="1160"/>
      <c r="P83" s="820" t="e">
        <f t="shared" si="1"/>
        <v>#VALUE!</v>
      </c>
      <c r="Q83"/>
      <c r="R83"/>
      <c r="S83"/>
      <c r="T83" s="819"/>
      <c r="U83" s="819"/>
    </row>
    <row r="84" spans="1:21" ht="15.75" customHeight="1">
      <c r="A84" s="826">
        <f t="shared" si="2"/>
        <v>64</v>
      </c>
      <c r="B84" s="819">
        <v>8740</v>
      </c>
      <c r="C84" s="1" t="s">
        <v>257</v>
      </c>
      <c r="D84" s="820">
        <f>'C.2.1 B'!D111</f>
        <v>3723991.9424460223</v>
      </c>
      <c r="E84" s="820"/>
      <c r="F84" s="820" t="e">
        <v>#VALUE!</v>
      </c>
      <c r="G84" s="806"/>
      <c r="H84" s="820" t="e">
        <v>#VALUE!</v>
      </c>
      <c r="I84" s="1160"/>
      <c r="J84" s="820" t="e">
        <v>#VALUE!</v>
      </c>
      <c r="K84" s="820"/>
      <c r="L84" s="820">
        <v>0</v>
      </c>
      <c r="M84" s="1160"/>
      <c r="N84" s="820">
        <v>0</v>
      </c>
      <c r="O84" s="1160"/>
      <c r="P84" s="820" t="e">
        <f t="shared" si="1"/>
        <v>#VALUE!</v>
      </c>
      <c r="Q84"/>
      <c r="R84"/>
      <c r="S84"/>
      <c r="T84" s="819"/>
      <c r="U84" s="819"/>
    </row>
    <row r="85" spans="1:21" ht="15.75" customHeight="1">
      <c r="A85" s="826">
        <f t="shared" si="2"/>
        <v>65</v>
      </c>
      <c r="B85" s="819">
        <v>8750</v>
      </c>
      <c r="C85" s="1" t="s">
        <v>258</v>
      </c>
      <c r="D85" s="820">
        <f>'C.2.1 B'!D112</f>
        <v>398999.7802270184</v>
      </c>
      <c r="E85" s="820"/>
      <c r="F85" s="820" t="e">
        <v>#VALUE!</v>
      </c>
      <c r="G85" s="806"/>
      <c r="H85" s="820" t="e">
        <v>#VALUE!</v>
      </c>
      <c r="I85" s="1160"/>
      <c r="J85" s="820" t="e">
        <v>#VALUE!</v>
      </c>
      <c r="K85" s="820"/>
      <c r="L85" s="820">
        <v>0</v>
      </c>
      <c r="M85" s="1160"/>
      <c r="N85" s="820">
        <v>0</v>
      </c>
      <c r="O85" s="1160"/>
      <c r="P85" s="820" t="e">
        <f t="shared" si="1"/>
        <v>#VALUE!</v>
      </c>
      <c r="Q85"/>
      <c r="R85"/>
      <c r="S85"/>
      <c r="T85" s="819"/>
      <c r="U85" s="819"/>
    </row>
    <row r="86" spans="1:21" ht="15.75" customHeight="1">
      <c r="A86" s="826">
        <f t="shared" si="2"/>
        <v>66</v>
      </c>
      <c r="B86" s="819">
        <v>8760</v>
      </c>
      <c r="C86" s="1" t="s">
        <v>669</v>
      </c>
      <c r="D86" s="820">
        <f>'C.2.1 B'!D113</f>
        <v>33534.792112589414</v>
      </c>
      <c r="E86" s="820"/>
      <c r="F86" s="820" t="e">
        <v>#VALUE!</v>
      </c>
      <c r="G86" s="806"/>
      <c r="H86" s="820" t="e">
        <v>#VALUE!</v>
      </c>
      <c r="I86" s="820"/>
      <c r="J86" s="820" t="e">
        <v>#VALUE!</v>
      </c>
      <c r="K86" s="820"/>
      <c r="L86" s="820">
        <v>0</v>
      </c>
      <c r="M86" s="820"/>
      <c r="N86" s="820">
        <v>0</v>
      </c>
      <c r="O86" s="1160"/>
      <c r="P86" s="820" t="e">
        <f t="shared" si="1"/>
        <v>#VALUE!</v>
      </c>
      <c r="Q86"/>
      <c r="R86"/>
      <c r="S86"/>
      <c r="T86" s="819"/>
      <c r="U86" s="819"/>
    </row>
    <row r="87" spans="1:21" ht="15.75" customHeight="1">
      <c r="A87" s="826">
        <f t="shared" si="2"/>
        <v>67</v>
      </c>
      <c r="B87" s="819">
        <v>8770</v>
      </c>
      <c r="C87" s="1" t="s">
        <v>670</v>
      </c>
      <c r="D87" s="820">
        <f>'C.2.1 B'!D114</f>
        <v>124129.98170099156</v>
      </c>
      <c r="E87" s="820"/>
      <c r="F87" s="820" t="e">
        <v>#VALUE!</v>
      </c>
      <c r="G87" s="806"/>
      <c r="H87" s="820" t="e">
        <v>#VALUE!</v>
      </c>
      <c r="I87" s="820"/>
      <c r="J87" s="820" t="e">
        <v>#VALUE!</v>
      </c>
      <c r="K87" s="1160"/>
      <c r="L87" s="820">
        <v>0</v>
      </c>
      <c r="M87" s="820"/>
      <c r="N87" s="820">
        <v>0</v>
      </c>
      <c r="O87" s="1160"/>
      <c r="P87" s="820" t="e">
        <f t="shared" si="1"/>
        <v>#VALUE!</v>
      </c>
      <c r="Q87"/>
      <c r="R87"/>
      <c r="S87"/>
      <c r="T87" s="819"/>
      <c r="U87" s="819"/>
    </row>
    <row r="88" spans="1:21" ht="15.75" customHeight="1">
      <c r="A88" s="826">
        <f t="shared" si="2"/>
        <v>68</v>
      </c>
      <c r="B88" s="819">
        <v>8780</v>
      </c>
      <c r="C88" s="1" t="s">
        <v>671</v>
      </c>
      <c r="D88" s="820">
        <f>'C.2.1 B'!D115</f>
        <v>890856.00637317088</v>
      </c>
      <c r="E88" s="820"/>
      <c r="F88" s="820" t="e">
        <v>#VALUE!</v>
      </c>
      <c r="G88" s="806"/>
      <c r="H88" s="820" t="e">
        <v>#VALUE!</v>
      </c>
      <c r="I88" s="1160"/>
      <c r="J88" s="820" t="e">
        <v>#VALUE!</v>
      </c>
      <c r="K88" s="1160"/>
      <c r="L88" s="820">
        <v>0</v>
      </c>
      <c r="M88" s="1160"/>
      <c r="N88" s="820">
        <v>0</v>
      </c>
      <c r="O88" s="1160"/>
      <c r="P88" s="820" t="e">
        <f t="shared" si="1"/>
        <v>#VALUE!</v>
      </c>
      <c r="Q88"/>
      <c r="R88"/>
      <c r="S88"/>
      <c r="T88" s="819"/>
    </row>
    <row r="89" spans="1:21" ht="15.75" customHeight="1">
      <c r="A89" s="826">
        <f t="shared" si="2"/>
        <v>69</v>
      </c>
      <c r="B89" s="819">
        <v>8790</v>
      </c>
      <c r="C89" s="1" t="s">
        <v>672</v>
      </c>
      <c r="D89" s="820">
        <f>'C.2.1 B'!D116</f>
        <v>752.17633517265062</v>
      </c>
      <c r="E89" s="820"/>
      <c r="F89" s="820" t="e">
        <v>#VALUE!</v>
      </c>
      <c r="G89" s="806"/>
      <c r="H89" s="820" t="e">
        <v>#VALUE!</v>
      </c>
      <c r="I89" s="1160"/>
      <c r="J89" s="820" t="e">
        <v>#VALUE!</v>
      </c>
      <c r="K89" s="820"/>
      <c r="L89" s="820">
        <v>0</v>
      </c>
      <c r="M89" s="1160"/>
      <c r="N89" s="820">
        <v>0</v>
      </c>
      <c r="O89" s="1160"/>
      <c r="P89" s="820" t="e">
        <f t="shared" si="1"/>
        <v>#VALUE!</v>
      </c>
      <c r="Q89"/>
      <c r="R89"/>
      <c r="S89"/>
      <c r="T89" s="819"/>
    </row>
    <row r="90" spans="1:21" ht="15.75" customHeight="1">
      <c r="A90" s="826">
        <f t="shared" si="2"/>
        <v>70</v>
      </c>
      <c r="B90" s="819">
        <v>8800</v>
      </c>
      <c r="C90" s="1" t="s">
        <v>673</v>
      </c>
      <c r="D90" s="820">
        <f>'C.2.1 B'!D117</f>
        <v>208474.55496439827</v>
      </c>
      <c r="E90" s="820"/>
      <c r="F90" s="820" t="e">
        <v>#VALUE!</v>
      </c>
      <c r="G90" s="806"/>
      <c r="H90" s="820" t="e">
        <v>#VALUE!</v>
      </c>
      <c r="I90" s="1160"/>
      <c r="J90" s="820" t="e">
        <v>#VALUE!</v>
      </c>
      <c r="K90" s="820"/>
      <c r="L90" s="820">
        <v>0</v>
      </c>
      <c r="M90" s="1160"/>
      <c r="N90" s="820">
        <v>0</v>
      </c>
      <c r="O90" s="1160"/>
      <c r="P90" s="820" t="e">
        <f t="shared" si="1"/>
        <v>#VALUE!</v>
      </c>
      <c r="Q90"/>
      <c r="R90"/>
      <c r="S90"/>
      <c r="T90" s="819"/>
    </row>
    <row r="91" spans="1:21" ht="15.75" customHeight="1">
      <c r="A91" s="826">
        <f t="shared" si="2"/>
        <v>71</v>
      </c>
      <c r="B91" s="819">
        <v>8810</v>
      </c>
      <c r="C91" s="1" t="s">
        <v>674</v>
      </c>
      <c r="D91" s="820">
        <f>'C.2.1 B'!D118</f>
        <v>445054.48448687675</v>
      </c>
      <c r="E91" s="820"/>
      <c r="F91" s="820" t="e">
        <v>#VALUE!</v>
      </c>
      <c r="G91" s="806"/>
      <c r="H91" s="820" t="e">
        <v>#VALUE!</v>
      </c>
      <c r="I91" s="1160"/>
      <c r="J91" s="820" t="e">
        <v>#VALUE!</v>
      </c>
      <c r="K91" s="820"/>
      <c r="L91" s="820">
        <v>0</v>
      </c>
      <c r="M91" s="1160"/>
      <c r="N91" s="820">
        <v>0</v>
      </c>
      <c r="O91" s="1160"/>
      <c r="P91" s="820" t="e">
        <f t="shared" si="1"/>
        <v>#VALUE!</v>
      </c>
      <c r="Q91"/>
      <c r="R91"/>
      <c r="S91"/>
      <c r="T91" s="819"/>
    </row>
    <row r="92" spans="1:21" ht="15.75" customHeight="1">
      <c r="A92" s="826">
        <f t="shared" si="2"/>
        <v>72</v>
      </c>
      <c r="B92" s="819">
        <v>8850</v>
      </c>
      <c r="C92" s="1" t="s">
        <v>760</v>
      </c>
      <c r="D92" s="820">
        <f>'C.2.1 B'!D122</f>
        <v>1964.0799531830269</v>
      </c>
      <c r="E92" s="820"/>
      <c r="F92" s="820" t="e">
        <v>#VALUE!</v>
      </c>
      <c r="G92" s="806"/>
      <c r="H92" s="820" t="e">
        <v>#VALUE!</v>
      </c>
      <c r="I92" s="1160"/>
      <c r="J92" s="820" t="e">
        <v>#VALUE!</v>
      </c>
      <c r="K92" s="820"/>
      <c r="L92" s="820">
        <v>0</v>
      </c>
      <c r="M92" s="1160"/>
      <c r="N92" s="820">
        <v>0</v>
      </c>
      <c r="O92" s="1160"/>
      <c r="P92" s="820" t="e">
        <f t="shared" si="1"/>
        <v>#VALUE!</v>
      </c>
      <c r="Q92"/>
      <c r="R92"/>
      <c r="S92"/>
      <c r="T92" s="819"/>
    </row>
    <row r="93" spans="1:21" ht="15.75" customHeight="1">
      <c r="A93" s="826">
        <f t="shared" si="2"/>
        <v>73</v>
      </c>
      <c r="B93" s="819">
        <v>8860</v>
      </c>
      <c r="C93" s="1" t="s">
        <v>791</v>
      </c>
      <c r="D93" s="820">
        <f>'C.2.1 B'!D123</f>
        <v>23371.440168923371</v>
      </c>
      <c r="E93" s="820"/>
      <c r="F93" s="820" t="e">
        <v>#VALUE!</v>
      </c>
      <c r="G93" s="806"/>
      <c r="H93" s="820" t="e">
        <v>#VALUE!</v>
      </c>
      <c r="I93" s="1160"/>
      <c r="J93" s="820" t="e">
        <v>#VALUE!</v>
      </c>
      <c r="K93" s="820"/>
      <c r="L93" s="820">
        <v>0</v>
      </c>
      <c r="M93" s="1160"/>
      <c r="N93" s="820">
        <v>0</v>
      </c>
      <c r="O93" s="1160"/>
      <c r="P93" s="820" t="e">
        <f t="shared" si="1"/>
        <v>#VALUE!</v>
      </c>
      <c r="Q93"/>
      <c r="R93"/>
      <c r="S93"/>
      <c r="T93" s="819"/>
    </row>
    <row r="94" spans="1:21" ht="15.75" customHeight="1">
      <c r="A94" s="2"/>
      <c r="B94" s="30"/>
      <c r="D94" s="136"/>
      <c r="E94" s="136"/>
      <c r="F94" s="136"/>
      <c r="G94" s="130"/>
      <c r="H94" s="136"/>
      <c r="I94" s="184"/>
      <c r="J94" s="136"/>
      <c r="K94" s="136"/>
      <c r="L94" s="136"/>
      <c r="M94" s="184"/>
      <c r="N94" s="136"/>
      <c r="O94" s="184"/>
      <c r="P94" s="136"/>
      <c r="Q94"/>
      <c r="R94"/>
      <c r="S94"/>
    </row>
    <row r="95" spans="1:21" ht="15.75" customHeight="1">
      <c r="D95" s="130"/>
      <c r="E95" s="130"/>
      <c r="F95" s="130"/>
      <c r="G95" s="130"/>
      <c r="H95" s="164" t="s">
        <v>223</v>
      </c>
      <c r="I95" s="130"/>
      <c r="J95" s="130"/>
      <c r="K95" s="130"/>
      <c r="L95" s="130"/>
      <c r="M95" s="130"/>
      <c r="N95" s="130"/>
      <c r="O95" s="130"/>
      <c r="P95" s="164" t="s">
        <v>1110</v>
      </c>
      <c r="Q95"/>
      <c r="R95"/>
      <c r="S95"/>
    </row>
    <row r="96" spans="1:21" ht="15.75" customHeight="1">
      <c r="A96" s="2" t="s">
        <v>98</v>
      </c>
      <c r="B96" s="181" t="s">
        <v>1348</v>
      </c>
      <c r="C96" s="119"/>
      <c r="D96" s="164" t="s">
        <v>45</v>
      </c>
      <c r="E96" s="130"/>
      <c r="F96" s="1155" t="s">
        <v>1109</v>
      </c>
      <c r="G96" s="1156"/>
      <c r="H96" s="1155" t="s">
        <v>1109</v>
      </c>
      <c r="I96" s="1157"/>
      <c r="J96" s="1155" t="s">
        <v>1109</v>
      </c>
      <c r="K96" s="1157"/>
      <c r="L96" s="1155" t="s">
        <v>1109</v>
      </c>
      <c r="M96" s="1157"/>
      <c r="N96" s="1155" t="s">
        <v>1109</v>
      </c>
      <c r="O96" s="1157"/>
      <c r="P96" s="164" t="s">
        <v>101</v>
      </c>
      <c r="Q96"/>
      <c r="R96"/>
      <c r="S96"/>
    </row>
    <row r="97" spans="1:21" ht="15.75" customHeight="1">
      <c r="A97" s="9" t="s">
        <v>104</v>
      </c>
      <c r="B97" s="182" t="s">
        <v>224</v>
      </c>
      <c r="C97" s="124"/>
      <c r="D97" s="859" t="s">
        <v>553</v>
      </c>
      <c r="E97" s="1158"/>
      <c r="F97" s="859" t="s">
        <v>622</v>
      </c>
      <c r="G97" s="1159" t="s">
        <v>332</v>
      </c>
      <c r="H97" s="859" t="s">
        <v>479</v>
      </c>
      <c r="I97" s="1159" t="s">
        <v>332</v>
      </c>
      <c r="J97" s="859" t="s">
        <v>480</v>
      </c>
      <c r="K97" s="1159" t="s">
        <v>332</v>
      </c>
      <c r="L97" s="859" t="s">
        <v>481</v>
      </c>
      <c r="M97" s="1159" t="s">
        <v>332</v>
      </c>
      <c r="N97" s="859" t="s">
        <v>482</v>
      </c>
      <c r="O97" s="1159" t="s">
        <v>332</v>
      </c>
      <c r="P97" s="859" t="s">
        <v>486</v>
      </c>
      <c r="Q97"/>
      <c r="R97"/>
      <c r="S97"/>
    </row>
    <row r="98" spans="1:21" ht="15.75" customHeight="1">
      <c r="B98" s="119"/>
      <c r="C98" s="11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/>
      <c r="R98"/>
      <c r="S98"/>
    </row>
    <row r="99" spans="1:21" ht="15.75" customHeight="1">
      <c r="A99" s="2">
        <f>A93+1</f>
        <v>74</v>
      </c>
      <c r="B99" s="819">
        <v>8870</v>
      </c>
      <c r="C99" s="181" t="s">
        <v>451</v>
      </c>
      <c r="D99" s="820">
        <f>'C.2.1 B'!D124</f>
        <v>46025.738609885331</v>
      </c>
      <c r="E99" s="820"/>
      <c r="F99" s="820" t="e">
        <v>#VALUE!</v>
      </c>
      <c r="G99" s="806"/>
      <c r="H99" s="820" t="e">
        <v>#VALUE!</v>
      </c>
      <c r="I99" s="820"/>
      <c r="J99" s="820" t="e">
        <v>#VALUE!</v>
      </c>
      <c r="K99" s="820"/>
      <c r="L99" s="820">
        <v>0</v>
      </c>
      <c r="M99" s="1160"/>
      <c r="N99" s="820">
        <v>0</v>
      </c>
      <c r="O99" s="1160"/>
      <c r="P99" s="820" t="e">
        <f t="shared" ref="P99:P132" si="3">SUM(F99:O99)</f>
        <v>#VALUE!</v>
      </c>
      <c r="Q99"/>
      <c r="R99"/>
      <c r="S99"/>
      <c r="T99" s="1037"/>
    </row>
    <row r="100" spans="1:21" ht="15.75" customHeight="1">
      <c r="A100" s="922">
        <f t="shared" ref="A100:A132" si="4">A99+1</f>
        <v>75</v>
      </c>
      <c r="B100" s="819">
        <v>8890</v>
      </c>
      <c r="C100" s="181" t="s">
        <v>1215</v>
      </c>
      <c r="D100" s="820">
        <f>'C.2.1 B'!D125</f>
        <v>6698.4222182973017</v>
      </c>
      <c r="E100" s="820"/>
      <c r="F100" s="820" t="e">
        <v>#VALUE!</v>
      </c>
      <c r="G100" s="820"/>
      <c r="H100" s="820" t="e">
        <v>#VALUE!</v>
      </c>
      <c r="I100" s="1160"/>
      <c r="J100" s="820" t="e">
        <v>#VALUE!</v>
      </c>
      <c r="K100" s="820"/>
      <c r="L100" s="820">
        <v>0</v>
      </c>
      <c r="M100" s="1160"/>
      <c r="N100" s="820">
        <v>0</v>
      </c>
      <c r="O100" s="1160"/>
      <c r="P100" s="820" t="e">
        <f t="shared" si="3"/>
        <v>#VALUE!</v>
      </c>
      <c r="Q100"/>
      <c r="R100"/>
      <c r="S100"/>
      <c r="T100" s="819"/>
    </row>
    <row r="101" spans="1:21" ht="15.75" customHeight="1">
      <c r="A101" s="922">
        <f t="shared" si="4"/>
        <v>76</v>
      </c>
      <c r="B101" s="819">
        <v>8900</v>
      </c>
      <c r="C101" s="181" t="s">
        <v>1038</v>
      </c>
      <c r="D101" s="820">
        <f>'C.2.1 B'!D126</f>
        <v>10625.971851677408</v>
      </c>
      <c r="E101" s="820"/>
      <c r="F101" s="820" t="e">
        <v>#VALUE!</v>
      </c>
      <c r="G101" s="820"/>
      <c r="H101" s="820" t="e">
        <v>#VALUE!</v>
      </c>
      <c r="I101" s="1160"/>
      <c r="J101" s="820" t="e">
        <v>#VALUE!</v>
      </c>
      <c r="K101" s="820"/>
      <c r="L101" s="820">
        <v>0</v>
      </c>
      <c r="M101" s="1160"/>
      <c r="N101" s="820">
        <v>0</v>
      </c>
      <c r="O101" s="1160"/>
      <c r="P101" s="820" t="e">
        <f t="shared" si="3"/>
        <v>#VALUE!</v>
      </c>
      <c r="Q101"/>
      <c r="R101"/>
      <c r="S101"/>
      <c r="T101" s="819"/>
    </row>
    <row r="102" spans="1:21" ht="15.75" customHeight="1">
      <c r="A102" s="922">
        <f t="shared" si="4"/>
        <v>77</v>
      </c>
      <c r="B102" s="819">
        <v>8910</v>
      </c>
      <c r="C102" s="181" t="s">
        <v>1039</v>
      </c>
      <c r="D102" s="820">
        <f>'C.2.1 B'!D127</f>
        <v>25851.91570686315</v>
      </c>
      <c r="E102" s="820"/>
      <c r="F102" s="820" t="e">
        <v>#VALUE!</v>
      </c>
      <c r="G102" s="820"/>
      <c r="H102" s="820" t="e">
        <v>#VALUE!</v>
      </c>
      <c r="I102" s="1160"/>
      <c r="J102" s="820" t="e">
        <v>#VALUE!</v>
      </c>
      <c r="K102" s="820"/>
      <c r="L102" s="820">
        <v>0</v>
      </c>
      <c r="M102" s="1160"/>
      <c r="N102" s="820">
        <v>0</v>
      </c>
      <c r="O102" s="1160"/>
      <c r="P102" s="820" t="e">
        <f t="shared" si="3"/>
        <v>#VALUE!</v>
      </c>
      <c r="Q102"/>
      <c r="R102"/>
      <c r="S102"/>
      <c r="T102" s="819"/>
    </row>
    <row r="103" spans="1:21" ht="15.75" customHeight="1">
      <c r="A103" s="922">
        <f t="shared" si="4"/>
        <v>78</v>
      </c>
      <c r="B103" s="819">
        <v>8920</v>
      </c>
      <c r="C103" s="181" t="s">
        <v>1040</v>
      </c>
      <c r="D103" s="820">
        <f>'C.2.1 B'!D128</f>
        <v>3575.2200263111527</v>
      </c>
      <c r="E103" s="820"/>
      <c r="F103" s="820" t="e">
        <v>#VALUE!</v>
      </c>
      <c r="G103" s="820"/>
      <c r="H103" s="820" t="e">
        <v>#VALUE!</v>
      </c>
      <c r="I103" s="1160"/>
      <c r="J103" s="820" t="e">
        <v>#VALUE!</v>
      </c>
      <c r="K103" s="820"/>
      <c r="L103" s="820">
        <v>0</v>
      </c>
      <c r="M103" s="1160"/>
      <c r="N103" s="820">
        <v>0</v>
      </c>
      <c r="O103" s="1160"/>
      <c r="P103" s="820" t="e">
        <f t="shared" si="3"/>
        <v>#VALUE!</v>
      </c>
      <c r="Q103"/>
      <c r="R103"/>
      <c r="S103"/>
      <c r="T103" s="819"/>
    </row>
    <row r="104" spans="1:21" ht="15.75" customHeight="1">
      <c r="A104" s="922">
        <f t="shared" si="4"/>
        <v>79</v>
      </c>
      <c r="B104" s="819">
        <v>8930</v>
      </c>
      <c r="C104" s="181" t="s">
        <v>1041</v>
      </c>
      <c r="D104" s="820">
        <f>'C.2.1 B'!D129</f>
        <v>105360.86137928165</v>
      </c>
      <c r="E104" s="820"/>
      <c r="F104" s="820" t="e">
        <v>#VALUE!</v>
      </c>
      <c r="G104" s="820"/>
      <c r="H104" s="820" t="e">
        <v>#VALUE!</v>
      </c>
      <c r="I104" s="1160"/>
      <c r="J104" s="820" t="e">
        <v>#VALUE!</v>
      </c>
      <c r="K104" s="820"/>
      <c r="L104" s="820">
        <v>0</v>
      </c>
      <c r="M104" s="1160"/>
      <c r="N104" s="820">
        <v>0</v>
      </c>
      <c r="O104" s="1160"/>
      <c r="P104" s="820" t="e">
        <f t="shared" si="3"/>
        <v>#VALUE!</v>
      </c>
      <c r="Q104"/>
      <c r="R104"/>
      <c r="S104"/>
      <c r="T104" s="819"/>
    </row>
    <row r="105" spans="1:21" ht="15.75" customHeight="1">
      <c r="A105" s="922">
        <f t="shared" si="4"/>
        <v>80</v>
      </c>
      <c r="B105" s="819">
        <v>8940</v>
      </c>
      <c r="C105" s="181" t="s">
        <v>122</v>
      </c>
      <c r="D105" s="820">
        <f>'C.2.1 B'!D130</f>
        <v>72160.107789682326</v>
      </c>
      <c r="E105" s="820"/>
      <c r="F105" s="820" t="e">
        <v>#VALUE!</v>
      </c>
      <c r="G105" s="1160"/>
      <c r="H105" s="820" t="e">
        <v>#VALUE!</v>
      </c>
      <c r="I105" s="820"/>
      <c r="J105" s="820" t="e">
        <v>#VALUE!</v>
      </c>
      <c r="K105" s="820"/>
      <c r="L105" s="820">
        <v>0</v>
      </c>
      <c r="M105" s="820"/>
      <c r="N105" s="820">
        <v>0</v>
      </c>
      <c r="O105" s="1160"/>
      <c r="P105" s="820" t="e">
        <f t="shared" si="3"/>
        <v>#VALUE!</v>
      </c>
      <c r="Q105"/>
      <c r="R105"/>
      <c r="S105"/>
      <c r="T105" s="819"/>
    </row>
    <row r="106" spans="1:21" ht="15.75" customHeight="1">
      <c r="A106" s="922">
        <f t="shared" si="4"/>
        <v>81</v>
      </c>
      <c r="B106" s="819">
        <v>8950</v>
      </c>
      <c r="C106" s="181" t="s">
        <v>239</v>
      </c>
      <c r="D106" s="820">
        <f>'C.2.1 B'!D131</f>
        <v>0</v>
      </c>
      <c r="E106" s="820"/>
      <c r="F106" s="820" t="e">
        <v>#VALUE!</v>
      </c>
      <c r="G106" s="1160"/>
      <c r="H106" s="820" t="e">
        <v>#VALUE!</v>
      </c>
      <c r="I106" s="820"/>
      <c r="J106" s="820" t="e">
        <v>#VALUE!</v>
      </c>
      <c r="K106" s="820"/>
      <c r="L106" s="820">
        <v>0</v>
      </c>
      <c r="M106" s="820"/>
      <c r="N106" s="820">
        <v>0</v>
      </c>
      <c r="O106" s="1160"/>
      <c r="P106" s="820" t="e">
        <f t="shared" si="3"/>
        <v>#VALUE!</v>
      </c>
      <c r="Q106"/>
      <c r="R106"/>
      <c r="S106"/>
      <c r="T106" s="819"/>
    </row>
    <row r="107" spans="1:21" ht="15.75" customHeight="1">
      <c r="A107" s="922">
        <f t="shared" si="4"/>
        <v>82</v>
      </c>
      <c r="B107" s="819">
        <v>9010</v>
      </c>
      <c r="C107" s="181" t="s">
        <v>123</v>
      </c>
      <c r="D107" s="820">
        <f>'C.2.1 B'!D135</f>
        <v>0</v>
      </c>
      <c r="E107" s="820"/>
      <c r="F107" s="820" t="e">
        <v>#VALUE!</v>
      </c>
      <c r="G107" s="1160"/>
      <c r="H107" s="820" t="e">
        <v>#VALUE!</v>
      </c>
      <c r="I107" s="820"/>
      <c r="J107" s="820" t="e">
        <v>#VALUE!</v>
      </c>
      <c r="K107" s="820"/>
      <c r="L107" s="820">
        <v>0</v>
      </c>
      <c r="M107" s="820"/>
      <c r="N107" s="820">
        <v>0</v>
      </c>
      <c r="O107" s="1160"/>
      <c r="P107" s="820" t="e">
        <f t="shared" si="3"/>
        <v>#VALUE!</v>
      </c>
      <c r="Q107"/>
      <c r="R107"/>
      <c r="S107"/>
      <c r="T107" s="819"/>
    </row>
    <row r="108" spans="1:21" ht="15.75" customHeight="1">
      <c r="A108" s="922">
        <f t="shared" si="4"/>
        <v>83</v>
      </c>
      <c r="B108" s="819">
        <v>9020</v>
      </c>
      <c r="C108" s="181" t="s">
        <v>124</v>
      </c>
      <c r="D108" s="820">
        <f>'C.2.1 B'!D136</f>
        <v>1202767.575172228</v>
      </c>
      <c r="E108" s="820"/>
      <c r="F108" s="820" t="e">
        <v>#VALUE!</v>
      </c>
      <c r="G108" s="1160"/>
      <c r="H108" s="820" t="e">
        <v>#VALUE!</v>
      </c>
      <c r="I108" s="820"/>
      <c r="J108" s="820" t="e">
        <v>#VALUE!</v>
      </c>
      <c r="K108" s="820"/>
      <c r="L108" s="820">
        <v>0</v>
      </c>
      <c r="M108" s="820"/>
      <c r="N108" s="820">
        <v>0</v>
      </c>
      <c r="O108" s="1160"/>
      <c r="P108" s="820" t="e">
        <f t="shared" si="3"/>
        <v>#VALUE!</v>
      </c>
      <c r="Q108"/>
      <c r="R108"/>
      <c r="S108"/>
      <c r="T108" s="819"/>
      <c r="U108" s="819"/>
    </row>
    <row r="109" spans="1:21" ht="15.75" customHeight="1">
      <c r="A109" s="922">
        <f t="shared" si="4"/>
        <v>84</v>
      </c>
      <c r="B109" s="819">
        <v>9030</v>
      </c>
      <c r="C109" s="181" t="s">
        <v>125</v>
      </c>
      <c r="D109" s="820">
        <f>'C.2.1 B'!D137</f>
        <v>379869.58454602241</v>
      </c>
      <c r="E109" s="820"/>
      <c r="F109" s="820" t="e">
        <v>#VALUE!</v>
      </c>
      <c r="G109" s="1160"/>
      <c r="H109" s="820" t="e">
        <v>#VALUE!</v>
      </c>
      <c r="I109" s="820"/>
      <c r="J109" s="820" t="e">
        <v>#VALUE!</v>
      </c>
      <c r="K109" s="820"/>
      <c r="L109" s="820">
        <v>0</v>
      </c>
      <c r="M109" s="820"/>
      <c r="N109" s="820">
        <v>0</v>
      </c>
      <c r="O109" s="1160"/>
      <c r="P109" s="820" t="e">
        <f t="shared" si="3"/>
        <v>#VALUE!</v>
      </c>
      <c r="Q109"/>
      <c r="R109"/>
      <c r="S109"/>
      <c r="T109" s="819"/>
    </row>
    <row r="110" spans="1:21" ht="15.75" customHeight="1">
      <c r="A110" s="922">
        <f t="shared" si="4"/>
        <v>85</v>
      </c>
      <c r="B110" s="819">
        <v>9040</v>
      </c>
      <c r="C110" s="181" t="s">
        <v>126</v>
      </c>
      <c r="D110" s="820">
        <f>'C.2.1 B'!D138</f>
        <v>564321.71039999998</v>
      </c>
      <c r="E110" s="820"/>
      <c r="F110" s="820" t="e">
        <v>#VALUE!</v>
      </c>
      <c r="G110" s="1160"/>
      <c r="H110" s="820" t="e">
        <v>#VALUE!</v>
      </c>
      <c r="I110" s="820"/>
      <c r="J110" s="820" t="e">
        <v>#VALUE!</v>
      </c>
      <c r="K110" s="820"/>
      <c r="L110" s="820">
        <v>-250895.52998466406</v>
      </c>
      <c r="M110" s="820"/>
      <c r="N110" s="820">
        <v>0</v>
      </c>
      <c r="O110" s="1160"/>
      <c r="P110" s="820" t="e">
        <f t="shared" si="3"/>
        <v>#VALUE!</v>
      </c>
      <c r="Q110"/>
      <c r="R110"/>
      <c r="S110"/>
      <c r="T110" s="819"/>
    </row>
    <row r="111" spans="1:21" ht="15.75" customHeight="1">
      <c r="A111" s="922">
        <f t="shared" si="4"/>
        <v>86</v>
      </c>
      <c r="B111" s="819">
        <v>9070</v>
      </c>
      <c r="C111" s="181" t="s">
        <v>29</v>
      </c>
      <c r="D111" s="820">
        <f>'C.2.1 B'!D142</f>
        <v>0</v>
      </c>
      <c r="E111" s="820"/>
      <c r="F111" s="820" t="e">
        <v>#VALUE!</v>
      </c>
      <c r="G111" s="1160"/>
      <c r="H111" s="820" t="e">
        <v>#VALUE!</v>
      </c>
      <c r="I111" s="820"/>
      <c r="J111" s="820" t="e">
        <v>#VALUE!</v>
      </c>
      <c r="K111" s="820"/>
      <c r="L111" s="820">
        <v>0</v>
      </c>
      <c r="M111" s="820"/>
      <c r="N111" s="820">
        <v>0</v>
      </c>
      <c r="O111" s="1160"/>
      <c r="P111" s="820" t="e">
        <f t="shared" si="3"/>
        <v>#VALUE!</v>
      </c>
      <c r="Q111"/>
      <c r="R111"/>
      <c r="S111"/>
      <c r="T111" s="819"/>
    </row>
    <row r="112" spans="1:21" ht="15.75" customHeight="1">
      <c r="A112" s="922">
        <f t="shared" si="4"/>
        <v>87</v>
      </c>
      <c r="B112" s="819">
        <v>9080</v>
      </c>
      <c r="C112" s="181" t="s">
        <v>30</v>
      </c>
      <c r="D112" s="820">
        <f>'C.2.1 B'!D143</f>
        <v>0</v>
      </c>
      <c r="E112" s="820"/>
      <c r="F112" s="820" t="e">
        <v>#VALUE!</v>
      </c>
      <c r="G112" s="1160"/>
      <c r="H112" s="820" t="e">
        <v>#VALUE!</v>
      </c>
      <c r="I112" s="820"/>
      <c r="J112" s="820" t="e">
        <v>#VALUE!</v>
      </c>
      <c r="K112" s="820"/>
      <c r="L112" s="820">
        <v>0</v>
      </c>
      <c r="M112" s="820"/>
      <c r="N112" s="820">
        <v>0</v>
      </c>
      <c r="O112" s="1160"/>
      <c r="P112" s="820" t="e">
        <f t="shared" si="3"/>
        <v>#VALUE!</v>
      </c>
      <c r="Q112"/>
      <c r="R112"/>
      <c r="S112"/>
      <c r="T112" s="819"/>
    </row>
    <row r="113" spans="1:20" ht="15.75" customHeight="1">
      <c r="A113" s="922">
        <f t="shared" si="4"/>
        <v>88</v>
      </c>
      <c r="B113" s="819">
        <v>9090</v>
      </c>
      <c r="C113" s="181" t="s">
        <v>127</v>
      </c>
      <c r="D113" s="820">
        <f>'C.2.1 B'!D144</f>
        <v>125152.43264437889</v>
      </c>
      <c r="E113" s="820"/>
      <c r="F113" s="820" t="e">
        <v>#VALUE!</v>
      </c>
      <c r="G113" s="1160"/>
      <c r="H113" s="820" t="e">
        <v>#VALUE!</v>
      </c>
      <c r="I113" s="820"/>
      <c r="J113" s="820" t="e">
        <v>#VALUE!</v>
      </c>
      <c r="K113" s="820"/>
      <c r="L113" s="820">
        <v>0</v>
      </c>
      <c r="M113" s="820"/>
      <c r="N113" s="820">
        <v>0</v>
      </c>
      <c r="O113" s="1160"/>
      <c r="P113" s="820" t="e">
        <f t="shared" si="3"/>
        <v>#VALUE!</v>
      </c>
      <c r="Q113"/>
      <c r="R113"/>
      <c r="S113"/>
      <c r="T113" s="819"/>
    </row>
    <row r="114" spans="1:20" ht="15.75" customHeight="1">
      <c r="A114" s="922">
        <f t="shared" si="4"/>
        <v>89</v>
      </c>
      <c r="B114" s="819">
        <v>9100</v>
      </c>
      <c r="C114" s="181" t="s">
        <v>128</v>
      </c>
      <c r="D114" s="820">
        <f>'C.2.1 B'!D145</f>
        <v>183.78356405221172</v>
      </c>
      <c r="E114" s="820"/>
      <c r="F114" s="820" t="e">
        <v>#VALUE!</v>
      </c>
      <c r="G114" s="1160"/>
      <c r="H114" s="820" t="e">
        <v>#VALUE!</v>
      </c>
      <c r="I114" s="820"/>
      <c r="J114" s="820" t="e">
        <v>#VALUE!</v>
      </c>
      <c r="K114" s="820"/>
      <c r="L114" s="820">
        <v>0</v>
      </c>
      <c r="M114" s="820"/>
      <c r="N114" s="820">
        <v>0</v>
      </c>
      <c r="O114" s="1160"/>
      <c r="P114" s="820" t="e">
        <f t="shared" si="3"/>
        <v>#VALUE!</v>
      </c>
      <c r="Q114"/>
      <c r="R114"/>
      <c r="S114"/>
      <c r="T114" s="819"/>
    </row>
    <row r="115" spans="1:20" ht="15.75" customHeight="1">
      <c r="A115" s="922">
        <f t="shared" si="4"/>
        <v>90</v>
      </c>
      <c r="B115" s="1037">
        <v>9110</v>
      </c>
      <c r="C115" s="1038" t="s">
        <v>230</v>
      </c>
      <c r="D115" s="820">
        <f>'C.2.1 B'!D149</f>
        <v>257746.70503193676</v>
      </c>
      <c r="E115" s="820"/>
      <c r="F115" s="820" t="e">
        <v>#VALUE!</v>
      </c>
      <c r="G115" s="1160"/>
      <c r="H115" s="820" t="e">
        <v>#VALUE!</v>
      </c>
      <c r="I115" s="820"/>
      <c r="J115" s="820" t="e">
        <v>#VALUE!</v>
      </c>
      <c r="K115" s="820"/>
      <c r="L115" s="820">
        <v>0</v>
      </c>
      <c r="M115" s="820"/>
      <c r="N115" s="820">
        <v>0</v>
      </c>
      <c r="O115" s="1160"/>
      <c r="P115" s="820" t="e">
        <f t="shared" si="3"/>
        <v>#VALUE!</v>
      </c>
      <c r="Q115"/>
      <c r="R115"/>
      <c r="S115"/>
      <c r="T115" s="819"/>
    </row>
    <row r="116" spans="1:20" ht="15.75" customHeight="1">
      <c r="A116" s="922">
        <f t="shared" si="4"/>
        <v>91</v>
      </c>
      <c r="B116" s="1037">
        <v>9120</v>
      </c>
      <c r="C116" s="1038" t="s">
        <v>468</v>
      </c>
      <c r="D116" s="820">
        <f>'C.2.1 B'!D150</f>
        <v>56174.592297134361</v>
      </c>
      <c r="E116" s="820"/>
      <c r="F116" s="820" t="e">
        <v>#VALUE!</v>
      </c>
      <c r="G116" s="1160"/>
      <c r="H116" s="820" t="e">
        <v>#VALUE!</v>
      </c>
      <c r="I116" s="820"/>
      <c r="J116" s="820" t="e">
        <v>#VALUE!</v>
      </c>
      <c r="K116" s="820"/>
      <c r="L116" s="820">
        <v>0</v>
      </c>
      <c r="M116" s="820"/>
      <c r="N116" s="820">
        <v>0</v>
      </c>
      <c r="O116" s="1160"/>
      <c r="P116" s="820" t="e">
        <f t="shared" si="3"/>
        <v>#VALUE!</v>
      </c>
      <c r="Q116"/>
      <c r="R116"/>
      <c r="S116"/>
      <c r="T116" s="819"/>
    </row>
    <row r="117" spans="1:20" ht="15.75" customHeight="1">
      <c r="A117" s="1008">
        <f t="shared" si="4"/>
        <v>92</v>
      </c>
      <c r="B117" s="1037">
        <v>9130</v>
      </c>
      <c r="C117" s="1038" t="s">
        <v>469</v>
      </c>
      <c r="D117" s="820">
        <f>'C.2.1 B'!D151</f>
        <v>23114.350742867809</v>
      </c>
      <c r="E117" s="820"/>
      <c r="F117" s="820" t="e">
        <v>#VALUE!</v>
      </c>
      <c r="G117" s="1160"/>
      <c r="H117" s="820" t="e">
        <v>#VALUE!</v>
      </c>
      <c r="I117" s="820"/>
      <c r="J117" s="820" t="e">
        <v>#VALUE!</v>
      </c>
      <c r="K117" s="820"/>
      <c r="L117" s="820">
        <v>0</v>
      </c>
      <c r="M117" s="820"/>
      <c r="N117" s="820">
        <v>0</v>
      </c>
      <c r="O117" s="1160"/>
      <c r="P117" s="820" t="e">
        <f t="shared" si="3"/>
        <v>#VALUE!</v>
      </c>
      <c r="Q117"/>
      <c r="R117"/>
      <c r="S117"/>
      <c r="T117" s="819"/>
    </row>
    <row r="118" spans="1:20" ht="15.75" customHeight="1">
      <c r="A118" s="1008">
        <f t="shared" si="4"/>
        <v>93</v>
      </c>
      <c r="B118" s="1037">
        <v>9160</v>
      </c>
      <c r="C118" s="1038" t="s">
        <v>231</v>
      </c>
      <c r="D118" s="820">
        <f>'C.2.1 B'!D152</f>
        <v>0</v>
      </c>
      <c r="E118" s="820"/>
      <c r="F118" s="820" t="e">
        <v>#VALUE!</v>
      </c>
      <c r="G118" s="1160"/>
      <c r="H118" s="820" t="e">
        <v>#VALUE!</v>
      </c>
      <c r="I118" s="820"/>
      <c r="J118" s="820" t="e">
        <v>#VALUE!</v>
      </c>
      <c r="K118" s="820"/>
      <c r="L118" s="820">
        <v>0</v>
      </c>
      <c r="M118" s="820"/>
      <c r="N118" s="820">
        <v>0</v>
      </c>
      <c r="O118" s="1160"/>
      <c r="P118" s="820" t="e">
        <f t="shared" si="3"/>
        <v>#VALUE!</v>
      </c>
      <c r="Q118"/>
      <c r="R118"/>
      <c r="S118"/>
      <c r="T118" s="819"/>
    </row>
    <row r="119" spans="1:20" ht="15.75" customHeight="1">
      <c r="A119" s="1008">
        <f t="shared" si="4"/>
        <v>94</v>
      </c>
      <c r="B119" s="1037">
        <v>9200</v>
      </c>
      <c r="C119" s="1038" t="s">
        <v>1344</v>
      </c>
      <c r="D119" s="820">
        <f>'C.2.1 B'!D156</f>
        <v>134097.63307528791</v>
      </c>
      <c r="E119" s="820"/>
      <c r="F119" s="820" t="e">
        <v>#VALUE!</v>
      </c>
      <c r="G119" s="1160"/>
      <c r="H119" s="820" t="e">
        <v>#VALUE!</v>
      </c>
      <c r="I119" s="820"/>
      <c r="J119" s="820" t="e">
        <v>#VALUE!</v>
      </c>
      <c r="K119" s="820"/>
      <c r="L119" s="820">
        <v>0</v>
      </c>
      <c r="M119" s="820"/>
      <c r="N119" s="820">
        <v>0</v>
      </c>
      <c r="O119" s="1160"/>
      <c r="P119" s="820" t="e">
        <f>SUM(F119:O119)</f>
        <v>#VALUE!</v>
      </c>
      <c r="Q119"/>
      <c r="R119"/>
      <c r="S119"/>
      <c r="T119" s="819"/>
    </row>
    <row r="120" spans="1:20" ht="15.75" customHeight="1">
      <c r="A120" s="1008">
        <f t="shared" si="4"/>
        <v>95</v>
      </c>
      <c r="B120" s="819">
        <v>9210</v>
      </c>
      <c r="C120" s="181" t="s">
        <v>232</v>
      </c>
      <c r="D120" s="820">
        <f>'C.2.1 B'!D157</f>
        <v>7609.9836462125641</v>
      </c>
      <c r="E120" s="820"/>
      <c r="F120" s="820" t="e">
        <v>#VALUE!</v>
      </c>
      <c r="G120" s="1160"/>
      <c r="H120" s="820" t="e">
        <v>#VALUE!</v>
      </c>
      <c r="I120" s="820"/>
      <c r="J120" s="820" t="e">
        <v>#VALUE!</v>
      </c>
      <c r="K120" s="820"/>
      <c r="L120" s="820">
        <v>0</v>
      </c>
      <c r="M120" s="820"/>
      <c r="N120" s="820">
        <v>0</v>
      </c>
      <c r="O120" s="1160"/>
      <c r="P120" s="820" t="e">
        <f>SUM(F120:O120)</f>
        <v>#VALUE!</v>
      </c>
      <c r="Q120"/>
      <c r="R120"/>
      <c r="S120"/>
      <c r="T120" s="819"/>
    </row>
    <row r="121" spans="1:20" ht="15">
      <c r="A121" s="1008">
        <f t="shared" si="4"/>
        <v>96</v>
      </c>
      <c r="B121" s="819">
        <v>9220</v>
      </c>
      <c r="C121" s="181" t="s">
        <v>217</v>
      </c>
      <c r="D121" s="820">
        <f>'C.2.1 B'!D158</f>
        <v>13070219.117788246</v>
      </c>
      <c r="E121" s="820"/>
      <c r="F121" s="820" t="e">
        <v>#VALUE!</v>
      </c>
      <c r="G121" s="1160"/>
      <c r="H121" s="820" t="e">
        <v>#VALUE!</v>
      </c>
      <c r="I121" s="820"/>
      <c r="J121" s="820" t="e">
        <v>#VALUE!</v>
      </c>
      <c r="K121" s="820"/>
      <c r="L121" s="820">
        <v>0</v>
      </c>
      <c r="M121" s="820"/>
      <c r="N121" s="820">
        <f>'C.2.2-F 09'!P99-'C.2.2 B 09'!P99</f>
        <v>955058.20888760872</v>
      </c>
      <c r="O121" s="1160"/>
      <c r="P121" s="820" t="e">
        <f t="shared" si="3"/>
        <v>#VALUE!</v>
      </c>
      <c r="Q121"/>
      <c r="R121"/>
      <c r="S121" s="817"/>
      <c r="T121" s="1039"/>
    </row>
    <row r="122" spans="1:20" ht="15.75" customHeight="1">
      <c r="A122" s="1008">
        <f t="shared" si="4"/>
        <v>97</v>
      </c>
      <c r="B122" s="819">
        <v>9230</v>
      </c>
      <c r="C122" s="181" t="s">
        <v>233</v>
      </c>
      <c r="D122" s="820">
        <f>'C.2.1 B'!D159</f>
        <v>201632.49667933921</v>
      </c>
      <c r="E122" s="820"/>
      <c r="F122" s="820" t="e">
        <v>#VALUE!</v>
      </c>
      <c r="G122" s="1160"/>
      <c r="H122" s="820" t="e">
        <v>#VALUE!</v>
      </c>
      <c r="I122" s="820"/>
      <c r="J122" s="820" t="e">
        <v>#VALUE!</v>
      </c>
      <c r="K122" s="820"/>
      <c r="L122" s="820">
        <v>0</v>
      </c>
      <c r="M122" s="820"/>
      <c r="N122" s="820">
        <v>0</v>
      </c>
      <c r="O122" s="1160"/>
      <c r="P122" s="820" t="e">
        <f t="shared" si="3"/>
        <v>#VALUE!</v>
      </c>
      <c r="Q122"/>
      <c r="R122"/>
      <c r="S122"/>
      <c r="T122" s="819"/>
    </row>
    <row r="123" spans="1:20" ht="15.75" customHeight="1">
      <c r="A123" s="1008">
        <f t="shared" si="4"/>
        <v>98</v>
      </c>
      <c r="B123" s="819">
        <v>9240</v>
      </c>
      <c r="C123" s="181" t="s">
        <v>470</v>
      </c>
      <c r="D123" s="820">
        <f>'C.2.1 B'!D160</f>
        <v>84990.611116541942</v>
      </c>
      <c r="E123" s="820"/>
      <c r="F123" s="820" t="e">
        <v>#VALUE!</v>
      </c>
      <c r="G123" s="1160"/>
      <c r="H123" s="820" t="e">
        <v>#VALUE!</v>
      </c>
      <c r="I123" s="820"/>
      <c r="J123" s="820" t="e">
        <v>#VALUE!</v>
      </c>
      <c r="K123" s="820"/>
      <c r="L123" s="820">
        <v>0</v>
      </c>
      <c r="M123" s="820"/>
      <c r="N123" s="820">
        <v>0</v>
      </c>
      <c r="O123" s="1160"/>
      <c r="P123" s="820" t="e">
        <f t="shared" si="3"/>
        <v>#VALUE!</v>
      </c>
      <c r="Q123"/>
      <c r="R123"/>
      <c r="S123"/>
      <c r="T123" s="819"/>
    </row>
    <row r="124" spans="1:20" ht="15.75" customHeight="1">
      <c r="A124" s="1008">
        <f t="shared" si="4"/>
        <v>99</v>
      </c>
      <c r="B124" s="819">
        <v>9250</v>
      </c>
      <c r="C124" s="181" t="s">
        <v>1086</v>
      </c>
      <c r="D124" s="820">
        <f>'C.2.1 B'!D161</f>
        <v>232180.71802061409</v>
      </c>
      <c r="E124" s="820"/>
      <c r="F124" s="820" t="e">
        <v>#VALUE!</v>
      </c>
      <c r="G124" s="1160"/>
      <c r="H124" s="820" t="e">
        <v>#VALUE!</v>
      </c>
      <c r="I124" s="820"/>
      <c r="J124" s="820" t="e">
        <v>#VALUE!</v>
      </c>
      <c r="K124" s="820"/>
      <c r="L124" s="820">
        <v>0</v>
      </c>
      <c r="M124" s="820"/>
      <c r="N124" s="820">
        <v>0</v>
      </c>
      <c r="O124" s="1160"/>
      <c r="P124" s="820" t="e">
        <f t="shared" si="3"/>
        <v>#VALUE!</v>
      </c>
      <c r="Q124"/>
      <c r="R124"/>
      <c r="S124"/>
      <c r="T124" s="819"/>
    </row>
    <row r="125" spans="1:20" ht="15.75" customHeight="1">
      <c r="A125" s="1008">
        <f t="shared" si="4"/>
        <v>100</v>
      </c>
      <c r="B125" s="819">
        <v>9260</v>
      </c>
      <c r="C125" s="181" t="s">
        <v>1087</v>
      </c>
      <c r="D125" s="820">
        <f>'C.2.1 B'!D162</f>
        <v>2194043.9592287075</v>
      </c>
      <c r="E125" s="820"/>
      <c r="F125" s="820" t="e">
        <v>#VALUE!</v>
      </c>
      <c r="G125" s="1160"/>
      <c r="H125" s="820" t="e">
        <v>#VALUE!</v>
      </c>
      <c r="I125" s="820"/>
      <c r="J125" s="820" t="e">
        <v>#VALUE!</v>
      </c>
      <c r="K125" s="820"/>
      <c r="L125" s="820">
        <v>0</v>
      </c>
      <c r="M125" s="820"/>
      <c r="N125" s="820">
        <v>0</v>
      </c>
      <c r="O125" s="1160"/>
      <c r="P125" s="820" t="e">
        <f t="shared" si="3"/>
        <v>#VALUE!</v>
      </c>
      <c r="Q125"/>
      <c r="R125"/>
      <c r="S125"/>
      <c r="T125" s="819"/>
    </row>
    <row r="126" spans="1:20" ht="15.75" customHeight="1">
      <c r="A126" s="1008">
        <f t="shared" si="4"/>
        <v>101</v>
      </c>
      <c r="B126" s="819">
        <v>9270</v>
      </c>
      <c r="C126" s="181" t="s">
        <v>1201</v>
      </c>
      <c r="D126" s="820">
        <f>'C.2.1 B'!D163</f>
        <v>386.17244583493357</v>
      </c>
      <c r="E126" s="820"/>
      <c r="F126" s="820" t="e">
        <v>#VALUE!</v>
      </c>
      <c r="G126" s="1160"/>
      <c r="H126" s="820" t="e">
        <v>#VALUE!</v>
      </c>
      <c r="I126" s="820"/>
      <c r="J126" s="820" t="e">
        <v>#VALUE!</v>
      </c>
      <c r="K126" s="820"/>
      <c r="L126" s="820">
        <v>0</v>
      </c>
      <c r="M126" s="820"/>
      <c r="N126" s="820">
        <v>0</v>
      </c>
      <c r="O126" s="1160"/>
      <c r="P126" s="820" t="e">
        <f t="shared" si="3"/>
        <v>#VALUE!</v>
      </c>
      <c r="Q126"/>
      <c r="R126"/>
      <c r="S126"/>
      <c r="T126" s="819"/>
    </row>
    <row r="127" spans="1:20" ht="15.75" customHeight="1">
      <c r="A127" s="1008">
        <f t="shared" si="4"/>
        <v>102</v>
      </c>
      <c r="B127" s="819">
        <v>9280</v>
      </c>
      <c r="C127" s="181" t="s">
        <v>1202</v>
      </c>
      <c r="D127" s="820">
        <f>'C.2.1 B'!D164</f>
        <v>11737.380528926924</v>
      </c>
      <c r="E127" s="820"/>
      <c r="F127" s="820" t="e">
        <v>#VALUE!</v>
      </c>
      <c r="G127" s="1160"/>
      <c r="H127" s="820" t="e">
        <v>#VALUE!</v>
      </c>
      <c r="I127" s="820"/>
      <c r="J127" s="820" t="e">
        <v>#VALUE!</v>
      </c>
      <c r="K127" s="820"/>
      <c r="L127" s="820">
        <v>0</v>
      </c>
      <c r="M127" s="820"/>
      <c r="N127" s="820">
        <v>0</v>
      </c>
      <c r="O127" s="1160"/>
      <c r="P127" s="820" t="e">
        <f t="shared" si="3"/>
        <v>#VALUE!</v>
      </c>
      <c r="Q127"/>
      <c r="R127"/>
      <c r="S127"/>
      <c r="T127" s="819"/>
    </row>
    <row r="128" spans="1:20" ht="15.75" customHeight="1">
      <c r="A128" s="1008">
        <f t="shared" si="4"/>
        <v>103</v>
      </c>
      <c r="B128" s="819">
        <v>9290</v>
      </c>
      <c r="C128" s="181" t="s">
        <v>487</v>
      </c>
      <c r="D128" s="820">
        <v>0</v>
      </c>
      <c r="E128" s="820"/>
      <c r="F128" s="820" t="e">
        <v>#VALUE!</v>
      </c>
      <c r="G128" s="1160"/>
      <c r="H128" s="820" t="e">
        <v>#VALUE!</v>
      </c>
      <c r="I128" s="820"/>
      <c r="J128" s="820" t="e">
        <v>#VALUE!</v>
      </c>
      <c r="K128" s="820"/>
      <c r="L128" s="820">
        <v>0</v>
      </c>
      <c r="M128" s="820"/>
      <c r="N128" s="820">
        <v>0</v>
      </c>
      <c r="O128" s="1160"/>
      <c r="P128" s="820" t="e">
        <f t="shared" si="3"/>
        <v>#VALUE!</v>
      </c>
      <c r="Q128"/>
      <c r="R128"/>
      <c r="S128"/>
      <c r="T128" s="819"/>
    </row>
    <row r="129" spans="1:20" ht="15.75" customHeight="1">
      <c r="A129" s="1008">
        <f t="shared" si="4"/>
        <v>104</v>
      </c>
      <c r="B129" s="1037">
        <v>9301</v>
      </c>
      <c r="C129" s="1038" t="s">
        <v>1203</v>
      </c>
      <c r="D129" s="806">
        <v>0</v>
      </c>
      <c r="E129" s="820"/>
      <c r="F129" s="820" t="e">
        <v>#VALUE!</v>
      </c>
      <c r="G129" s="1160"/>
      <c r="H129" s="820" t="e">
        <v>#VALUE!</v>
      </c>
      <c r="I129" s="820"/>
      <c r="J129" s="820" t="e">
        <v>#VALUE!</v>
      </c>
      <c r="K129" s="820"/>
      <c r="L129" s="820">
        <v>0</v>
      </c>
      <c r="M129" s="820"/>
      <c r="N129" s="820">
        <v>0</v>
      </c>
      <c r="O129" s="1160"/>
      <c r="P129" s="820" t="e">
        <f t="shared" si="3"/>
        <v>#VALUE!</v>
      </c>
      <c r="Q129"/>
      <c r="R129"/>
      <c r="S129"/>
      <c r="T129" s="819"/>
    </row>
    <row r="130" spans="1:20" ht="15.75" customHeight="1">
      <c r="A130" s="1008">
        <f t="shared" si="4"/>
        <v>105</v>
      </c>
      <c r="B130" s="1037">
        <v>9302</v>
      </c>
      <c r="C130" s="1038" t="s">
        <v>1204</v>
      </c>
      <c r="D130" s="806">
        <f>'C.2.1 B'!D165</f>
        <v>42277.978065082491</v>
      </c>
      <c r="E130" s="820"/>
      <c r="F130" s="820" t="e">
        <v>#VALUE!</v>
      </c>
      <c r="G130" s="1160"/>
      <c r="H130" s="820" t="e">
        <v>#VALUE!</v>
      </c>
      <c r="I130" s="820"/>
      <c r="J130" s="820" t="e">
        <v>#VALUE!</v>
      </c>
      <c r="K130" s="820"/>
      <c r="L130" s="820">
        <v>0</v>
      </c>
      <c r="M130" s="820"/>
      <c r="N130" s="820">
        <v>0</v>
      </c>
      <c r="O130" s="1160"/>
      <c r="P130" s="820" t="e">
        <f t="shared" si="3"/>
        <v>#VALUE!</v>
      </c>
      <c r="Q130"/>
      <c r="R130"/>
      <c r="S130"/>
      <c r="T130" s="819"/>
    </row>
    <row r="131" spans="1:20" ht="15.75" customHeight="1">
      <c r="A131" s="1008">
        <f t="shared" si="4"/>
        <v>106</v>
      </c>
      <c r="B131" s="1037">
        <v>9310</v>
      </c>
      <c r="C131" s="1038" t="s">
        <v>1343</v>
      </c>
      <c r="D131" s="806">
        <f>'C.2.1 B'!D166</f>
        <v>13647.466015270216</v>
      </c>
      <c r="E131" s="820"/>
      <c r="F131" s="820" t="e">
        <v>#VALUE!</v>
      </c>
      <c r="G131" s="1160"/>
      <c r="H131" s="820" t="e">
        <v>#VALUE!</v>
      </c>
      <c r="I131" s="820"/>
      <c r="J131" s="820" t="e">
        <v>#VALUE!</v>
      </c>
      <c r="K131" s="820"/>
      <c r="L131" s="820">
        <v>0</v>
      </c>
      <c r="M131" s="820"/>
      <c r="N131" s="820"/>
      <c r="O131" s="1160"/>
      <c r="P131" s="820" t="e">
        <f t="shared" si="3"/>
        <v>#VALUE!</v>
      </c>
      <c r="Q131"/>
      <c r="R131"/>
      <c r="S131"/>
      <c r="T131" s="819"/>
    </row>
    <row r="132" spans="1:20" ht="15.75" customHeight="1">
      <c r="A132" s="1008">
        <f t="shared" si="4"/>
        <v>107</v>
      </c>
      <c r="B132" s="1037">
        <v>9320</v>
      </c>
      <c r="C132" s="1038" t="s">
        <v>1205</v>
      </c>
      <c r="D132" s="821">
        <f>'C.2.1 B'!D170</f>
        <v>2010.2359013780328</v>
      </c>
      <c r="E132" s="820"/>
      <c r="F132" s="820" t="e">
        <v>#VALUE!</v>
      </c>
      <c r="G132" s="820"/>
      <c r="H132" s="820" t="e">
        <v>#VALUE!</v>
      </c>
      <c r="I132" s="820"/>
      <c r="J132" s="820" t="e">
        <v>#VALUE!</v>
      </c>
      <c r="K132" s="820"/>
      <c r="L132" s="820">
        <v>0</v>
      </c>
      <c r="M132" s="820"/>
      <c r="N132" s="821">
        <v>0</v>
      </c>
      <c r="O132" s="820"/>
      <c r="P132" s="821" t="e">
        <f t="shared" si="3"/>
        <v>#VALUE!</v>
      </c>
      <c r="Q132"/>
      <c r="R132"/>
      <c r="S132"/>
      <c r="T132" s="819"/>
    </row>
    <row r="133" spans="1:20" ht="15.75" customHeight="1">
      <c r="A133" s="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/>
      <c r="R133"/>
      <c r="S133"/>
    </row>
    <row r="134" spans="1:20" ht="15.75" customHeight="1">
      <c r="A134" s="2">
        <f>A132+1</f>
        <v>108</v>
      </c>
      <c r="B134" s="4" t="s">
        <v>101</v>
      </c>
      <c r="D134" s="155">
        <f>SUM(D48:D93)+SUM(D99:D132)</f>
        <v>26647347.168500256</v>
      </c>
      <c r="E134" s="130"/>
      <c r="F134" s="155" t="e">
        <f>SUM(F48:F93)+SUM(F99:F132)</f>
        <v>#VALUE!</v>
      </c>
      <c r="G134" s="130"/>
      <c r="H134" s="155" t="e">
        <f>SUM(H48:H93)+SUM(H99:H132)</f>
        <v>#VALUE!</v>
      </c>
      <c r="I134" s="130"/>
      <c r="J134" s="155" t="e">
        <f>SUM(J48:J93)+SUM(J99:J132)</f>
        <v>#VALUE!</v>
      </c>
      <c r="K134" s="130"/>
      <c r="L134" s="155">
        <f>SUM(L48:L93)+SUM(L99:L132)</f>
        <v>-250895.52998466406</v>
      </c>
      <c r="M134" s="130"/>
      <c r="N134" s="155">
        <f>SUM(N48:N93)+SUM(N99:N132)</f>
        <v>955058.20888760872</v>
      </c>
      <c r="O134" s="130"/>
      <c r="P134" s="155" t="e">
        <f>SUM(P48:P93)+SUM(P99:P132)</f>
        <v>#VALUE!</v>
      </c>
      <c r="Q134"/>
      <c r="R134"/>
      <c r="S134"/>
    </row>
    <row r="135" spans="1:20" ht="15.75" customHeight="1">
      <c r="A135" s="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/>
      <c r="R135"/>
      <c r="S135"/>
    </row>
    <row r="136" spans="1:20" ht="15.75" customHeight="1">
      <c r="A136" s="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/>
      <c r="R136"/>
      <c r="S136"/>
    </row>
    <row r="137" spans="1:20" ht="15.75" customHeight="1">
      <c r="A137" s="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/>
      <c r="R137"/>
      <c r="S137"/>
    </row>
    <row r="138" spans="1:20" ht="15.75" customHeight="1">
      <c r="A138" s="2">
        <f>A134+1</f>
        <v>109</v>
      </c>
      <c r="B138" s="115" t="s">
        <v>327</v>
      </c>
      <c r="C138" s="107"/>
      <c r="D138" s="136">
        <v>7022773.9900000002</v>
      </c>
      <c r="E138" s="130"/>
      <c r="F138" s="136" t="e">
        <f>SUM(F122:F132,F99:F119,F48:F93)</f>
        <v>#VALUE!</v>
      </c>
      <c r="G138" s="136"/>
      <c r="H138" s="136"/>
      <c r="I138" s="136"/>
      <c r="J138" s="136"/>
      <c r="K138" s="136"/>
      <c r="L138" s="136"/>
      <c r="M138" s="136"/>
      <c r="N138" s="136"/>
      <c r="O138" s="136"/>
      <c r="P138" s="136" t="e">
        <f>SUM(F138:O138)</f>
        <v>#VALUE!</v>
      </c>
      <c r="Q138"/>
      <c r="R138"/>
      <c r="S138"/>
    </row>
    <row r="139" spans="1:20" ht="15.75" customHeight="1">
      <c r="A139" s="2">
        <f>A138+1</f>
        <v>110</v>
      </c>
      <c r="B139" s="4" t="s">
        <v>328</v>
      </c>
      <c r="D139" s="136">
        <v>621710.18000000017</v>
      </c>
      <c r="E139" s="130"/>
      <c r="F139" s="136"/>
      <c r="G139" s="136"/>
      <c r="H139" s="136" t="e">
        <f>SUM(H$122:H$132,H$99:H$119,H$48:H$93)</f>
        <v>#VALUE!</v>
      </c>
      <c r="I139" s="136"/>
      <c r="J139" s="136"/>
      <c r="K139" s="136"/>
      <c r="L139" s="136"/>
      <c r="M139" s="136"/>
      <c r="N139" s="136"/>
      <c r="O139" s="136"/>
      <c r="P139" s="136" t="e">
        <f>SUM(F139:O139)</f>
        <v>#VALUE!</v>
      </c>
      <c r="Q139"/>
      <c r="R139"/>
      <c r="S139"/>
    </row>
    <row r="140" spans="1:20" ht="15.75" customHeight="1">
      <c r="A140" s="2">
        <f>A139+1</f>
        <v>111</v>
      </c>
      <c r="B140" s="4" t="s">
        <v>329</v>
      </c>
      <c r="D140" s="136">
        <v>5368419.6790142525</v>
      </c>
      <c r="E140" s="130"/>
      <c r="F140" s="136"/>
      <c r="G140" s="136"/>
      <c r="H140" s="136"/>
      <c r="I140" s="136"/>
      <c r="J140" s="136" t="e">
        <f>SUM(J$122:J$132,J$99:J$120,J$48:J$93)</f>
        <v>#VALUE!</v>
      </c>
      <c r="K140" s="136"/>
      <c r="L140" s="136"/>
      <c r="M140" s="136"/>
      <c r="N140" s="136"/>
      <c r="O140" s="136"/>
      <c r="P140" s="136" t="e">
        <f>SUM(F140:O140)</f>
        <v>#VALUE!</v>
      </c>
      <c r="Q140"/>
      <c r="R140"/>
      <c r="S140"/>
    </row>
    <row r="141" spans="1:20" ht="15.75" customHeight="1">
      <c r="A141" s="2">
        <f>A140+1</f>
        <v>112</v>
      </c>
      <c r="B141" s="4" t="s">
        <v>330</v>
      </c>
      <c r="D141" s="136">
        <v>564321.71039999998</v>
      </c>
      <c r="E141" s="130"/>
      <c r="F141" s="136"/>
      <c r="G141" s="136"/>
      <c r="H141" s="136"/>
      <c r="I141" s="136"/>
      <c r="J141" s="136"/>
      <c r="K141" s="136"/>
      <c r="L141" s="136">
        <f>L134</f>
        <v>-250895.52998466406</v>
      </c>
      <c r="M141" s="136"/>
      <c r="N141" s="136"/>
      <c r="O141" s="136"/>
      <c r="P141" s="136">
        <f>SUM(F141:O141)</f>
        <v>-250895.52998466406</v>
      </c>
      <c r="Q141"/>
      <c r="R141"/>
      <c r="S141"/>
    </row>
    <row r="142" spans="1:20" ht="15.75" customHeight="1">
      <c r="A142" s="2">
        <f>A141+1</f>
        <v>113</v>
      </c>
      <c r="B142" s="4" t="s">
        <v>817</v>
      </c>
      <c r="D142" s="138">
        <f>D121</f>
        <v>13070219.117788246</v>
      </c>
      <c r="E142" s="130"/>
      <c r="F142" s="138" t="e">
        <f>F144-F138</f>
        <v>#VALUE!</v>
      </c>
      <c r="G142" s="136"/>
      <c r="H142" s="138" t="e">
        <f>H144-H139</f>
        <v>#VALUE!</v>
      </c>
      <c r="I142" s="136"/>
      <c r="J142" s="138" t="e">
        <f>J144-J140</f>
        <v>#VALUE!</v>
      </c>
      <c r="K142" s="136"/>
      <c r="L142" s="138"/>
      <c r="M142" s="136"/>
      <c r="N142" s="138">
        <f>N121</f>
        <v>955058.20888760872</v>
      </c>
      <c r="O142" s="136"/>
      <c r="P142" s="573" t="e">
        <f>SUM(F142:O142)</f>
        <v>#VALUE!</v>
      </c>
      <c r="Q142"/>
      <c r="R142"/>
      <c r="S142"/>
    </row>
    <row r="143" spans="1:20" ht="15.75" customHeight="1">
      <c r="A143" s="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/>
      <c r="R143"/>
      <c r="S143"/>
    </row>
    <row r="144" spans="1:20" ht="15.75" customHeight="1">
      <c r="A144" s="2">
        <f>A142+1</f>
        <v>114</v>
      </c>
      <c r="B144" s="4" t="s">
        <v>101</v>
      </c>
      <c r="D144" s="155">
        <f>SUM(D138:D142)</f>
        <v>26647444.6772025</v>
      </c>
      <c r="E144" s="130"/>
      <c r="F144" s="155">
        <f>D.2.2!D15</f>
        <v>19843.501413553953</v>
      </c>
      <c r="G144" s="136"/>
      <c r="H144" s="155">
        <f>D.2.2!$D$21</f>
        <v>-56858.940000000293</v>
      </c>
      <c r="I144" s="136"/>
      <c r="J144" s="155">
        <f>D.2.2!$D$28</f>
        <v>-463306.08900675364</v>
      </c>
      <c r="K144" s="136"/>
      <c r="L144" s="155">
        <f>D.2.2!$D$34</f>
        <v>-250895.52998466406</v>
      </c>
      <c r="M144" s="136"/>
      <c r="N144" s="155">
        <f>D.2.2!$D$39</f>
        <v>955058.22627200559</v>
      </c>
      <c r="O144" s="136"/>
      <c r="P144" s="155" t="e">
        <f>SUM(P138:P142)</f>
        <v>#VALUE!</v>
      </c>
      <c r="Q144"/>
      <c r="R144"/>
      <c r="S144"/>
    </row>
    <row r="145" spans="1:21" ht="15.75" customHeight="1">
      <c r="A145" s="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/>
      <c r="R145"/>
      <c r="S145"/>
    </row>
    <row r="146" spans="1:21" ht="15.75" customHeight="1">
      <c r="A146" s="2">
        <f>A144+1</f>
        <v>115</v>
      </c>
      <c r="B146" s="4" t="s">
        <v>229</v>
      </c>
      <c r="D146" s="753">
        <f>D40</f>
        <v>0.38900000000000001</v>
      </c>
      <c r="E146" s="130"/>
      <c r="F146" s="155">
        <f>F144*$D$146*-1</f>
        <v>-7719.1220498724879</v>
      </c>
      <c r="G146" s="130"/>
      <c r="H146" s="155">
        <f>H144*$D$146*-1</f>
        <v>22118.127660000115</v>
      </c>
      <c r="I146" s="136"/>
      <c r="J146" s="155">
        <f>J144*$D$146*-1</f>
        <v>180226.06862362716</v>
      </c>
      <c r="K146" s="136"/>
      <c r="L146" s="155">
        <f>L144*$D$146*-1</f>
        <v>97598.361164034315</v>
      </c>
      <c r="M146" s="136"/>
      <c r="N146" s="155">
        <f>N144*$D$146*-1</f>
        <v>-371517.65001981019</v>
      </c>
      <c r="O146" s="136"/>
      <c r="P146" s="155" t="e">
        <f>P144*$D$146*-1</f>
        <v>#VALUE!</v>
      </c>
      <c r="Q146"/>
      <c r="R146"/>
      <c r="S146"/>
    </row>
    <row r="147" spans="1:21" ht="15.75" customHeight="1">
      <c r="A147" s="2"/>
      <c r="D147" s="130"/>
      <c r="E147" s="130"/>
      <c r="F147" s="130"/>
      <c r="G147" s="130"/>
      <c r="H147" s="136"/>
      <c r="I147" s="136"/>
      <c r="J147" s="136"/>
      <c r="K147" s="136"/>
      <c r="L147" s="136"/>
      <c r="M147" s="136"/>
      <c r="N147" s="136"/>
      <c r="O147" s="136"/>
      <c r="P147" s="136"/>
      <c r="Q147"/>
      <c r="R147"/>
      <c r="S147"/>
    </row>
    <row r="148" spans="1:21" ht="15.75" customHeight="1">
      <c r="A148" s="2">
        <f>A146+1</f>
        <v>116</v>
      </c>
      <c r="B148" s="4" t="s">
        <v>857</v>
      </c>
      <c r="D148" s="130"/>
      <c r="E148" s="130"/>
      <c r="F148" s="155">
        <f>F144+F146</f>
        <v>12124.379363681466</v>
      </c>
      <c r="G148" s="130"/>
      <c r="H148" s="155">
        <f>H144+H146</f>
        <v>-34740.812340000179</v>
      </c>
      <c r="I148" s="130"/>
      <c r="J148" s="155">
        <f>J144+J146</f>
        <v>-283080.02038312645</v>
      </c>
      <c r="K148" s="130"/>
      <c r="L148" s="155">
        <f>L144+L146</f>
        <v>-153297.16882062974</v>
      </c>
      <c r="M148" s="130"/>
      <c r="N148" s="155">
        <f>N144+N146</f>
        <v>583540.5762521954</v>
      </c>
      <c r="O148" s="130"/>
      <c r="P148" s="155" t="e">
        <f>P144+P146</f>
        <v>#VALUE!</v>
      </c>
      <c r="Q148"/>
      <c r="R148"/>
      <c r="S148"/>
    </row>
    <row r="149" spans="1:21" ht="15.75" customHeight="1">
      <c r="A149" s="127"/>
      <c r="B149" s="117"/>
      <c r="C149" s="119"/>
      <c r="D149" s="130"/>
      <c r="E149" s="130"/>
      <c r="F149" s="155"/>
      <c r="G149" s="130"/>
      <c r="H149" s="155"/>
      <c r="I149" s="130"/>
      <c r="J149" s="155"/>
      <c r="K149" s="130"/>
      <c r="L149" s="155"/>
      <c r="M149" s="130"/>
      <c r="N149" s="155"/>
      <c r="O149" s="130"/>
      <c r="P149" s="155"/>
      <c r="Q149"/>
      <c r="R149"/>
      <c r="S149"/>
    </row>
    <row r="150" spans="1:21" ht="15.75" customHeight="1">
      <c r="A150" s="119"/>
      <c r="B150" s="119"/>
      <c r="C150" s="119"/>
      <c r="D150" s="130"/>
      <c r="E150" s="130"/>
      <c r="F150" s="130"/>
      <c r="G150" s="130"/>
      <c r="H150" s="164" t="s">
        <v>223</v>
      </c>
      <c r="I150" s="130"/>
      <c r="J150" s="130"/>
      <c r="K150" s="130"/>
      <c r="L150" s="130"/>
      <c r="M150" s="130"/>
      <c r="N150" s="130"/>
      <c r="O150" s="130"/>
      <c r="P150" s="130"/>
      <c r="Q150"/>
      <c r="R150"/>
      <c r="S150"/>
    </row>
    <row r="151" spans="1:21" ht="15.75" customHeight="1">
      <c r="A151" s="127" t="s">
        <v>98</v>
      </c>
      <c r="B151" s="181" t="s">
        <v>1348</v>
      </c>
      <c r="C151" s="119"/>
      <c r="D151" s="164" t="s">
        <v>45</v>
      </c>
      <c r="E151" s="130"/>
      <c r="F151" s="1155" t="s">
        <v>1111</v>
      </c>
      <c r="G151" s="1156"/>
      <c r="H151" s="1155" t="s">
        <v>1111</v>
      </c>
      <c r="I151" s="1157"/>
      <c r="J151" s="163" t="s">
        <v>485</v>
      </c>
      <c r="K151" s="161"/>
      <c r="L151" s="1155" t="s">
        <v>1109</v>
      </c>
      <c r="M151" s="1157"/>
      <c r="N151" s="1155" t="s">
        <v>1109</v>
      </c>
      <c r="O151" s="1156"/>
      <c r="P151" s="164" t="s">
        <v>101</v>
      </c>
      <c r="Q151"/>
      <c r="R151"/>
      <c r="S151"/>
    </row>
    <row r="152" spans="1:21" ht="15.75" customHeight="1">
      <c r="A152" s="128" t="s">
        <v>104</v>
      </c>
      <c r="B152" s="182" t="s">
        <v>224</v>
      </c>
      <c r="C152" s="124"/>
      <c r="D152" s="859" t="s">
        <v>553</v>
      </c>
      <c r="E152" s="1158"/>
      <c r="F152" s="859" t="s">
        <v>622</v>
      </c>
      <c r="G152" s="1159" t="s">
        <v>332</v>
      </c>
      <c r="H152" s="859" t="s">
        <v>479</v>
      </c>
      <c r="I152" s="1159"/>
      <c r="J152" s="128" t="s">
        <v>480</v>
      </c>
      <c r="K152" s="118" t="s">
        <v>332</v>
      </c>
      <c r="L152" s="859" t="s">
        <v>481</v>
      </c>
      <c r="M152" s="1159" t="s">
        <v>332</v>
      </c>
      <c r="N152" s="859" t="s">
        <v>482</v>
      </c>
      <c r="O152" s="1158"/>
      <c r="P152" s="859" t="s">
        <v>486</v>
      </c>
      <c r="Q152"/>
      <c r="R152"/>
      <c r="S152"/>
      <c r="U152" s="155"/>
    </row>
    <row r="153" spans="1:21" ht="15.75" customHeight="1">
      <c r="A153" s="119"/>
      <c r="B153" s="183"/>
      <c r="C153" s="119"/>
      <c r="D153" s="169"/>
      <c r="E153" s="130"/>
      <c r="F153" s="130"/>
      <c r="G153" s="169"/>
      <c r="H153" s="130"/>
      <c r="I153" s="184"/>
      <c r="J153" s="130"/>
      <c r="K153" s="1161"/>
      <c r="L153" s="130"/>
      <c r="M153" s="184"/>
      <c r="N153" s="130"/>
      <c r="O153" s="169"/>
      <c r="P153" s="130"/>
      <c r="Q153"/>
      <c r="R153"/>
      <c r="S153"/>
    </row>
    <row r="154" spans="1:21" ht="15.75" customHeight="1">
      <c r="A154" s="119"/>
      <c r="B154" s="183"/>
      <c r="C154" s="119"/>
      <c r="D154" s="169"/>
      <c r="E154" s="130"/>
      <c r="F154" s="130"/>
      <c r="G154" s="169"/>
      <c r="H154" s="130"/>
      <c r="I154" s="184"/>
      <c r="J154" s="130"/>
      <c r="K154" s="1161"/>
      <c r="L154" s="130"/>
      <c r="M154" s="184"/>
      <c r="N154" s="130"/>
      <c r="O154" s="169"/>
      <c r="P154" s="130"/>
      <c r="Q154"/>
      <c r="R154"/>
      <c r="S154"/>
    </row>
    <row r="155" spans="1:21" ht="15.75" customHeight="1">
      <c r="A155" s="127">
        <f>A148+1</f>
        <v>117</v>
      </c>
      <c r="B155" s="117" t="s">
        <v>23</v>
      </c>
      <c r="C155" s="119"/>
      <c r="D155" s="820">
        <f>'C.2.1 B'!D175</f>
        <v>18252729.938099388</v>
      </c>
      <c r="E155" s="130"/>
      <c r="F155" s="136">
        <f>D.2.3!D15</f>
        <v>1172323.5078915991</v>
      </c>
      <c r="G155" s="184"/>
      <c r="H155" s="136"/>
      <c r="I155" s="136"/>
      <c r="J155" s="136"/>
      <c r="K155" s="1161"/>
      <c r="L155" s="130"/>
      <c r="M155" s="136"/>
      <c r="N155" s="130"/>
      <c r="O155" s="169"/>
      <c r="P155" s="136">
        <f>SUM(F155:O155)</f>
        <v>1172323.5078915991</v>
      </c>
      <c r="Q155"/>
      <c r="R155"/>
      <c r="S155"/>
    </row>
    <row r="156" spans="1:21" ht="15.75" customHeight="1">
      <c r="A156" s="922">
        <f>A155+1</f>
        <v>118</v>
      </c>
      <c r="B156" s="181" t="s">
        <v>524</v>
      </c>
      <c r="C156" s="119"/>
      <c r="D156" s="136">
        <v>0</v>
      </c>
      <c r="E156" s="130"/>
      <c r="F156" s="136"/>
      <c r="G156" s="136"/>
      <c r="H156" s="136"/>
      <c r="I156" s="184"/>
      <c r="J156" s="130"/>
      <c r="K156" s="1162"/>
      <c r="L156" s="130"/>
      <c r="M156" s="184"/>
      <c r="N156" s="130"/>
      <c r="O156" s="169"/>
      <c r="P156" s="136">
        <f>SUM(F156:O156)</f>
        <v>0</v>
      </c>
      <c r="Q156"/>
      <c r="R156"/>
      <c r="S156"/>
    </row>
    <row r="157" spans="1:21" ht="15.75" customHeight="1">
      <c r="A157" s="922">
        <f t="shared" ref="A157:A172" si="5">A156+1</f>
        <v>119</v>
      </c>
      <c r="B157" s="117" t="s">
        <v>171</v>
      </c>
      <c r="C157" s="119"/>
      <c r="D157" s="855">
        <f>'C.2.2 B 09'!P15</f>
        <v>48446.399999999994</v>
      </c>
      <c r="E157" s="130"/>
      <c r="F157" s="138"/>
      <c r="G157" s="184"/>
      <c r="H157" s="138"/>
      <c r="I157" s="184"/>
      <c r="J157" s="1158"/>
      <c r="K157" s="1162"/>
      <c r="L157" s="1158"/>
      <c r="M157" s="184"/>
      <c r="N157" s="1158"/>
      <c r="O157" s="169"/>
      <c r="P157" s="138">
        <f>SUM(F157:O157)</f>
        <v>0</v>
      </c>
      <c r="Q157"/>
      <c r="R157"/>
      <c r="S157"/>
    </row>
    <row r="158" spans="1:21" ht="15.75" customHeight="1">
      <c r="A158" s="922">
        <f t="shared" si="5"/>
        <v>120</v>
      </c>
      <c r="B158" s="119"/>
      <c r="C158" s="119"/>
      <c r="D158" s="184"/>
      <c r="E158" s="130"/>
      <c r="F158" s="136"/>
      <c r="G158" s="184"/>
      <c r="H158" s="136"/>
      <c r="I158" s="184"/>
      <c r="J158" s="169"/>
      <c r="K158" s="1161"/>
      <c r="L158" s="130"/>
      <c r="M158" s="184"/>
      <c r="N158" s="130"/>
      <c r="O158" s="169"/>
      <c r="P158" s="136"/>
      <c r="Q158"/>
      <c r="R158"/>
      <c r="S158"/>
    </row>
    <row r="159" spans="1:21" ht="15.75" customHeight="1">
      <c r="A159" s="922">
        <f t="shared" si="5"/>
        <v>121</v>
      </c>
      <c r="B159" s="117" t="s">
        <v>502</v>
      </c>
      <c r="C159" s="119"/>
      <c r="D159" s="822">
        <f>SUM(D155:D157)</f>
        <v>18301176.338099387</v>
      </c>
      <c r="E159" s="130"/>
      <c r="F159" s="822">
        <f>SUM(F155:F157)</f>
        <v>1172323.5078915991</v>
      </c>
      <c r="G159" s="184"/>
      <c r="H159" s="822"/>
      <c r="I159" s="130"/>
      <c r="J159" s="822"/>
      <c r="K159" s="1161"/>
      <c r="L159" s="822"/>
      <c r="M159" s="130"/>
      <c r="N159" s="822"/>
      <c r="O159" s="184"/>
      <c r="P159" s="155">
        <f>SUM(F159:O159)</f>
        <v>1172323.5078915991</v>
      </c>
      <c r="Q159"/>
      <c r="R159"/>
      <c r="S159"/>
    </row>
    <row r="160" spans="1:21" ht="15.75" customHeight="1">
      <c r="A160" s="922">
        <f t="shared" si="5"/>
        <v>122</v>
      </c>
      <c r="B160" s="119"/>
      <c r="C160" s="119"/>
      <c r="D160" s="184"/>
      <c r="E160" s="130"/>
      <c r="F160" s="136"/>
      <c r="G160" s="184"/>
      <c r="H160" s="136"/>
      <c r="I160" s="184"/>
      <c r="J160" s="130"/>
      <c r="K160" s="1161"/>
      <c r="L160" s="130"/>
      <c r="M160" s="184"/>
      <c r="N160" s="130"/>
      <c r="O160" s="169"/>
      <c r="P160" s="130"/>
      <c r="Q160"/>
      <c r="R160"/>
      <c r="S160"/>
    </row>
    <row r="161" spans="1:19" ht="15.75" customHeight="1">
      <c r="A161" s="922">
        <f t="shared" si="5"/>
        <v>123</v>
      </c>
      <c r="B161" s="181" t="s">
        <v>229</v>
      </c>
      <c r="C161" s="119"/>
      <c r="D161" s="753">
        <f>D40</f>
        <v>0.38900000000000001</v>
      </c>
      <c r="E161" s="130"/>
      <c r="F161" s="155">
        <f>F159*$D$161</f>
        <v>456033.84456983209</v>
      </c>
      <c r="G161" s="184"/>
      <c r="H161" s="155"/>
      <c r="I161" s="184"/>
      <c r="J161" s="155"/>
      <c r="K161" s="184"/>
      <c r="L161" s="155"/>
      <c r="M161" s="136"/>
      <c r="N161" s="155"/>
      <c r="O161" s="184"/>
      <c r="P161" s="155">
        <f>P159*$D$161</f>
        <v>456033.84456983209</v>
      </c>
      <c r="Q161"/>
      <c r="R161"/>
      <c r="S161"/>
    </row>
    <row r="162" spans="1:19" ht="15.75" customHeight="1">
      <c r="A162" s="922">
        <f t="shared" si="5"/>
        <v>124</v>
      </c>
      <c r="B162" s="183"/>
      <c r="C162" s="119"/>
      <c r="D162" s="1163"/>
      <c r="E162" s="130"/>
      <c r="F162" s="136"/>
      <c r="G162" s="184"/>
      <c r="H162" s="136"/>
      <c r="I162" s="184"/>
      <c r="J162" s="130"/>
      <c r="K162" s="1161"/>
      <c r="L162" s="130"/>
      <c r="M162" s="184"/>
      <c r="N162" s="130"/>
      <c r="O162" s="169"/>
      <c r="P162" s="130"/>
      <c r="Q162"/>
      <c r="R162"/>
      <c r="S162"/>
    </row>
    <row r="163" spans="1:19" ht="15.75" customHeight="1">
      <c r="A163" s="922">
        <f t="shared" si="5"/>
        <v>125</v>
      </c>
      <c r="B163" s="181" t="s">
        <v>857</v>
      </c>
      <c r="C163" s="119"/>
      <c r="D163" s="184"/>
      <c r="E163" s="130"/>
      <c r="F163" s="155">
        <f>F159-F161</f>
        <v>716289.663321767</v>
      </c>
      <c r="G163" s="184"/>
      <c r="H163" s="155"/>
      <c r="I163" s="184"/>
      <c r="J163" s="155"/>
      <c r="K163" s="184"/>
      <c r="L163" s="155"/>
      <c r="M163" s="184"/>
      <c r="N163" s="155"/>
      <c r="O163" s="184"/>
      <c r="P163" s="155">
        <f>P159-P161</f>
        <v>716289.663321767</v>
      </c>
      <c r="Q163"/>
      <c r="R163"/>
      <c r="S163"/>
    </row>
    <row r="164" spans="1:19" ht="15.75" customHeight="1">
      <c r="A164" s="922">
        <f t="shared" si="5"/>
        <v>126</v>
      </c>
      <c r="B164" s="183"/>
      <c r="C164" s="119"/>
      <c r="D164" s="184"/>
      <c r="E164" s="130"/>
      <c r="F164" s="136"/>
      <c r="G164" s="184"/>
      <c r="H164" s="136"/>
      <c r="I164" s="184"/>
      <c r="J164" s="130"/>
      <c r="K164" s="1161"/>
      <c r="L164" s="130"/>
      <c r="M164" s="184"/>
      <c r="N164" s="130"/>
      <c r="O164" s="169"/>
      <c r="P164" s="130"/>
      <c r="Q164"/>
      <c r="R164"/>
      <c r="S164"/>
    </row>
    <row r="165" spans="1:19" ht="15.75" customHeight="1">
      <c r="A165" s="922">
        <f t="shared" si="5"/>
        <v>127</v>
      </c>
      <c r="B165" s="119"/>
      <c r="C165" s="119"/>
      <c r="D165" s="130"/>
      <c r="E165" s="130"/>
      <c r="F165" s="136"/>
      <c r="G165" s="184"/>
      <c r="H165" s="136"/>
      <c r="I165" s="136"/>
      <c r="J165" s="130"/>
      <c r="K165" s="1161"/>
      <c r="L165" s="130"/>
      <c r="M165" s="136"/>
      <c r="N165" s="169"/>
      <c r="O165" s="169"/>
      <c r="P165" s="130"/>
      <c r="Q165"/>
      <c r="R165"/>
      <c r="S165"/>
    </row>
    <row r="166" spans="1:19" ht="15.75" customHeight="1">
      <c r="A166" s="922">
        <f t="shared" si="5"/>
        <v>128</v>
      </c>
      <c r="B166" s="183"/>
      <c r="C166" s="119"/>
      <c r="D166" s="136"/>
      <c r="E166" s="130"/>
      <c r="F166" s="136"/>
      <c r="G166" s="136"/>
      <c r="H166" s="184"/>
      <c r="I166" s="130"/>
      <c r="J166" s="130"/>
      <c r="K166" s="130"/>
      <c r="L166" s="130"/>
      <c r="M166" s="130"/>
      <c r="N166" s="130"/>
      <c r="O166" s="130"/>
      <c r="P166" s="130"/>
      <c r="Q166"/>
      <c r="R166"/>
      <c r="S166"/>
    </row>
    <row r="167" spans="1:19" ht="15.75" customHeight="1">
      <c r="A167" s="922">
        <f t="shared" si="5"/>
        <v>129</v>
      </c>
      <c r="B167" s="119"/>
      <c r="C167" s="119"/>
      <c r="D167" s="136"/>
      <c r="E167" s="130"/>
      <c r="F167" s="136"/>
      <c r="G167" s="136"/>
      <c r="H167" s="184"/>
      <c r="I167" s="130"/>
      <c r="J167" s="130"/>
      <c r="K167" s="130"/>
      <c r="L167" s="130"/>
      <c r="M167" s="130"/>
      <c r="N167" s="130"/>
      <c r="O167" s="130"/>
      <c r="P167" s="130"/>
      <c r="Q167"/>
      <c r="R167"/>
      <c r="S167"/>
    </row>
    <row r="168" spans="1:19" ht="15.75" customHeight="1">
      <c r="A168" s="922">
        <f t="shared" si="5"/>
        <v>130</v>
      </c>
      <c r="B168" s="181" t="s">
        <v>585</v>
      </c>
      <c r="C168" s="119"/>
      <c r="D168" s="822">
        <f>'C.2.2 B 09'!P16</f>
        <v>6437544.724313166</v>
      </c>
      <c r="E168" s="130"/>
      <c r="F168" s="155"/>
      <c r="G168" s="136"/>
      <c r="H168" s="822">
        <f>D.2.3!D20</f>
        <v>-337324.5716198897</v>
      </c>
      <c r="I168" s="130"/>
      <c r="J168" s="589"/>
      <c r="K168" s="130"/>
      <c r="L168" s="589"/>
      <c r="M168" s="130"/>
      <c r="N168" s="589"/>
      <c r="O168" s="130"/>
      <c r="P168" s="155">
        <f>SUM(F168:O168)</f>
        <v>-337324.5716198897</v>
      </c>
      <c r="Q168"/>
      <c r="R168"/>
      <c r="S168"/>
    </row>
    <row r="169" spans="1:19" ht="15.75" customHeight="1">
      <c r="A169" s="922">
        <f t="shared" si="5"/>
        <v>131</v>
      </c>
      <c r="B169" s="119"/>
      <c r="C169" s="119"/>
      <c r="D169" s="136"/>
      <c r="E169" s="130"/>
      <c r="F169" s="136"/>
      <c r="G169" s="136"/>
      <c r="H169" s="184"/>
      <c r="I169" s="130"/>
      <c r="J169" s="130"/>
      <c r="K169" s="130"/>
      <c r="L169" s="130"/>
      <c r="M169" s="130"/>
      <c r="N169" s="130"/>
      <c r="O169" s="130"/>
      <c r="P169" s="130"/>
      <c r="Q169"/>
      <c r="R169"/>
      <c r="S169"/>
    </row>
    <row r="170" spans="1:19" ht="15.75" customHeight="1">
      <c r="A170" s="922">
        <f t="shared" si="5"/>
        <v>132</v>
      </c>
      <c r="B170" s="181" t="s">
        <v>229</v>
      </c>
      <c r="C170" s="119"/>
      <c r="D170" s="753">
        <f>D40</f>
        <v>0.38900000000000001</v>
      </c>
      <c r="E170" s="130"/>
      <c r="F170" s="155"/>
      <c r="G170" s="136"/>
      <c r="H170" s="155">
        <f>H168*$D$170</f>
        <v>-131219.25836013709</v>
      </c>
      <c r="I170" s="130"/>
      <c r="J170" s="155"/>
      <c r="K170" s="136"/>
      <c r="L170" s="155"/>
      <c r="M170" s="130"/>
      <c r="N170" s="155"/>
      <c r="O170" s="136"/>
      <c r="P170" s="155">
        <f>P168*$D$170</f>
        <v>-131219.25836013709</v>
      </c>
      <c r="Q170"/>
      <c r="R170"/>
      <c r="S170"/>
    </row>
    <row r="171" spans="1:19" ht="15.75" customHeight="1">
      <c r="A171" s="922">
        <f t="shared" si="5"/>
        <v>133</v>
      </c>
      <c r="B171" s="183"/>
      <c r="C171" s="119"/>
      <c r="D171" s="1163"/>
      <c r="E171" s="130"/>
      <c r="F171" s="136"/>
      <c r="G171" s="136"/>
      <c r="H171" s="136"/>
      <c r="I171" s="130"/>
      <c r="J171" s="136"/>
      <c r="K171" s="136"/>
      <c r="L171" s="136"/>
      <c r="M171" s="130"/>
      <c r="N171" s="136"/>
      <c r="O171" s="136"/>
      <c r="P171" s="136"/>
      <c r="Q171"/>
      <c r="R171"/>
      <c r="S171"/>
    </row>
    <row r="172" spans="1:19" ht="15.75" customHeight="1">
      <c r="A172" s="922">
        <f t="shared" si="5"/>
        <v>134</v>
      </c>
      <c r="B172" s="181" t="s">
        <v>857</v>
      </c>
      <c r="C172" s="119"/>
      <c r="D172" s="188"/>
      <c r="E172" s="119"/>
      <c r="F172" s="19"/>
      <c r="G172" s="188"/>
      <c r="H172" s="19">
        <f>H168-H170</f>
        <v>-206105.31325975261</v>
      </c>
      <c r="I172" s="183"/>
      <c r="J172" s="19"/>
      <c r="K172" s="188"/>
      <c r="L172" s="19"/>
      <c r="M172" s="183"/>
      <c r="N172" s="19"/>
      <c r="O172" s="188"/>
      <c r="P172" s="19">
        <f>P168-P170</f>
        <v>-206105.31325975261</v>
      </c>
      <c r="Q172"/>
      <c r="R172"/>
      <c r="S172"/>
    </row>
    <row r="173" spans="1:19" ht="15.75" customHeight="1">
      <c r="A173" s="127"/>
      <c r="B173" s="183"/>
      <c r="C173" s="119"/>
      <c r="D173" s="134"/>
      <c r="E173" s="119"/>
      <c r="F173" s="134"/>
      <c r="G173" s="188"/>
      <c r="H173" s="134"/>
      <c r="I173" s="183"/>
      <c r="J173" s="119"/>
      <c r="K173" s="183"/>
      <c r="L173" s="119"/>
      <c r="M173" s="183"/>
      <c r="N173" s="119"/>
      <c r="O173" s="183"/>
      <c r="P173" s="119"/>
      <c r="Q173"/>
      <c r="R173"/>
      <c r="S173"/>
    </row>
    <row r="174" spans="1:19" ht="15.75" customHeight="1">
      <c r="A174" s="127"/>
      <c r="B174" s="119"/>
      <c r="C174" s="119"/>
      <c r="D174" s="188"/>
      <c r="E174" s="119"/>
      <c r="F174" s="134"/>
      <c r="G174" s="134"/>
      <c r="H174" s="134"/>
      <c r="I174" s="183"/>
      <c r="J174" s="119"/>
      <c r="K174" s="183"/>
      <c r="L174" s="119"/>
      <c r="M174" s="183"/>
      <c r="N174" s="119"/>
      <c r="O174" s="183"/>
      <c r="P174" s="119"/>
      <c r="Q174"/>
      <c r="R174"/>
      <c r="S174"/>
    </row>
    <row r="175" spans="1:19" ht="15.75" customHeight="1">
      <c r="A175" s="2"/>
      <c r="D175" s="134"/>
      <c r="E175" s="119"/>
      <c r="F175" s="134"/>
      <c r="G175" s="188"/>
      <c r="H175" s="134"/>
      <c r="I175" s="183"/>
      <c r="J175" s="119"/>
      <c r="K175" s="183"/>
      <c r="L175" s="119"/>
      <c r="M175" s="183"/>
      <c r="N175" s="119"/>
      <c r="O175" s="119"/>
      <c r="P175" s="119"/>
      <c r="Q175"/>
      <c r="R175"/>
      <c r="S175"/>
    </row>
    <row r="176" spans="1:19" ht="15.75" customHeight="1">
      <c r="A176" s="2"/>
      <c r="D176" s="188"/>
      <c r="E176" s="119"/>
      <c r="F176" s="134"/>
      <c r="G176" s="188"/>
      <c r="H176" s="134"/>
      <c r="I176" s="119"/>
      <c r="J176" s="119"/>
      <c r="K176" s="119"/>
      <c r="L176" s="119"/>
      <c r="M176" s="119"/>
      <c r="N176" s="119"/>
      <c r="O176" s="119"/>
      <c r="P176" s="119"/>
      <c r="Q176"/>
      <c r="R176"/>
      <c r="S176"/>
    </row>
    <row r="177" spans="1:19" ht="15.75" customHeight="1">
      <c r="A177" s="2"/>
      <c r="B177" s="1" t="s">
        <v>1304</v>
      </c>
      <c r="D177" s="21"/>
      <c r="G177" s="29"/>
      <c r="I177" s="21"/>
      <c r="K177" s="37"/>
      <c r="M177" s="21"/>
      <c r="O177" s="29"/>
      <c r="Q177"/>
      <c r="R177"/>
      <c r="S177"/>
    </row>
    <row r="178" spans="1:19" ht="15.75" customHeight="1">
      <c r="A178"/>
      <c r="B178"/>
      <c r="C178" t="s">
        <v>1594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</sheetData>
  <phoneticPr fontId="24" type="noConversion"/>
  <printOptions horizontalCentered="1"/>
  <pageMargins left="0.64" right="0.5" top="1" bottom="0.5" header="0.5" footer="0.5"/>
  <pageSetup scale="5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1"/>
  <sheetViews>
    <sheetView view="pageBreakPreview" zoomScale="60" zoomScaleNormal="90" workbookViewId="0">
      <pane ySplit="11" topLeftCell="A12" activePane="bottomLeft" state="frozen"/>
      <selection activeCell="B42" sqref="B42"/>
      <selection pane="bottomLeft" activeCell="A12" sqref="A12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63" t="str">
        <f>'Table of Contents'!A1:C1</f>
        <v>Atmos Energy Corporation, Kentucky/Mid-States Division</v>
      </c>
      <c r="B1" s="1263"/>
      <c r="C1" s="1263"/>
      <c r="D1" s="1263"/>
      <c r="E1" s="40"/>
      <c r="F1"/>
    </row>
    <row r="2" spans="1:6" ht="15.75" customHeight="1">
      <c r="A2" s="1263" t="str">
        <f>'Table of Contents'!A2:C2</f>
        <v>Kentucky Jurisdiction Case No. 2015-00343</v>
      </c>
      <c r="B2" s="1263"/>
      <c r="C2" s="1263"/>
      <c r="D2" s="1263"/>
      <c r="E2" s="40"/>
      <c r="F2"/>
    </row>
    <row r="3" spans="1:6" ht="15.75" customHeight="1">
      <c r="A3" s="1263" t="s">
        <v>444</v>
      </c>
      <c r="B3" s="1263"/>
      <c r="C3" s="1263"/>
      <c r="D3" s="1263"/>
      <c r="E3" s="40"/>
      <c r="F3"/>
    </row>
    <row r="4" spans="1:6" ht="15.75" customHeight="1">
      <c r="A4" s="1263" t="str">
        <f>Allocation!A4</f>
        <v>Forecasted Test Period: Twelve Months Ended May 31, 2017</v>
      </c>
      <c r="B4" s="1263"/>
      <c r="C4" s="1263"/>
      <c r="D4" s="1263"/>
      <c r="E4" s="40"/>
      <c r="F4"/>
    </row>
    <row r="5" spans="1:6" ht="15.75" customHeight="1">
      <c r="B5" s="256"/>
      <c r="C5" s="40"/>
      <c r="D5" s="40"/>
      <c r="E5" s="40"/>
      <c r="F5"/>
    </row>
    <row r="6" spans="1:6" ht="15.75" customHeight="1">
      <c r="D6" s="47"/>
      <c r="F6"/>
    </row>
    <row r="7" spans="1:6" ht="15.75" customHeight="1">
      <c r="B7" s="4" t="s">
        <v>483</v>
      </c>
      <c r="D7" s="720" t="s">
        <v>1528</v>
      </c>
      <c r="F7"/>
    </row>
    <row r="8" spans="1:6" ht="15.75" customHeight="1">
      <c r="B8" s="4" t="s">
        <v>555</v>
      </c>
      <c r="D8" s="654" t="s">
        <v>260</v>
      </c>
      <c r="F8"/>
    </row>
    <row r="9" spans="1:6" ht="15.75" customHeight="1">
      <c r="A9" s="45"/>
      <c r="B9" s="4" t="s">
        <v>375</v>
      </c>
      <c r="C9" s="45"/>
      <c r="D9" s="654" t="str">
        <f>D.1!P9</f>
        <v>Witness:  Waller, Smith</v>
      </c>
      <c r="E9" s="47"/>
      <c r="F9"/>
    </row>
    <row r="10" spans="1:6" ht="15.75" customHeight="1">
      <c r="A10" s="1" t="s">
        <v>1098</v>
      </c>
      <c r="B10" s="13"/>
      <c r="C10" s="47"/>
      <c r="D10" s="85"/>
      <c r="E10" s="47"/>
      <c r="F10"/>
    </row>
    <row r="11" spans="1:6" ht="15.75" customHeight="1">
      <c r="A11" s="45" t="s">
        <v>1099</v>
      </c>
      <c r="B11" s="327" t="s">
        <v>619</v>
      </c>
      <c r="C11" s="6"/>
      <c r="D11" s="9" t="s">
        <v>109</v>
      </c>
      <c r="E11" s="47"/>
      <c r="F11"/>
    </row>
    <row r="12" spans="1:6" ht="15.75" customHeight="1">
      <c r="A12" s="77">
        <v>1</v>
      </c>
      <c r="B12" s="268" t="s">
        <v>620</v>
      </c>
      <c r="F12"/>
    </row>
    <row r="13" spans="1:6" ht="15.75" customHeight="1">
      <c r="A13" s="77">
        <f>A12+1</f>
        <v>2</v>
      </c>
      <c r="B13" s="115" t="s">
        <v>1313</v>
      </c>
      <c r="C13" s="115" t="s">
        <v>44</v>
      </c>
      <c r="D13" s="757">
        <f>'C.2.1 F'!D15</f>
        <v>95823029.825353429</v>
      </c>
      <c r="F13"/>
    </row>
    <row r="14" spans="1:6" ht="15.75" customHeight="1">
      <c r="A14" s="1009">
        <f t="shared" ref="A14:A71" si="0">A13+1</f>
        <v>3</v>
      </c>
      <c r="B14" s="115" t="s">
        <v>1633</v>
      </c>
      <c r="C14" s="115" t="s">
        <v>45</v>
      </c>
      <c r="D14" s="109">
        <f>'C.2.1 B'!D15</f>
        <v>98207124.629063994</v>
      </c>
      <c r="F14"/>
    </row>
    <row r="15" spans="1:6" ht="15.75" customHeight="1">
      <c r="A15" s="1009">
        <f t="shared" si="0"/>
        <v>4</v>
      </c>
      <c r="B15" s="107" t="s">
        <v>1314</v>
      </c>
      <c r="C15" s="115" t="s">
        <v>155</v>
      </c>
      <c r="D15" s="757">
        <f>D13-D14</f>
        <v>-2384094.803710565</v>
      </c>
      <c r="F15"/>
    </row>
    <row r="16" spans="1:6" ht="15.75" customHeight="1">
      <c r="A16" s="1009">
        <f t="shared" si="0"/>
        <v>5</v>
      </c>
      <c r="B16" s="107"/>
      <c r="C16" s="107"/>
      <c r="D16" s="226">
        <f>D15/D14</f>
        <v>-2.427618986621875E-2</v>
      </c>
      <c r="F16"/>
    </row>
    <row r="17" spans="1:6" ht="15.75" customHeight="1">
      <c r="A17" s="1009">
        <f t="shared" si="0"/>
        <v>6</v>
      </c>
      <c r="B17" s="107"/>
      <c r="C17" s="107"/>
      <c r="D17" s="226"/>
      <c r="F17"/>
    </row>
    <row r="18" spans="1:6" ht="15.75" customHeight="1">
      <c r="A18" s="1009">
        <f t="shared" si="0"/>
        <v>7</v>
      </c>
      <c r="B18" s="115" t="s">
        <v>1315</v>
      </c>
      <c r="C18" s="115" t="s">
        <v>44</v>
      </c>
      <c r="D18" s="757">
        <f>'C.2.1 F'!D16</f>
        <v>39862445.220677249</v>
      </c>
      <c r="F18"/>
    </row>
    <row r="19" spans="1:6" ht="15.75" customHeight="1">
      <c r="A19" s="1009">
        <f t="shared" si="0"/>
        <v>8</v>
      </c>
      <c r="B19" s="115" t="s">
        <v>1633</v>
      </c>
      <c r="C19" s="115" t="s">
        <v>45</v>
      </c>
      <c r="D19" s="109">
        <f>'C.2.1 B'!D17</f>
        <v>40950740.394301347</v>
      </c>
      <c r="F19"/>
    </row>
    <row r="20" spans="1:6" ht="15.75" customHeight="1">
      <c r="A20" s="1009">
        <f t="shared" si="0"/>
        <v>9</v>
      </c>
      <c r="B20" s="107" t="s">
        <v>1314</v>
      </c>
      <c r="C20" s="115" t="s">
        <v>155</v>
      </c>
      <c r="D20" s="757">
        <f>D18-D19</f>
        <v>-1088295.1736240983</v>
      </c>
      <c r="F20"/>
    </row>
    <row r="21" spans="1:6" ht="15.75" customHeight="1">
      <c r="A21" s="1009">
        <f t="shared" si="0"/>
        <v>10</v>
      </c>
      <c r="B21" s="107"/>
      <c r="C21" s="107"/>
      <c r="D21" s="226">
        <f>D20/D19</f>
        <v>-2.6575714215304982E-2</v>
      </c>
      <c r="F21"/>
    </row>
    <row r="22" spans="1:6" ht="15.75" customHeight="1">
      <c r="A22" s="1009">
        <f t="shared" si="0"/>
        <v>11</v>
      </c>
      <c r="B22" s="107"/>
      <c r="C22" s="107"/>
      <c r="D22" s="226"/>
      <c r="F22"/>
    </row>
    <row r="23" spans="1:6" ht="15.75" customHeight="1">
      <c r="A23" s="1009">
        <f t="shared" si="0"/>
        <v>12</v>
      </c>
      <c r="B23" s="115" t="s">
        <v>1316</v>
      </c>
      <c r="C23" s="115" t="s">
        <v>44</v>
      </c>
      <c r="D23" s="757">
        <f>'C.2.1 F'!D17</f>
        <v>4880527.2397751613</v>
      </c>
      <c r="F23"/>
    </row>
    <row r="24" spans="1:6" ht="15.75" customHeight="1">
      <c r="A24" s="1009">
        <f t="shared" si="0"/>
        <v>13</v>
      </c>
      <c r="B24" s="115" t="s">
        <v>1317</v>
      </c>
      <c r="C24" s="115" t="s">
        <v>45</v>
      </c>
      <c r="D24" s="109">
        <f>'C.2.1 B'!D18</f>
        <v>5451325.746213723</v>
      </c>
      <c r="F24"/>
    </row>
    <row r="25" spans="1:6" ht="15.75" customHeight="1">
      <c r="A25" s="1009">
        <f t="shared" si="0"/>
        <v>14</v>
      </c>
      <c r="B25" s="107" t="s">
        <v>1318</v>
      </c>
      <c r="C25" s="115" t="s">
        <v>155</v>
      </c>
      <c r="D25" s="757">
        <f>D23-D24</f>
        <v>-570798.50643856172</v>
      </c>
      <c r="F25"/>
    </row>
    <row r="26" spans="1:6" ht="15.75" customHeight="1">
      <c r="A26" s="1009">
        <f t="shared" si="0"/>
        <v>15</v>
      </c>
      <c r="B26" s="107"/>
      <c r="C26" s="107"/>
      <c r="D26" s="226">
        <f>D25/D24</f>
        <v>-0.10470819998878547</v>
      </c>
      <c r="F26"/>
    </row>
    <row r="27" spans="1:6" ht="15.75" customHeight="1">
      <c r="A27" s="1009">
        <f t="shared" si="0"/>
        <v>16</v>
      </c>
      <c r="B27" s="107"/>
      <c r="C27" s="107"/>
      <c r="D27" s="226"/>
      <c r="F27"/>
    </row>
    <row r="28" spans="1:6" ht="15.75" customHeight="1">
      <c r="A28" s="1009">
        <f t="shared" si="0"/>
        <v>17</v>
      </c>
      <c r="B28" s="115" t="s">
        <v>1319</v>
      </c>
      <c r="C28" s="115" t="s">
        <v>44</v>
      </c>
      <c r="D28" s="757">
        <f>'C.2.1 F'!D18</f>
        <v>7189609.0439688396</v>
      </c>
      <c r="F28"/>
    </row>
    <row r="29" spans="1:6" ht="15.75" customHeight="1">
      <c r="A29" s="1009">
        <f t="shared" si="0"/>
        <v>18</v>
      </c>
      <c r="B29" s="115" t="s">
        <v>1632</v>
      </c>
      <c r="C29" s="115" t="s">
        <v>45</v>
      </c>
      <c r="D29" s="109">
        <f>'C.2.1 B'!D21</f>
        <v>7553488.8796820827</v>
      </c>
      <c r="F29"/>
    </row>
    <row r="30" spans="1:6" ht="15.75" customHeight="1">
      <c r="A30" s="1009">
        <f t="shared" si="0"/>
        <v>19</v>
      </c>
      <c r="B30" s="107" t="s">
        <v>1326</v>
      </c>
      <c r="C30" s="115" t="s">
        <v>155</v>
      </c>
      <c r="D30" s="757">
        <f>D28-D29</f>
        <v>-363879.83571324311</v>
      </c>
      <c r="F30"/>
    </row>
    <row r="31" spans="1:6" ht="15.75" customHeight="1">
      <c r="A31" s="1009">
        <f t="shared" si="0"/>
        <v>20</v>
      </c>
      <c r="B31" s="107"/>
      <c r="C31" s="107"/>
      <c r="D31" s="226">
        <f>D30/D29</f>
        <v>-4.8173743485878856E-2</v>
      </c>
      <c r="F31"/>
    </row>
    <row r="32" spans="1:6" ht="15.75" customHeight="1">
      <c r="A32" s="1009">
        <f t="shared" si="0"/>
        <v>21</v>
      </c>
      <c r="B32" s="107"/>
      <c r="C32" s="107"/>
      <c r="D32" s="226"/>
      <c r="F32"/>
    </row>
    <row r="33" spans="1:6" ht="15.75" customHeight="1">
      <c r="A33" s="1009">
        <f t="shared" si="0"/>
        <v>22</v>
      </c>
      <c r="B33" s="107" t="s">
        <v>668</v>
      </c>
      <c r="C33" s="115" t="s">
        <v>44</v>
      </c>
      <c r="D33" s="757">
        <v>0</v>
      </c>
      <c r="F33"/>
    </row>
    <row r="34" spans="1:6" ht="15.75" customHeight="1">
      <c r="A34" s="1009">
        <f t="shared" si="0"/>
        <v>23</v>
      </c>
      <c r="B34" s="107"/>
      <c r="C34" s="115" t="s">
        <v>45</v>
      </c>
      <c r="D34" s="109">
        <v>0</v>
      </c>
      <c r="F34"/>
    </row>
    <row r="35" spans="1:6" ht="15.75" customHeight="1">
      <c r="A35" s="1009">
        <f t="shared" si="0"/>
        <v>24</v>
      </c>
      <c r="B35" s="107"/>
      <c r="C35" s="115" t="s">
        <v>155</v>
      </c>
      <c r="D35" s="757">
        <f>D33-D34</f>
        <v>0</v>
      </c>
      <c r="F35"/>
    </row>
    <row r="36" spans="1:6" ht="15.75" customHeight="1">
      <c r="A36" s="1009">
        <f t="shared" si="0"/>
        <v>25</v>
      </c>
      <c r="B36" s="107"/>
      <c r="C36" s="107"/>
      <c r="D36" s="758">
        <f>IF(D34=0,0,D35/D34)</f>
        <v>0</v>
      </c>
      <c r="F36"/>
    </row>
    <row r="37" spans="1:6" ht="15.75" customHeight="1">
      <c r="A37" s="1009">
        <f t="shared" si="0"/>
        <v>26</v>
      </c>
      <c r="B37" s="783" t="s">
        <v>621</v>
      </c>
      <c r="C37" s="107"/>
      <c r="D37" s="107"/>
      <c r="F37"/>
    </row>
    <row r="38" spans="1:6" ht="15.75" customHeight="1">
      <c r="A38" s="1009">
        <f t="shared" si="0"/>
        <v>27</v>
      </c>
      <c r="B38" s="107" t="s">
        <v>1322</v>
      </c>
      <c r="C38" s="115" t="s">
        <v>44</v>
      </c>
      <c r="D38" s="757">
        <f>'C.2.1 F'!D22</f>
        <v>1140887.1789956738</v>
      </c>
      <c r="F38"/>
    </row>
    <row r="39" spans="1:6" ht="15.75" customHeight="1">
      <c r="A39" s="1009">
        <f t="shared" si="0"/>
        <v>28</v>
      </c>
      <c r="B39" s="107" t="s">
        <v>1323</v>
      </c>
      <c r="C39" s="115" t="s">
        <v>45</v>
      </c>
      <c r="D39" s="109">
        <f>'C.2.1 B'!D26</f>
        <v>1230383.6535251739</v>
      </c>
      <c r="F39"/>
    </row>
    <row r="40" spans="1:6" ht="15.75" customHeight="1">
      <c r="A40" s="1009">
        <f t="shared" si="0"/>
        <v>29</v>
      </c>
      <c r="B40" s="107"/>
      <c r="C40" s="115" t="s">
        <v>155</v>
      </c>
      <c r="D40" s="757">
        <f>D38-D39</f>
        <v>-89496.474529500119</v>
      </c>
      <c r="F40"/>
    </row>
    <row r="41" spans="1:6" ht="15.75" customHeight="1">
      <c r="A41" s="1009">
        <f t="shared" si="0"/>
        <v>30</v>
      </c>
      <c r="B41" s="107"/>
      <c r="C41" s="107"/>
      <c r="D41" s="226">
        <f>D40/D39</f>
        <v>-7.2738673236663734E-2</v>
      </c>
      <c r="F41"/>
    </row>
    <row r="42" spans="1:6" ht="15.75" customHeight="1">
      <c r="A42" s="1009">
        <f t="shared" si="0"/>
        <v>31</v>
      </c>
      <c r="B42" s="107"/>
      <c r="C42" s="107"/>
      <c r="D42" s="226"/>
      <c r="F42"/>
    </row>
    <row r="43" spans="1:6" ht="15.75" customHeight="1">
      <c r="A43" s="1009">
        <f t="shared" si="0"/>
        <v>32</v>
      </c>
      <c r="B43" s="115" t="s">
        <v>1432</v>
      </c>
      <c r="C43" s="115" t="s">
        <v>44</v>
      </c>
      <c r="D43" s="757">
        <f>'C.2.1 F'!D23</f>
        <v>795825</v>
      </c>
      <c r="F43"/>
    </row>
    <row r="44" spans="1:6" ht="15.75" customHeight="1">
      <c r="A44" s="1009">
        <f t="shared" si="0"/>
        <v>33</v>
      </c>
      <c r="B44" s="115" t="s">
        <v>1320</v>
      </c>
      <c r="C44" s="115" t="s">
        <v>45</v>
      </c>
      <c r="D44" s="109">
        <f>'C.2.1 B'!D27</f>
        <v>796529.01</v>
      </c>
      <c r="F44"/>
    </row>
    <row r="45" spans="1:6" ht="15.75" customHeight="1">
      <c r="A45" s="1009">
        <f t="shared" si="0"/>
        <v>34</v>
      </c>
      <c r="B45" s="107"/>
      <c r="C45" s="115" t="s">
        <v>155</v>
      </c>
      <c r="D45" s="757">
        <f>D43-D44</f>
        <v>-704.01000000000931</v>
      </c>
      <c r="F45"/>
    </row>
    <row r="46" spans="1:6" ht="15.75" customHeight="1">
      <c r="A46" s="1009">
        <f t="shared" si="0"/>
        <v>35</v>
      </c>
      <c r="B46" s="107"/>
      <c r="C46" s="107"/>
      <c r="D46" s="226">
        <f>D45/D44</f>
        <v>-8.8384728134385121E-4</v>
      </c>
      <c r="F46"/>
    </row>
    <row r="47" spans="1:6" ht="15.75" customHeight="1">
      <c r="A47" s="1009">
        <f t="shared" si="0"/>
        <v>36</v>
      </c>
      <c r="B47" s="107"/>
      <c r="C47" s="107"/>
      <c r="D47" s="226"/>
      <c r="F47"/>
    </row>
    <row r="48" spans="1:6" ht="15.75" customHeight="1">
      <c r="A48" s="1009">
        <f t="shared" si="0"/>
        <v>37</v>
      </c>
      <c r="B48" s="115" t="s">
        <v>1321</v>
      </c>
      <c r="C48" s="115" t="s">
        <v>44</v>
      </c>
      <c r="D48" s="757">
        <f>'C.2.1 F'!D24</f>
        <v>14493603.90615</v>
      </c>
      <c r="F48"/>
    </row>
    <row r="49" spans="1:11" ht="15.75" customHeight="1">
      <c r="A49" s="1009">
        <f t="shared" si="0"/>
        <v>38</v>
      </c>
      <c r="B49" s="115" t="s">
        <v>1324</v>
      </c>
      <c r="C49" s="115" t="s">
        <v>45</v>
      </c>
      <c r="D49" s="109">
        <f>'C.2.1 B'!D28</f>
        <v>14819845.18675</v>
      </c>
      <c r="F49"/>
    </row>
    <row r="50" spans="1:11" ht="15.75" customHeight="1">
      <c r="A50" s="1009">
        <f t="shared" si="0"/>
        <v>39</v>
      </c>
      <c r="B50" s="107" t="s">
        <v>1325</v>
      </c>
      <c r="C50" s="115" t="s">
        <v>155</v>
      </c>
      <c r="D50" s="757">
        <f>D48-D49</f>
        <v>-326241.28060000017</v>
      </c>
      <c r="F50"/>
    </row>
    <row r="51" spans="1:11" ht="15.75" customHeight="1">
      <c r="A51" s="1009">
        <f t="shared" si="0"/>
        <v>40</v>
      </c>
      <c r="B51" s="107"/>
      <c r="C51" s="107"/>
      <c r="D51" s="226">
        <f>D50/D49</f>
        <v>-2.2013811648429579E-2</v>
      </c>
      <c r="F51"/>
    </row>
    <row r="52" spans="1:11" ht="15.75" customHeight="1">
      <c r="A52" s="1009">
        <f t="shared" si="0"/>
        <v>41</v>
      </c>
      <c r="B52" s="107"/>
      <c r="C52" s="107"/>
      <c r="D52" s="226"/>
      <c r="F52"/>
    </row>
    <row r="53" spans="1:11" ht="15.75" customHeight="1">
      <c r="A53" s="1009">
        <f t="shared" si="0"/>
        <v>42</v>
      </c>
      <c r="B53" s="107" t="s">
        <v>1619</v>
      </c>
      <c r="C53" s="115" t="s">
        <v>44</v>
      </c>
      <c r="D53" s="757">
        <f>'C.2.1 F'!D25</f>
        <v>2618728.0574999996</v>
      </c>
      <c r="F53"/>
    </row>
    <row r="54" spans="1:11" ht="15.75" customHeight="1">
      <c r="A54" s="1009">
        <f t="shared" si="0"/>
        <v>43</v>
      </c>
      <c r="B54" s="130" t="s">
        <v>1620</v>
      </c>
      <c r="C54" s="115" t="s">
        <v>45</v>
      </c>
      <c r="D54" s="109">
        <f>'C.2.1 B'!D29</f>
        <v>1366066.4424999999</v>
      </c>
      <c r="F54"/>
    </row>
    <row r="55" spans="1:11" ht="15.75" customHeight="1">
      <c r="A55" s="1009">
        <f t="shared" si="0"/>
        <v>44</v>
      </c>
      <c r="B55" s="107"/>
      <c r="C55" s="115" t="s">
        <v>155</v>
      </c>
      <c r="D55" s="757">
        <f>D53-D54</f>
        <v>1252661.6149999998</v>
      </c>
      <c r="F55"/>
    </row>
    <row r="56" spans="1:11" ht="15.75" customHeight="1">
      <c r="A56" s="1009">
        <f t="shared" si="0"/>
        <v>45</v>
      </c>
      <c r="B56" s="107"/>
      <c r="C56" s="107"/>
      <c r="D56" s="758">
        <f>IF(D54=0,0,D55/D54)</f>
        <v>0.91698439843638857</v>
      </c>
      <c r="F56"/>
    </row>
    <row r="57" spans="1:11" ht="15.75" customHeight="1">
      <c r="A57" s="1009">
        <f t="shared" si="0"/>
        <v>46</v>
      </c>
      <c r="B57" s="783" t="s">
        <v>484</v>
      </c>
      <c r="C57" s="107"/>
      <c r="D57" s="107"/>
      <c r="F57"/>
    </row>
    <row r="58" spans="1:11" ht="15.75" customHeight="1">
      <c r="A58" s="1009">
        <f t="shared" si="0"/>
        <v>47</v>
      </c>
      <c r="B58" s="115" t="s">
        <v>1626</v>
      </c>
      <c r="C58" s="115" t="s">
        <v>44</v>
      </c>
      <c r="D58" s="757">
        <f>'C.2.1 F'!D100</f>
        <v>79378176.690454662</v>
      </c>
      <c r="F58"/>
    </row>
    <row r="59" spans="1:11" ht="15.75" customHeight="1">
      <c r="A59" s="1009">
        <f t="shared" si="0"/>
        <v>48</v>
      </c>
      <c r="B59" s="115" t="s">
        <v>1627</v>
      </c>
      <c r="C59" s="115" t="s">
        <v>45</v>
      </c>
      <c r="D59" s="109">
        <f>'C.2.1 B'!D104</f>
        <v>77033020.869385153</v>
      </c>
      <c r="F59"/>
    </row>
    <row r="60" spans="1:11" ht="15.75" customHeight="1">
      <c r="A60" s="1009">
        <f t="shared" si="0"/>
        <v>49</v>
      </c>
      <c r="B60" s="1" t="s">
        <v>1630</v>
      </c>
      <c r="C60" s="4" t="s">
        <v>155</v>
      </c>
      <c r="D60" s="38">
        <f>D58-D59</f>
        <v>2345155.8210695088</v>
      </c>
      <c r="F60"/>
      <c r="G60" s="10"/>
      <c r="H60" s="10"/>
      <c r="I60" s="10"/>
      <c r="J60" s="10"/>
      <c r="K60" s="10"/>
    </row>
    <row r="61" spans="1:11" ht="15.75" customHeight="1">
      <c r="A61" s="1009">
        <f t="shared" si="0"/>
        <v>50</v>
      </c>
      <c r="B61" s="1" t="s">
        <v>1629</v>
      </c>
      <c r="D61" s="23">
        <f>D60/D59</f>
        <v>3.0443513633534945E-2</v>
      </c>
      <c r="F61"/>
      <c r="G61" s="10"/>
      <c r="H61" s="10"/>
      <c r="I61" s="10"/>
      <c r="J61" s="10"/>
      <c r="K61" s="10"/>
    </row>
    <row r="62" spans="1:11" ht="15.75" customHeight="1">
      <c r="A62" s="1127">
        <f t="shared" si="0"/>
        <v>51</v>
      </c>
      <c r="B62" s="1" t="s">
        <v>1628</v>
      </c>
      <c r="D62" s="23"/>
      <c r="F62" s="1055"/>
      <c r="G62" s="10"/>
      <c r="H62" s="10"/>
      <c r="I62" s="10"/>
      <c r="J62" s="10"/>
      <c r="K62" s="10"/>
    </row>
    <row r="63" spans="1:11" ht="15.75" customHeight="1">
      <c r="A63" s="1127">
        <f t="shared" si="0"/>
        <v>52</v>
      </c>
      <c r="D63" s="23"/>
      <c r="F63" s="1055"/>
      <c r="G63" s="10"/>
      <c r="H63" s="10"/>
      <c r="I63" s="10"/>
      <c r="J63" s="10"/>
      <c r="K63" s="10"/>
    </row>
    <row r="64" spans="1:11" ht="15.75" customHeight="1">
      <c r="A64" s="1127">
        <f t="shared" si="0"/>
        <v>53</v>
      </c>
      <c r="B64" t="s">
        <v>199</v>
      </c>
      <c r="F64"/>
    </row>
    <row r="65" spans="1:15" ht="15.75" customHeight="1">
      <c r="A65" s="1127">
        <f t="shared" si="0"/>
        <v>54</v>
      </c>
      <c r="B65" s="401" t="s">
        <v>1307</v>
      </c>
      <c r="C65"/>
      <c r="D65">
        <f>D14+D19+D24+D29+D34+D44+D49+D54+D39</f>
        <v>170375503.94203633</v>
      </c>
      <c r="E65"/>
      <c r="F65"/>
    </row>
    <row r="66" spans="1:15" ht="15.75" customHeight="1">
      <c r="A66" s="1127">
        <f t="shared" si="0"/>
        <v>55</v>
      </c>
      <c r="B66" s="401" t="s">
        <v>1308</v>
      </c>
      <c r="C66"/>
      <c r="D66" s="75">
        <f>D59</f>
        <v>77033020.869385153</v>
      </c>
      <c r="E66"/>
      <c r="F66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customHeight="1">
      <c r="A67" s="1127">
        <f t="shared" si="0"/>
        <v>56</v>
      </c>
      <c r="B67" s="401" t="s">
        <v>1309</v>
      </c>
      <c r="C67"/>
      <c r="D67">
        <f>D65-D66</f>
        <v>93342483.072651178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1127">
        <f t="shared" si="0"/>
        <v>57</v>
      </c>
      <c r="B68" s="401"/>
      <c r="C68"/>
      <c r="D68"/>
      <c r="E68"/>
      <c r="F68"/>
      <c r="K68" s="39"/>
    </row>
    <row r="69" spans="1:15" ht="15.75" customHeight="1">
      <c r="A69" s="1127">
        <f t="shared" si="0"/>
        <v>58</v>
      </c>
      <c r="B69" s="401" t="s">
        <v>1310</v>
      </c>
      <c r="C69"/>
      <c r="D69">
        <f>D13+D18+D23+D28+D33+D43+D48+D53+D38</f>
        <v>166804655.47242033</v>
      </c>
      <c r="E69"/>
      <c r="F69"/>
    </row>
    <row r="70" spans="1:15" ht="15.75" customHeight="1">
      <c r="A70" s="1127">
        <f t="shared" si="0"/>
        <v>59</v>
      </c>
      <c r="B70" s="401" t="s">
        <v>1311</v>
      </c>
      <c r="C70"/>
      <c r="D70" s="75">
        <f>D58</f>
        <v>79378176.690454662</v>
      </c>
      <c r="E70"/>
      <c r="F7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 customHeight="1">
      <c r="A71" s="1127">
        <f t="shared" si="0"/>
        <v>60</v>
      </c>
      <c r="B71" s="401" t="s">
        <v>1312</v>
      </c>
      <c r="C71"/>
      <c r="D71">
        <f>D69-D70</f>
        <v>87426478.781965673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B72"/>
      <c r="C72"/>
      <c r="D72"/>
      <c r="E72"/>
      <c r="F72"/>
      <c r="K72" s="39"/>
    </row>
    <row r="73" spans="1:15" ht="15.75" customHeight="1">
      <c r="B73"/>
      <c r="C73"/>
      <c r="D73"/>
      <c r="E73"/>
      <c r="F73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 customHeight="1">
      <c r="B77"/>
      <c r="C77"/>
      <c r="D77"/>
      <c r="E77"/>
      <c r="F77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 s="29"/>
    </row>
    <row r="109" spans="2:6" ht="15.75" customHeight="1">
      <c r="B109" s="29"/>
    </row>
    <row r="111" spans="2:6" ht="15.75" customHeight="1">
      <c r="B111" s="29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71" right="0.43" top="0.75" bottom="0.67" header="0.5" footer="0.26"/>
  <pageSetup scale="62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B29" sqref="B29"/>
      <selection pane="bottomLeft" activeCell="A11" sqref="A11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63" t="str">
        <f>'Table of Contents'!A1:C1</f>
        <v>Atmos Energy Corporation, Kentucky/Mid-States Division</v>
      </c>
      <c r="B1" s="1263"/>
      <c r="C1" s="1263"/>
      <c r="D1" s="1263"/>
      <c r="E1" s="40"/>
    </row>
    <row r="2" spans="1:5" ht="15.75" customHeight="1">
      <c r="A2" s="1263" t="str">
        <f>'Table of Contents'!A2:C2</f>
        <v>Kentucky Jurisdiction Case No. 2015-00343</v>
      </c>
      <c r="B2" s="1263"/>
      <c r="C2" s="1263"/>
      <c r="D2" s="1263"/>
      <c r="E2" s="40"/>
    </row>
    <row r="3" spans="1:5" ht="15.75" customHeight="1">
      <c r="A3" s="1263" t="s">
        <v>444</v>
      </c>
      <c r="B3" s="1263"/>
      <c r="C3" s="1263"/>
      <c r="D3" s="1263"/>
      <c r="E3" s="40"/>
    </row>
    <row r="4" spans="1:5" ht="15.75" customHeight="1">
      <c r="A4" s="1263" t="str">
        <f>'Table of Contents'!A4:C4</f>
        <v>Forecasted Test Period: Twelve Months Ended May 31, 2017</v>
      </c>
      <c r="B4" s="1263"/>
      <c r="C4" s="1263"/>
      <c r="D4" s="1263"/>
      <c r="E4" s="40"/>
    </row>
    <row r="6" spans="1:5" ht="15.75" customHeight="1">
      <c r="B6" s="4" t="s">
        <v>696</v>
      </c>
      <c r="D6" s="720" t="s">
        <v>1529</v>
      </c>
    </row>
    <row r="7" spans="1:5" ht="15.75" customHeight="1">
      <c r="B7" s="4" t="s">
        <v>555</v>
      </c>
      <c r="D7" s="654" t="s">
        <v>268</v>
      </c>
    </row>
    <row r="8" spans="1:5" ht="15.75" customHeight="1">
      <c r="A8" s="45"/>
      <c r="B8" s="4" t="s">
        <v>472</v>
      </c>
      <c r="C8" s="45"/>
      <c r="D8" s="654" t="str">
        <f>D.1!P9</f>
        <v>Witness:  Waller, Smith</v>
      </c>
      <c r="E8"/>
    </row>
    <row r="9" spans="1:5" ht="15.75" customHeight="1">
      <c r="A9" s="1" t="s">
        <v>1098</v>
      </c>
      <c r="B9" s="13"/>
      <c r="C9" s="47"/>
      <c r="D9" s="13"/>
      <c r="E9"/>
    </row>
    <row r="10" spans="1:5" ht="15.75" customHeight="1">
      <c r="A10" s="45" t="s">
        <v>1099</v>
      </c>
      <c r="B10" s="182" t="s">
        <v>619</v>
      </c>
      <c r="C10" s="6"/>
      <c r="D10" s="9" t="s">
        <v>109</v>
      </c>
      <c r="E10"/>
    </row>
    <row r="11" spans="1:5" ht="15.75" customHeight="1">
      <c r="E11"/>
    </row>
    <row r="12" spans="1:5" ht="15.75" customHeight="1">
      <c r="A12" s="77">
        <v>1</v>
      </c>
      <c r="B12" s="268" t="s">
        <v>622</v>
      </c>
      <c r="E12"/>
    </row>
    <row r="13" spans="1:5" ht="15.75" customHeight="1">
      <c r="A13" s="77">
        <v>2</v>
      </c>
      <c r="B13" s="759" t="s">
        <v>1618</v>
      </c>
      <c r="C13" s="4" t="s">
        <v>44</v>
      </c>
      <c r="D13" s="455">
        <v>7042617.4914135542</v>
      </c>
    </row>
    <row r="14" spans="1:5" ht="15.75" customHeight="1">
      <c r="A14" s="77">
        <v>3</v>
      </c>
      <c r="B14" s="759" t="s">
        <v>1634</v>
      </c>
      <c r="C14" s="4" t="s">
        <v>45</v>
      </c>
      <c r="D14" s="564">
        <v>7022773.9900000002</v>
      </c>
    </row>
    <row r="15" spans="1:5" ht="15.75" customHeight="1">
      <c r="A15" s="77">
        <v>4</v>
      </c>
      <c r="B15" s="759" t="s">
        <v>1327</v>
      </c>
      <c r="C15" s="4" t="s">
        <v>155</v>
      </c>
      <c r="D15" s="761">
        <f>D13-D14</f>
        <v>19843.501413553953</v>
      </c>
    </row>
    <row r="16" spans="1:5" ht="15.75" customHeight="1">
      <c r="A16" s="77">
        <v>5</v>
      </c>
      <c r="B16" s="759" t="s">
        <v>1328</v>
      </c>
      <c r="D16" s="226">
        <f>D15/D14</f>
        <v>2.8255930550819212E-3</v>
      </c>
    </row>
    <row r="17" spans="1:5" ht="15.75" customHeight="1">
      <c r="A17" s="77">
        <v>6</v>
      </c>
      <c r="B17" s="760"/>
      <c r="D17" s="107"/>
    </row>
    <row r="18" spans="1:5" ht="15.75" customHeight="1">
      <c r="A18" s="77">
        <v>7</v>
      </c>
      <c r="B18" s="783" t="s">
        <v>479</v>
      </c>
      <c r="D18" s="107"/>
    </row>
    <row r="19" spans="1:5" ht="15.75" customHeight="1">
      <c r="A19" s="77">
        <v>8</v>
      </c>
      <c r="B19" s="760" t="s">
        <v>1329</v>
      </c>
      <c r="C19" s="4" t="s">
        <v>44</v>
      </c>
      <c r="D19" s="455">
        <v>564851.23999999987</v>
      </c>
    </row>
    <row r="20" spans="1:5" ht="15.75" customHeight="1">
      <c r="A20" s="77">
        <v>9</v>
      </c>
      <c r="B20" s="760" t="s">
        <v>1330</v>
      </c>
      <c r="C20" s="4" t="s">
        <v>45</v>
      </c>
      <c r="D20" s="564">
        <v>621710.18000000017</v>
      </c>
    </row>
    <row r="21" spans="1:5" ht="15.75" customHeight="1">
      <c r="A21" s="77">
        <v>10</v>
      </c>
      <c r="B21" s="760" t="s">
        <v>1331</v>
      </c>
      <c r="C21" s="4" t="s">
        <v>155</v>
      </c>
      <c r="D21" s="757">
        <f>D19-D20</f>
        <v>-56858.940000000293</v>
      </c>
    </row>
    <row r="22" spans="1:5" ht="15.75" customHeight="1">
      <c r="A22" s="77">
        <v>11</v>
      </c>
      <c r="B22" s="760" t="s">
        <v>1333</v>
      </c>
      <c r="D22" s="226">
        <f>D21/D20</f>
        <v>-9.1455700468022386E-2</v>
      </c>
    </row>
    <row r="23" spans="1:5" ht="15.75" customHeight="1">
      <c r="A23" s="77">
        <v>12</v>
      </c>
      <c r="B23" s="760" t="s">
        <v>1332</v>
      </c>
      <c r="D23" s="107"/>
    </row>
    <row r="24" spans="1:5" ht="15.75" customHeight="1">
      <c r="A24" s="77">
        <v>13</v>
      </c>
      <c r="B24" s="760"/>
      <c r="D24" s="107"/>
    </row>
    <row r="25" spans="1:5" ht="15.75" customHeight="1">
      <c r="A25" s="77">
        <v>14</v>
      </c>
      <c r="B25" s="783" t="s">
        <v>480</v>
      </c>
      <c r="D25" s="107"/>
    </row>
    <row r="26" spans="1:5" ht="15.75" customHeight="1">
      <c r="A26" s="77">
        <v>15</v>
      </c>
      <c r="B26" s="760" t="s">
        <v>1334</v>
      </c>
      <c r="C26" s="4" t="s">
        <v>44</v>
      </c>
      <c r="D26" s="761">
        <v>4905113.5900074989</v>
      </c>
    </row>
    <row r="27" spans="1:5" ht="15.75" customHeight="1">
      <c r="A27" s="77">
        <v>16</v>
      </c>
      <c r="B27" s="760" t="s">
        <v>1622</v>
      </c>
      <c r="C27" s="4" t="s">
        <v>45</v>
      </c>
      <c r="D27" s="762">
        <v>5368419.6790142525</v>
      </c>
    </row>
    <row r="28" spans="1:5" ht="15.75" customHeight="1">
      <c r="A28" s="77">
        <v>17</v>
      </c>
      <c r="B28" s="760" t="s">
        <v>1617</v>
      </c>
      <c r="C28" s="4" t="s">
        <v>155</v>
      </c>
      <c r="D28" s="757">
        <f>D26-D27</f>
        <v>-463306.08900675364</v>
      </c>
    </row>
    <row r="29" spans="1:5" ht="15.75" customHeight="1">
      <c r="A29" s="77">
        <v>18</v>
      </c>
      <c r="B29" s="760"/>
      <c r="D29" s="226">
        <f>D28/D27</f>
        <v>-8.6302136701023671E-2</v>
      </c>
    </row>
    <row r="30" spans="1:5" ht="15.75" customHeight="1">
      <c r="A30" s="77">
        <v>19</v>
      </c>
      <c r="B30" s="760"/>
      <c r="D30" s="107"/>
    </row>
    <row r="31" spans="1:5" ht="15.75" customHeight="1">
      <c r="A31" s="77">
        <v>20</v>
      </c>
      <c r="B31" s="783" t="s">
        <v>481</v>
      </c>
      <c r="D31" s="107"/>
    </row>
    <row r="32" spans="1:5" ht="15.75" customHeight="1">
      <c r="A32" s="77">
        <v>21</v>
      </c>
      <c r="B32" s="760" t="s">
        <v>1335</v>
      </c>
      <c r="C32" s="4" t="s">
        <v>44</v>
      </c>
      <c r="D32" s="99">
        <v>313426.18041533593</v>
      </c>
      <c r="E32" s="10"/>
    </row>
    <row r="33" spans="1:11" ht="15.75" customHeight="1">
      <c r="A33" s="77">
        <v>22</v>
      </c>
      <c r="B33" s="760" t="s">
        <v>1336</v>
      </c>
      <c r="C33" s="4" t="s">
        <v>45</v>
      </c>
      <c r="D33" s="109">
        <v>564321.71039999998</v>
      </c>
      <c r="E33" s="10"/>
    </row>
    <row r="34" spans="1:11" ht="15.75" customHeight="1">
      <c r="A34" s="77">
        <v>23</v>
      </c>
      <c r="B34" s="760" t="s">
        <v>1621</v>
      </c>
      <c r="C34" s="4" t="s">
        <v>155</v>
      </c>
      <c r="D34" s="763">
        <f>D32-D33</f>
        <v>-250895.52998466406</v>
      </c>
    </row>
    <row r="35" spans="1:11" ht="15.75" customHeight="1">
      <c r="A35" s="77">
        <v>24</v>
      </c>
      <c r="B35" s="117"/>
      <c r="D35" s="226">
        <f>D34/D32</f>
        <v>-0.80049321231618387</v>
      </c>
      <c r="E35" s="10"/>
    </row>
    <row r="36" spans="1:11" ht="15.75" customHeight="1">
      <c r="A36" s="77">
        <v>25</v>
      </c>
      <c r="B36" s="268" t="s">
        <v>482</v>
      </c>
      <c r="C36" s="10"/>
      <c r="D36" s="99"/>
      <c r="E36" s="10"/>
      <c r="F36" s="10"/>
      <c r="G36" s="10"/>
      <c r="H36" s="10"/>
      <c r="I36" s="10"/>
      <c r="J36" s="10"/>
      <c r="K36" s="10"/>
    </row>
    <row r="37" spans="1:11" ht="15.75" customHeight="1">
      <c r="A37" s="77">
        <v>26</v>
      </c>
      <c r="B37" s="760" t="s">
        <v>1337</v>
      </c>
      <c r="C37" s="4" t="s">
        <v>44</v>
      </c>
      <c r="D37" s="455">
        <v>14025277.326204844</v>
      </c>
    </row>
    <row r="38" spans="1:11" ht="15.75" customHeight="1">
      <c r="A38" s="77">
        <v>27</v>
      </c>
      <c r="B38" s="130" t="s">
        <v>1338</v>
      </c>
      <c r="C38" s="4" t="s">
        <v>45</v>
      </c>
      <c r="D38" s="564">
        <v>13070219.099932838</v>
      </c>
    </row>
    <row r="39" spans="1:11" ht="15.75" customHeight="1">
      <c r="A39" s="77">
        <v>28</v>
      </c>
      <c r="B39" s="117" t="s">
        <v>1339</v>
      </c>
      <c r="C39" s="4" t="s">
        <v>155</v>
      </c>
      <c r="D39" s="757">
        <f>D37-D38</f>
        <v>955058.22627200559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77">
        <v>29</v>
      </c>
      <c r="B40" s="4"/>
      <c r="D40" s="226">
        <f>D39/D38</f>
        <v>7.3071324892856102E-2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77">
        <v>30</v>
      </c>
      <c r="B41" s="4"/>
      <c r="D41" s="23"/>
      <c r="E41" s="10"/>
      <c r="F41" s="10"/>
      <c r="G41" s="10"/>
      <c r="H41" s="10"/>
      <c r="I41" s="10"/>
      <c r="J41" s="10"/>
      <c r="K41" s="10"/>
    </row>
    <row r="42" spans="1:11" ht="15.75" customHeight="1">
      <c r="A42" s="77">
        <v>31</v>
      </c>
      <c r="B42" s="16" t="s">
        <v>401</v>
      </c>
      <c r="C42" t="s">
        <v>44</v>
      </c>
      <c r="D42" s="249">
        <f>D13+D19+D26+D32+D37</f>
        <v>26851285.828041233</v>
      </c>
      <c r="E42"/>
    </row>
    <row r="43" spans="1:11" ht="15.75" customHeight="1">
      <c r="A43" s="77">
        <v>32</v>
      </c>
      <c r="B43"/>
      <c r="C43" t="s">
        <v>45</v>
      </c>
      <c r="D43" s="546">
        <f>D14+D20+D27+D33+D38</f>
        <v>26647444.659347091</v>
      </c>
      <c r="E43"/>
    </row>
    <row r="44" spans="1:11" ht="15.75" customHeight="1">
      <c r="A44" s="77">
        <v>33</v>
      </c>
      <c r="B44"/>
      <c r="C44" t="s">
        <v>155</v>
      </c>
      <c r="D44" s="38">
        <f>D42-D43</f>
        <v>203841.16869414225</v>
      </c>
      <c r="E44"/>
    </row>
    <row r="45" spans="1:11" ht="15.75" customHeight="1">
      <c r="A45" s="77">
        <v>34</v>
      </c>
      <c r="B45"/>
      <c r="C45"/>
      <c r="D45" s="23">
        <f>D44/D43</f>
        <v>7.6495578206460836E-3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3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9"/>
    </row>
    <row r="74" spans="2:11" ht="15.75" customHeight="1">
      <c r="B74"/>
      <c r="C74"/>
      <c r="D74"/>
      <c r="E74"/>
      <c r="G74" s="29"/>
    </row>
    <row r="75" spans="2:11" ht="15.75" customHeight="1">
      <c r="B75"/>
      <c r="C75"/>
      <c r="D75"/>
      <c r="E75"/>
      <c r="G75" s="29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3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3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3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3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3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3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80" zoomScaleNormal="90" zoomScaleSheetLayoutView="8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63" t="str">
        <f>'Table of Contents'!A1:C1</f>
        <v>Atmos Energy Corporation, Kentucky/Mid-States Division</v>
      </c>
      <c r="B1" s="1263"/>
      <c r="C1" s="1263"/>
      <c r="D1" s="1263"/>
    </row>
    <row r="2" spans="1:10">
      <c r="A2" s="1263" t="str">
        <f>'Table of Contents'!A2:C2</f>
        <v>Kentucky Jurisdiction Case No. 2015-00343</v>
      </c>
      <c r="B2" s="1263"/>
      <c r="C2" s="1263"/>
      <c r="D2" s="1263"/>
    </row>
    <row r="3" spans="1:10">
      <c r="A3" s="1263" t="s">
        <v>444</v>
      </c>
      <c r="B3" s="1263"/>
      <c r="C3" s="1263"/>
      <c r="D3" s="1263"/>
    </row>
    <row r="4" spans="1:10">
      <c r="A4" s="1263" t="str">
        <f>'Table of Contents'!A4:C4</f>
        <v>Forecasted Test Period: Twelve Months Ended May 31, 2017</v>
      </c>
      <c r="B4" s="1263"/>
      <c r="C4" s="1263"/>
      <c r="D4" s="1263"/>
    </row>
    <row r="5" spans="1:10">
      <c r="D5" s="47"/>
      <c r="F5" s="29"/>
    </row>
    <row r="6" spans="1:10">
      <c r="B6" s="4" t="s">
        <v>696</v>
      </c>
      <c r="D6" s="720" t="s">
        <v>1530</v>
      </c>
      <c r="F6" s="29"/>
    </row>
    <row r="7" spans="1:10">
      <c r="B7" s="4" t="s">
        <v>631</v>
      </c>
      <c r="D7" s="654" t="s">
        <v>269</v>
      </c>
      <c r="F7" s="29"/>
    </row>
    <row r="8" spans="1:10">
      <c r="A8" s="45"/>
      <c r="B8" s="4" t="s">
        <v>375</v>
      </c>
      <c r="C8" s="45"/>
      <c r="D8" s="722" t="str">
        <f>D.1!P9</f>
        <v>Witness:  Waller, Smith</v>
      </c>
    </row>
    <row r="9" spans="1:10">
      <c r="A9" s="1" t="s">
        <v>1098</v>
      </c>
      <c r="B9" s="13"/>
      <c r="C9" s="47"/>
      <c r="D9" s="13"/>
    </row>
    <row r="10" spans="1:10">
      <c r="A10" s="45" t="s">
        <v>1099</v>
      </c>
      <c r="B10" s="182" t="s">
        <v>619</v>
      </c>
      <c r="C10" s="6"/>
      <c r="D10" s="9" t="s">
        <v>109</v>
      </c>
    </row>
    <row r="12" spans="1:10" ht="15.75">
      <c r="A12" s="77">
        <v>1</v>
      </c>
      <c r="B12" s="268" t="s">
        <v>620</v>
      </c>
      <c r="D12" s="107"/>
    </row>
    <row r="13" spans="1:10">
      <c r="A13" s="77">
        <v>2</v>
      </c>
      <c r="B13" s="107" t="s">
        <v>1399</v>
      </c>
      <c r="C13" s="4" t="s">
        <v>44</v>
      </c>
      <c r="D13" s="757">
        <f>'C.2.2-F 09'!P14</f>
        <v>19376607.045990989</v>
      </c>
      <c r="J13" s="10"/>
    </row>
    <row r="14" spans="1:10">
      <c r="A14" s="77">
        <v>3</v>
      </c>
      <c r="B14" s="107" t="s">
        <v>1226</v>
      </c>
      <c r="C14" s="4" t="s">
        <v>45</v>
      </c>
      <c r="D14" s="109">
        <f>'C.2.2 B 09'!P14</f>
        <v>18204283.53809939</v>
      </c>
    </row>
    <row r="15" spans="1:10">
      <c r="A15" s="77">
        <v>4</v>
      </c>
      <c r="C15" s="4" t="s">
        <v>155</v>
      </c>
      <c r="D15" s="757">
        <f>D13-D14</f>
        <v>1172323.5078915991</v>
      </c>
    </row>
    <row r="16" spans="1:10">
      <c r="A16" s="77">
        <v>5</v>
      </c>
      <c r="D16" s="226">
        <f>D15/D14</f>
        <v>6.4398222837941749E-2</v>
      </c>
    </row>
    <row r="17" spans="1:10" ht="15.75">
      <c r="A17" s="77">
        <v>6</v>
      </c>
      <c r="B17" s="268" t="s">
        <v>621</v>
      </c>
      <c r="D17" s="226"/>
    </row>
    <row r="18" spans="1:10">
      <c r="A18" s="77">
        <v>7</v>
      </c>
      <c r="B18" s="115" t="s">
        <v>1227</v>
      </c>
      <c r="C18" s="4" t="s">
        <v>44</v>
      </c>
      <c r="D18" s="757">
        <f>'C.2.2-F 09'!P16</f>
        <v>6100220.1526932763</v>
      </c>
      <c r="J18" s="10"/>
    </row>
    <row r="19" spans="1:10">
      <c r="A19" s="77">
        <v>8</v>
      </c>
      <c r="B19" s="115" t="s">
        <v>1228</v>
      </c>
      <c r="C19" s="4" t="s">
        <v>45</v>
      </c>
      <c r="D19" s="109">
        <f>'C.2.2 B 09'!P16</f>
        <v>6437544.724313166</v>
      </c>
    </row>
    <row r="20" spans="1:10" ht="16.5" customHeight="1">
      <c r="A20" s="77">
        <v>9</v>
      </c>
      <c r="B20" s="107"/>
      <c r="C20" s="4" t="s">
        <v>155</v>
      </c>
      <c r="D20" s="757">
        <f>D18-D19</f>
        <v>-337324.5716198897</v>
      </c>
    </row>
    <row r="21" spans="1:10">
      <c r="A21" s="77">
        <v>10</v>
      </c>
      <c r="B21" s="107"/>
      <c r="D21" s="23">
        <f>D20/D19</f>
        <v>-5.2399569411283507E-2</v>
      </c>
    </row>
    <row r="22" spans="1:10">
      <c r="D22" s="38"/>
      <c r="J22" s="10"/>
    </row>
    <row r="23" spans="1:10">
      <c r="B23" s="4"/>
      <c r="C23" s="4"/>
      <c r="D23" s="3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4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sqref="A1:C1"/>
    </sheetView>
  </sheetViews>
  <sheetFormatPr defaultRowHeight="15"/>
  <cols>
    <col min="3" max="3" width="67.6640625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13" spans="1:3">
      <c r="A13" s="1248" t="s">
        <v>1531</v>
      </c>
      <c r="B13" s="1248"/>
      <c r="C13" s="1248"/>
    </row>
    <row r="15" spans="1:3" ht="15.75">
      <c r="A15" s="1269" t="s">
        <v>478</v>
      </c>
      <c r="B15" s="1269"/>
      <c r="C15" s="1269"/>
    </row>
    <row r="18" spans="1:3">
      <c r="A18" s="84" t="s">
        <v>63</v>
      </c>
      <c r="B18" s="84" t="s">
        <v>630</v>
      </c>
      <c r="C18" s="84" t="s">
        <v>1004</v>
      </c>
    </row>
    <row r="20" spans="1:3">
      <c r="A20" s="76" t="s">
        <v>845</v>
      </c>
      <c r="B20" s="76"/>
      <c r="C20" t="s">
        <v>478</v>
      </c>
    </row>
    <row r="21" spans="1:3">
      <c r="B21" s="76"/>
    </row>
    <row r="22" spans="1:3">
      <c r="B22" s="76"/>
    </row>
    <row r="23" spans="1:3">
      <c r="B23" s="76"/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9" spans="1:3">
      <c r="A9" s="1248" t="s">
        <v>1510</v>
      </c>
      <c r="B9" s="1248"/>
      <c r="C9" s="1248"/>
    </row>
    <row r="11" spans="1:3" ht="15.75">
      <c r="A11" s="1252" t="s">
        <v>276</v>
      </c>
      <c r="B11" s="1252"/>
      <c r="C11" s="1252"/>
    </row>
    <row r="14" spans="1:3" ht="15.75">
      <c r="A14" s="379" t="s">
        <v>63</v>
      </c>
      <c r="B14" s="614"/>
      <c r="C14" s="379" t="s">
        <v>1004</v>
      </c>
    </row>
    <row r="15" spans="1:3">
      <c r="A15" s="104"/>
      <c r="B15" s="266"/>
      <c r="C15" s="60"/>
    </row>
    <row r="16" spans="1:3">
      <c r="A16" s="301" t="s">
        <v>377</v>
      </c>
      <c r="B16" s="615"/>
      <c r="C16" s="60" t="s">
        <v>176</v>
      </c>
    </row>
    <row r="17" spans="1:3">
      <c r="A17" s="301" t="s">
        <v>694</v>
      </c>
      <c r="B17" s="615"/>
      <c r="C17" s="60" t="s">
        <v>545</v>
      </c>
    </row>
    <row r="18" spans="1:3">
      <c r="A18" s="301" t="s">
        <v>695</v>
      </c>
      <c r="B18" s="615"/>
      <c r="C18" s="60" t="s">
        <v>430</v>
      </c>
    </row>
    <row r="19" spans="1:3">
      <c r="A19" s="301" t="s">
        <v>1139</v>
      </c>
      <c r="B19" s="615"/>
      <c r="C19" s="60" t="s">
        <v>96</v>
      </c>
    </row>
    <row r="20" spans="1:3">
      <c r="A20" s="301" t="s">
        <v>84</v>
      </c>
      <c r="B20" s="615"/>
      <c r="C20" s="60" t="s">
        <v>85</v>
      </c>
    </row>
    <row r="21" spans="1:3">
      <c r="A21" s="301" t="s">
        <v>87</v>
      </c>
      <c r="B21" s="615"/>
      <c r="C21" s="60" t="s">
        <v>864</v>
      </c>
    </row>
    <row r="22" spans="1:3">
      <c r="A22" s="301" t="s">
        <v>86</v>
      </c>
      <c r="B22" s="615"/>
      <c r="C22" s="60" t="s">
        <v>865</v>
      </c>
    </row>
    <row r="23" spans="1:3">
      <c r="A23" s="301" t="s">
        <v>89</v>
      </c>
      <c r="B23" s="615"/>
      <c r="C23" s="60" t="s">
        <v>644</v>
      </c>
    </row>
    <row r="24" spans="1:3">
      <c r="A24" s="301" t="s">
        <v>824</v>
      </c>
      <c r="B24" s="615"/>
      <c r="C24" s="4" t="s">
        <v>649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80" zoomScaleNormal="90" zoomScaleSheetLayoutView="80" workbookViewId="0">
      <selection sqref="A1:H1"/>
    </sheetView>
  </sheetViews>
  <sheetFormatPr defaultColWidth="13.88671875" defaultRowHeight="15"/>
  <cols>
    <col min="1" max="1" width="3.6640625" style="55" customWidth="1"/>
    <col min="2" max="2" width="16.21875" style="55" customWidth="1"/>
    <col min="3" max="3" width="11" style="55" customWidth="1"/>
    <col min="4" max="4" width="12.33203125" style="55" customWidth="1"/>
    <col min="5" max="5" width="13.109375" style="55" customWidth="1"/>
    <col min="6" max="6" width="12.5546875" style="55" customWidth="1"/>
    <col min="7" max="7" width="13.109375" style="55" customWidth="1"/>
    <col min="8" max="8" width="8.6640625" style="55" customWidth="1"/>
    <col min="9" max="9" width="13.88671875" style="55" customWidth="1"/>
    <col min="10" max="10" width="15.109375" style="55" customWidth="1"/>
    <col min="11" max="16384" width="13.88671875" style="55"/>
  </cols>
  <sheetData>
    <row r="1" spans="1:16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40"/>
      <c r="M1" s="56"/>
      <c r="O1" s="56"/>
      <c r="P1" s="56"/>
    </row>
    <row r="2" spans="1:16">
      <c r="A2" s="1262" t="str">
        <f>'Table of Contents'!A2:C2</f>
        <v>Kentucky Jurisdiction Case No. 2015-00343</v>
      </c>
      <c r="B2" s="1262"/>
      <c r="C2" s="1262"/>
      <c r="D2" s="1262"/>
      <c r="E2" s="1262"/>
      <c r="F2" s="1262"/>
      <c r="G2" s="1262"/>
      <c r="H2" s="1262"/>
      <c r="I2" s="40"/>
      <c r="P2" s="56"/>
    </row>
    <row r="3" spans="1:16">
      <c r="A3" s="1262" t="s">
        <v>156</v>
      </c>
      <c r="B3" s="1262"/>
      <c r="C3" s="1262"/>
      <c r="D3" s="1262"/>
      <c r="E3" s="1262"/>
      <c r="F3" s="1262"/>
      <c r="G3" s="1262"/>
      <c r="H3" s="1262"/>
      <c r="I3" s="40"/>
    </row>
    <row r="4" spans="1:16">
      <c r="A4" s="1262" t="str">
        <f>'Table of Contents'!A3:C3</f>
        <v>Base Period: Twelve Months Ended February 29, 2016</v>
      </c>
      <c r="B4" s="1262"/>
      <c r="C4" s="1262"/>
      <c r="D4" s="1262"/>
      <c r="E4" s="1262"/>
      <c r="F4" s="1262"/>
      <c r="G4" s="1262"/>
      <c r="H4" s="1262"/>
      <c r="I4" s="40"/>
      <c r="M4" s="56"/>
      <c r="O4" s="56"/>
      <c r="P4" s="56"/>
    </row>
    <row r="5" spans="1:16">
      <c r="A5" s="1262" t="str">
        <f>'Table of Contents'!A4:C4</f>
        <v>Forecasted Test Period: Twelve Months Ended May 31, 2017</v>
      </c>
      <c r="B5" s="1262"/>
      <c r="C5" s="1262"/>
      <c r="D5" s="1262"/>
      <c r="E5" s="1262"/>
      <c r="F5" s="1262"/>
      <c r="G5" s="1262"/>
      <c r="H5" s="1262"/>
      <c r="I5" s="40"/>
      <c r="M5" s="56"/>
      <c r="O5" s="56"/>
      <c r="P5" s="56"/>
    </row>
    <row r="6" spans="1:16">
      <c r="A6" s="4"/>
      <c r="B6" s="71"/>
      <c r="C6" s="71"/>
      <c r="D6" s="72"/>
      <c r="P6" s="56"/>
    </row>
    <row r="7" spans="1:16">
      <c r="B7" s="72"/>
      <c r="C7" s="72"/>
      <c r="D7" s="72"/>
      <c r="H7" s="488" t="s">
        <v>1503</v>
      </c>
      <c r="I7" s="4"/>
    </row>
    <row r="8" spans="1:16">
      <c r="A8" s="4" t="s">
        <v>631</v>
      </c>
      <c r="B8" s="72"/>
      <c r="C8" s="72"/>
      <c r="D8" s="72"/>
      <c r="H8" s="645" t="s">
        <v>846</v>
      </c>
      <c r="I8" s="4"/>
      <c r="M8" s="56"/>
      <c r="O8" s="56"/>
      <c r="P8" s="56"/>
    </row>
    <row r="9" spans="1:16">
      <c r="A9" s="73" t="s">
        <v>375</v>
      </c>
      <c r="B9" s="57"/>
      <c r="C9" s="57"/>
      <c r="D9" s="57"/>
      <c r="E9" s="210"/>
      <c r="F9" s="210"/>
      <c r="G9" s="210"/>
      <c r="H9" s="723" t="s">
        <v>1349</v>
      </c>
      <c r="I9" s="72"/>
      <c r="M9" s="56"/>
      <c r="P9" s="56"/>
    </row>
    <row r="10" spans="1:16">
      <c r="E10" s="72"/>
      <c r="F10" s="71"/>
      <c r="G10" s="72"/>
      <c r="H10" s="71"/>
      <c r="I10" s="72"/>
    </row>
    <row r="11" spans="1:16">
      <c r="A11" s="56" t="s">
        <v>98</v>
      </c>
      <c r="E11" s="46" t="s">
        <v>333</v>
      </c>
      <c r="F11" s="2"/>
      <c r="G11" s="77" t="s">
        <v>325</v>
      </c>
      <c r="H11" s="77" t="s">
        <v>144</v>
      </c>
      <c r="I11" s="296"/>
    </row>
    <row r="12" spans="1:16">
      <c r="A12" s="58" t="s">
        <v>104</v>
      </c>
      <c r="B12" s="58" t="s">
        <v>1004</v>
      </c>
      <c r="C12" s="57"/>
      <c r="D12" s="57"/>
      <c r="E12" s="9" t="s">
        <v>1005</v>
      </c>
      <c r="F12" s="9" t="s">
        <v>1006</v>
      </c>
      <c r="G12" s="9" t="s">
        <v>847</v>
      </c>
      <c r="H12" s="9" t="s">
        <v>463</v>
      </c>
      <c r="I12" s="46"/>
    </row>
    <row r="13" spans="1:16">
      <c r="E13" s="2" t="s">
        <v>1112</v>
      </c>
      <c r="F13" s="2" t="s">
        <v>1113</v>
      </c>
      <c r="G13" s="2" t="s">
        <v>1114</v>
      </c>
      <c r="H13" s="2"/>
      <c r="I13" s="46"/>
    </row>
    <row r="14" spans="1:16">
      <c r="E14" s="2"/>
      <c r="F14" s="2"/>
      <c r="G14" s="2"/>
      <c r="H14" s="2"/>
      <c r="I14" s="46"/>
    </row>
    <row r="15" spans="1:16">
      <c r="A15" s="77">
        <v>1</v>
      </c>
      <c r="B15" s="55" t="s">
        <v>848</v>
      </c>
      <c r="E15" s="724">
        <f>+C.2!D14-SUM(C.2!D17:D27)</f>
        <v>31501159.443036184</v>
      </c>
      <c r="F15" s="724">
        <f>+G15-E15</f>
        <v>4793092.9569380432</v>
      </c>
      <c r="G15" s="724">
        <f>C.2!O14-SUM(C.2!O17:O27)</f>
        <v>36294252.399974227</v>
      </c>
      <c r="H15" s="2" t="s">
        <v>145</v>
      </c>
      <c r="I15" s="46"/>
    </row>
    <row r="16" spans="1:16">
      <c r="A16" s="77"/>
      <c r="E16" s="22"/>
      <c r="F16" s="22"/>
      <c r="G16" s="22"/>
      <c r="H16" s="2"/>
      <c r="I16" s="2"/>
    </row>
    <row r="17" spans="1:34">
      <c r="A17" s="77">
        <v>2</v>
      </c>
      <c r="B17" s="55" t="s">
        <v>216</v>
      </c>
      <c r="E17" s="215">
        <f>+E32</f>
        <v>7171616.6530294148</v>
      </c>
      <c r="F17" s="215">
        <f>+G17-E17</f>
        <v>1284191.0318410685</v>
      </c>
      <c r="G17" s="215">
        <f>+G32</f>
        <v>8455807.6848704834</v>
      </c>
      <c r="H17" s="2" t="s">
        <v>792</v>
      </c>
      <c r="I17" s="2"/>
    </row>
    <row r="18" spans="1:34">
      <c r="A18" s="77"/>
      <c r="B18" s="358"/>
      <c r="C18" s="358"/>
      <c r="D18" s="358"/>
      <c r="E18" s="22"/>
      <c r="F18" s="22"/>
      <c r="G18" s="22"/>
      <c r="H18" s="2"/>
      <c r="I18" s="2"/>
    </row>
    <row r="19" spans="1:34">
      <c r="A19" s="77">
        <v>3</v>
      </c>
      <c r="B19" s="358" t="s">
        <v>829</v>
      </c>
      <c r="C19" s="358"/>
      <c r="D19" s="358"/>
      <c r="E19" s="724">
        <f>+E15-E17</f>
        <v>24329542.790006768</v>
      </c>
      <c r="F19" s="724">
        <f>+F15-F17</f>
        <v>3508901.9250969747</v>
      </c>
      <c r="G19" s="724">
        <f>+G15-G17</f>
        <v>27838444.715103745</v>
      </c>
      <c r="H19" s="2"/>
      <c r="I19" s="2"/>
    </row>
    <row r="20" spans="1:34">
      <c r="A20" s="77"/>
      <c r="B20" s="358"/>
      <c r="C20" s="358"/>
      <c r="D20" s="358"/>
      <c r="E20" s="22"/>
      <c r="F20" s="22"/>
      <c r="G20" s="22"/>
      <c r="H20" s="2"/>
      <c r="I20" s="2"/>
    </row>
    <row r="21" spans="1:34">
      <c r="A21" s="77">
        <v>4</v>
      </c>
      <c r="B21" s="358" t="s">
        <v>157</v>
      </c>
      <c r="C21" s="358"/>
      <c r="D21" s="358"/>
      <c r="E21" s="216">
        <f>0.06+0.35*(1-0.06)</f>
        <v>0.38899999999999996</v>
      </c>
      <c r="F21" s="216"/>
      <c r="G21" s="216">
        <f>Allocation!E23</f>
        <v>0.38900000000000001</v>
      </c>
      <c r="H21" s="2" t="s">
        <v>515</v>
      </c>
      <c r="I21" s="2"/>
    </row>
    <row r="22" spans="1:34">
      <c r="A22" s="77"/>
      <c r="B22" s="358"/>
      <c r="C22" s="358"/>
      <c r="D22" s="358"/>
      <c r="E22" s="22"/>
      <c r="F22" s="22"/>
      <c r="G22" s="22"/>
      <c r="H22" s="2"/>
      <c r="I22" s="2"/>
    </row>
    <row r="23" spans="1:34" ht="15.75" thickBot="1">
      <c r="A23" s="77">
        <v>5</v>
      </c>
      <c r="B23" s="531" t="s">
        <v>1169</v>
      </c>
      <c r="C23" s="358"/>
      <c r="D23" s="358"/>
      <c r="E23" s="725">
        <f>+E19*E21</f>
        <v>9464192.1453126315</v>
      </c>
      <c r="F23" s="725">
        <f>+G23-E23</f>
        <v>1364962.8488627262</v>
      </c>
      <c r="G23" s="1164">
        <f>+G19*G21</f>
        <v>10829154.994175358</v>
      </c>
      <c r="H23" s="2"/>
      <c r="I23" s="2"/>
    </row>
    <row r="24" spans="1:34" ht="16.5" thickTop="1">
      <c r="A24" s="77"/>
      <c r="B24" s="531"/>
      <c r="C24" s="358"/>
      <c r="D24" s="358"/>
      <c r="E24" s="98"/>
      <c r="F24" s="22"/>
      <c r="G24" s="218"/>
      <c r="H24" s="2"/>
      <c r="I24" s="2"/>
    </row>
    <row r="25" spans="1:34" ht="15.75">
      <c r="A25" s="77"/>
      <c r="B25" s="217"/>
      <c r="E25" s="98"/>
      <c r="F25" s="22"/>
      <c r="G25" s="218"/>
      <c r="H25" s="2"/>
      <c r="I25" s="2"/>
    </row>
    <row r="26" spans="1:34">
      <c r="A26" s="77"/>
      <c r="E26" s="22"/>
      <c r="F26" s="22"/>
      <c r="G26" s="22"/>
      <c r="H26" s="2"/>
      <c r="I26" s="2"/>
    </row>
    <row r="27" spans="1:34">
      <c r="A27" s="77"/>
      <c r="B27" s="219" t="s">
        <v>1170</v>
      </c>
      <c r="E27" s="22"/>
      <c r="F27" s="22"/>
      <c r="G27" s="22"/>
      <c r="H27" s="2"/>
      <c r="I27" s="2"/>
    </row>
    <row r="28" spans="1:34" s="1" customFormat="1">
      <c r="A28" s="77">
        <v>6</v>
      </c>
      <c r="B28" s="212" t="s">
        <v>22</v>
      </c>
      <c r="E28" s="726">
        <f>+'B.1 B'!F27</f>
        <v>294399069.49674368</v>
      </c>
      <c r="F28" s="211"/>
      <c r="G28" s="727">
        <f>+'B.1 F '!F27</f>
        <v>334221647.62333924</v>
      </c>
      <c r="H28" s="77" t="s">
        <v>377</v>
      </c>
      <c r="J28" s="5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" customFormat="1">
      <c r="A29" s="77"/>
      <c r="J29" s="55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1" customFormat="1">
      <c r="A30" s="77">
        <v>7</v>
      </c>
      <c r="B30" s="212" t="s">
        <v>146</v>
      </c>
      <c r="E30" s="214">
        <f>J.1!N21</f>
        <v>2.4360187908504038E-2</v>
      </c>
      <c r="G30" s="214">
        <f>J.1!V21</f>
        <v>2.53E-2</v>
      </c>
      <c r="H30" s="77" t="s">
        <v>1155</v>
      </c>
      <c r="I30" s="91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>
      <c r="A31" s="77"/>
      <c r="I31" s="768"/>
      <c r="J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5.75" thickBot="1">
      <c r="A32" s="77">
        <v>8</v>
      </c>
      <c r="B32" s="213" t="s">
        <v>1074</v>
      </c>
      <c r="E32" s="426">
        <f>+E28*E30</f>
        <v>7171616.6530294148</v>
      </c>
      <c r="G32" s="426">
        <f>+G28*G30</f>
        <v>8455807.6848704834</v>
      </c>
      <c r="J32" s="5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5.75" thickTop="1">
      <c r="A33" s="77"/>
      <c r="J33" s="55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1" customFormat="1">
      <c r="A34" s="77"/>
      <c r="B34" s="107"/>
      <c r="C34" s="107"/>
      <c r="D34" s="107"/>
      <c r="E34" s="107"/>
      <c r="F34" s="107"/>
      <c r="J34" s="5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1" customFormat="1">
      <c r="A35" s="77">
        <v>9</v>
      </c>
      <c r="B35" s="866" t="s">
        <v>1400</v>
      </c>
      <c r="C35" s="107"/>
      <c r="D35" s="107"/>
      <c r="E35" s="107"/>
      <c r="F35" s="107"/>
      <c r="I35" s="917"/>
      <c r="J35" s="91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>
      <c r="A36" s="77">
        <v>10</v>
      </c>
      <c r="B36" s="863" t="s">
        <v>1171</v>
      </c>
      <c r="C36" s="864"/>
      <c r="D36" s="864"/>
      <c r="E36" s="865">
        <v>0.06</v>
      </c>
      <c r="F36" s="864"/>
      <c r="I36" s="917"/>
      <c r="J36" s="916"/>
    </row>
    <row r="37" spans="1:34">
      <c r="A37" s="77">
        <v>11</v>
      </c>
      <c r="B37" s="863" t="s">
        <v>1172</v>
      </c>
      <c r="C37" s="864"/>
      <c r="D37" s="864"/>
      <c r="E37" s="865">
        <v>0.35</v>
      </c>
      <c r="F37" s="864"/>
      <c r="I37" s="917"/>
      <c r="J37" s="916"/>
    </row>
    <row r="38" spans="1:34">
      <c r="B38" s="864"/>
      <c r="C38" s="864"/>
      <c r="D38" s="864"/>
      <c r="E38" s="865"/>
      <c r="F38" s="864"/>
      <c r="I38" s="916"/>
      <c r="J38" s="916"/>
    </row>
    <row r="39" spans="1:34">
      <c r="E39" s="220"/>
    </row>
    <row r="40" spans="1:34">
      <c r="E40" s="220"/>
    </row>
    <row r="41" spans="1:34">
      <c r="G41" s="918"/>
    </row>
    <row r="43" spans="1:34">
      <c r="E43" s="220"/>
    </row>
  </sheetData>
  <mergeCells count="5">
    <mergeCell ref="A2:H2"/>
    <mergeCell ref="A3:H3"/>
    <mergeCell ref="A4:H4"/>
    <mergeCell ref="A5:H5"/>
    <mergeCell ref="A1:H1"/>
  </mergeCells>
  <phoneticPr fontId="24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sqref="A1:C1"/>
    </sheetView>
  </sheetViews>
  <sheetFormatPr defaultRowHeight="15"/>
  <cols>
    <col min="3" max="3" width="45.44140625" customWidth="1"/>
  </cols>
  <sheetData>
    <row r="1" spans="1:3">
      <c r="A1" s="1248" t="str">
        <f>'Table of Contents'!A1:C1</f>
        <v>Atmos Energy Corporation, Kentucky/Mid-States Division</v>
      </c>
      <c r="B1" s="1248"/>
      <c r="C1" s="1248"/>
    </row>
    <row r="2" spans="1:3">
      <c r="A2" s="1248" t="str">
        <f>'Table of Contents'!A2:C2</f>
        <v>Kentucky Jurisdiction Case No. 2015-00343</v>
      </c>
      <c r="B2" s="1248"/>
      <c r="C2" s="1248"/>
    </row>
    <row r="3" spans="1:3">
      <c r="A3" s="1248" t="str">
        <f>'Table of Contents'!A3:C3</f>
        <v>Base Period: Twelve Months Ended February 29, 2016</v>
      </c>
      <c r="B3" s="1248"/>
      <c r="C3" s="1248"/>
    </row>
    <row r="4" spans="1:3">
      <c r="A4" s="1248" t="str">
        <f>'Table of Contents'!A4:C4</f>
        <v>Forecasted Test Period: Twelve Months Ended May 31, 2017</v>
      </c>
      <c r="B4" s="1248"/>
      <c r="C4" s="1248"/>
    </row>
    <row r="11" spans="1:3">
      <c r="A11" s="1248" t="s">
        <v>1532</v>
      </c>
      <c r="B11" s="1248"/>
      <c r="C11" s="1248"/>
    </row>
    <row r="13" spans="1:3">
      <c r="A13" s="1248"/>
      <c r="B13" s="1248"/>
      <c r="C13" s="1248"/>
    </row>
    <row r="16" spans="1:3">
      <c r="A16" s="84" t="s">
        <v>63</v>
      </c>
      <c r="B16" s="84"/>
      <c r="C16" s="84" t="s">
        <v>1004</v>
      </c>
    </row>
    <row r="18" spans="1:3">
      <c r="A18" t="s">
        <v>561</v>
      </c>
      <c r="B18" s="239"/>
      <c r="C18" t="s">
        <v>562</v>
      </c>
    </row>
    <row r="19" spans="1:3">
      <c r="A19" t="s">
        <v>563</v>
      </c>
      <c r="B19" s="239"/>
      <c r="C19" t="s">
        <v>564</v>
      </c>
    </row>
    <row r="20" spans="1:3">
      <c r="A20" t="s">
        <v>516</v>
      </c>
      <c r="B20" s="239"/>
      <c r="C20" t="s">
        <v>565</v>
      </c>
    </row>
    <row r="21" spans="1:3">
      <c r="A21" t="s">
        <v>566</v>
      </c>
      <c r="B21" s="239"/>
      <c r="C21" t="s">
        <v>567</v>
      </c>
    </row>
    <row r="22" spans="1:3">
      <c r="A22" t="s">
        <v>517</v>
      </c>
      <c r="B22" s="239"/>
      <c r="C22" t="s">
        <v>568</v>
      </c>
    </row>
    <row r="23" spans="1:3">
      <c r="A23" t="s">
        <v>569</v>
      </c>
      <c r="B23" s="239"/>
      <c r="C23" t="s">
        <v>973</v>
      </c>
    </row>
    <row r="24" spans="1:3">
      <c r="A24" t="s">
        <v>570</v>
      </c>
      <c r="B24" s="239"/>
      <c r="C24" t="s">
        <v>571</v>
      </c>
    </row>
    <row r="25" spans="1:3">
      <c r="A25" t="s">
        <v>572</v>
      </c>
      <c r="B25" s="239"/>
      <c r="C25" t="s">
        <v>225</v>
      </c>
    </row>
    <row r="26" spans="1:3">
      <c r="A26" t="s">
        <v>573</v>
      </c>
      <c r="B26" s="239"/>
      <c r="C26" t="s">
        <v>574</v>
      </c>
    </row>
    <row r="27" spans="1:3">
      <c r="A27" t="s">
        <v>991</v>
      </c>
      <c r="B27" s="239"/>
      <c r="C27" t="s">
        <v>575</v>
      </c>
    </row>
    <row r="28" spans="1:3">
      <c r="A28" t="s">
        <v>1341</v>
      </c>
      <c r="B28" s="897"/>
      <c r="C28" t="s">
        <v>1342</v>
      </c>
    </row>
    <row r="29" spans="1:3">
      <c r="A29" t="s">
        <v>1428</v>
      </c>
      <c r="B29" s="1120"/>
      <c r="C29" t="s">
        <v>1616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48"/>
  <sheetViews>
    <sheetView view="pageBreakPreview" zoomScale="60" zoomScaleNormal="90" workbookViewId="0">
      <pane ySplit="11" topLeftCell="A12" activePane="bottomLeft" state="frozen"/>
      <selection activeCell="G39" sqref="G39"/>
      <selection pane="bottomLeft" activeCell="A12" sqref="A12"/>
    </sheetView>
  </sheetViews>
  <sheetFormatPr defaultColWidth="11.21875" defaultRowHeight="15"/>
  <cols>
    <col min="1" max="1" width="4.6640625" style="590" customWidth="1"/>
    <col min="2" max="2" width="9.5546875" style="590" customWidth="1"/>
    <col min="3" max="3" width="56.5546875" style="590" customWidth="1"/>
    <col min="4" max="4" width="10.6640625" style="590" customWidth="1"/>
    <col min="5" max="5" width="13.5546875" style="590" customWidth="1"/>
    <col min="6" max="6" width="11.6640625" style="590" customWidth="1"/>
    <col min="7" max="7" width="3.6640625" style="590" customWidth="1"/>
    <col min="8" max="8" width="7.6640625" style="590" customWidth="1"/>
    <col min="9" max="9" width="4.6640625" style="590" customWidth="1"/>
    <col min="10" max="10" width="23.6640625" style="590" customWidth="1"/>
    <col min="11" max="12" width="10.6640625" style="590" customWidth="1"/>
    <col min="13" max="13" width="11.6640625" style="590" customWidth="1"/>
    <col min="14" max="14" width="10.6640625" style="590" customWidth="1"/>
    <col min="15" max="15" width="9.6640625" style="590" customWidth="1"/>
    <col min="16" max="16" width="14.6640625" style="590" customWidth="1"/>
    <col min="17" max="17" width="5.6640625" style="590" customWidth="1"/>
    <col min="18" max="18" width="4.6640625" style="590" customWidth="1"/>
    <col min="19" max="19" width="9.6640625" style="590" customWidth="1"/>
    <col min="20" max="20" width="20.6640625" style="590" customWidth="1"/>
    <col min="21" max="21" width="9.6640625" style="590" customWidth="1"/>
    <col min="22" max="22" width="15.6640625" style="590" customWidth="1"/>
    <col min="23" max="23" width="9.6640625" style="590" customWidth="1"/>
    <col min="24" max="24" width="6.6640625" style="590" customWidth="1"/>
    <col min="25" max="25" width="9.6640625" style="590" customWidth="1"/>
    <col min="26" max="26" width="16.6640625" style="590" customWidth="1"/>
    <col min="27" max="27" width="9.6640625" style="590" customWidth="1"/>
    <col min="28" max="28" width="5.6640625" style="590" customWidth="1"/>
    <col min="29" max="29" width="10.6640625" style="590" customWidth="1"/>
    <col min="30" max="30" width="19.6640625" style="590" customWidth="1"/>
    <col min="31" max="31" width="9.6640625" style="590" customWidth="1"/>
    <col min="32" max="32" width="16.6640625" style="590" customWidth="1"/>
    <col min="33" max="33" width="11.21875" style="590"/>
    <col min="34" max="34" width="5.6640625" style="590" customWidth="1"/>
    <col min="35" max="35" width="10.6640625" style="590" customWidth="1"/>
    <col min="36" max="36" width="17.6640625" style="590" customWidth="1"/>
    <col min="37" max="37" width="10.6640625" style="590" customWidth="1"/>
    <col min="38" max="38" width="24.6640625" style="590" customWidth="1"/>
    <col min="39" max="40" width="9.6640625" style="590" customWidth="1"/>
    <col min="41" max="41" width="11.6640625" style="590" customWidth="1"/>
    <col min="42" max="43" width="9.6640625" style="590" customWidth="1"/>
    <col min="44" max="44" width="13.6640625" style="590" customWidth="1"/>
    <col min="45" max="45" width="19.6640625" style="590" customWidth="1"/>
    <col min="46" max="46" width="14.6640625" style="590" customWidth="1"/>
    <col min="47" max="50" width="11.21875" style="590"/>
    <col min="51" max="51" width="9.6640625" style="590" customWidth="1"/>
    <col min="52" max="52" width="14.6640625" style="590" customWidth="1"/>
    <col min="53" max="54" width="11.21875" style="590"/>
    <col min="55" max="55" width="12.6640625" style="590" customWidth="1"/>
    <col min="56" max="56" width="10.6640625" style="590" customWidth="1"/>
    <col min="57" max="16384" width="11.21875" style="590"/>
  </cols>
  <sheetData>
    <row r="1" spans="1:7" ht="15.75" customHeight="1">
      <c r="A1" s="1270" t="str">
        <f>'Table of Contents'!A1:C1</f>
        <v>Atmos Energy Corporation, Kentucky/Mid-States Division</v>
      </c>
      <c r="B1" s="1270"/>
      <c r="C1" s="1270"/>
      <c r="D1" s="1270"/>
      <c r="E1" s="1270"/>
      <c r="F1" s="1270"/>
    </row>
    <row r="2" spans="1:7" ht="15.75">
      <c r="A2" s="1270" t="str">
        <f>'Table of Contents'!A2:C2</f>
        <v>Kentucky Jurisdiction Case No. 2015-00343</v>
      </c>
      <c r="B2" s="1270"/>
      <c r="C2" s="1270"/>
      <c r="D2" s="1270"/>
      <c r="E2" s="1270"/>
      <c r="F2" s="1270"/>
    </row>
    <row r="3" spans="1:7" ht="15.75">
      <c r="A3" s="1270" t="s">
        <v>438</v>
      </c>
      <c r="B3" s="1270"/>
      <c r="C3" s="1270"/>
      <c r="D3" s="1270"/>
      <c r="E3" s="1270"/>
      <c r="F3" s="1270"/>
    </row>
    <row r="4" spans="1:7" ht="15.75">
      <c r="A4" s="1270" t="str">
        <f>'Table of Contents'!A3:C3</f>
        <v>Base Period: Twelve Months Ended February 29, 2016</v>
      </c>
      <c r="B4" s="1270"/>
      <c r="C4" s="1270"/>
      <c r="D4" s="1270"/>
      <c r="E4" s="1270"/>
      <c r="F4" s="1270"/>
    </row>
    <row r="5" spans="1:7" ht="15.75">
      <c r="A5" s="1270" t="str">
        <f>'Table of Contents'!A4:C4</f>
        <v>Forecasted Test Period: Twelve Months Ended May 31, 2017</v>
      </c>
      <c r="B5" s="1270"/>
      <c r="C5" s="1270"/>
      <c r="D5" s="1270"/>
      <c r="E5" s="1270"/>
      <c r="F5" s="1270"/>
    </row>
    <row r="7" spans="1:7" ht="15.75">
      <c r="A7" s="728" t="s">
        <v>820</v>
      </c>
      <c r="B7" s="591"/>
      <c r="F7" s="729" t="s">
        <v>1504</v>
      </c>
    </row>
    <row r="8" spans="1:7" ht="15.75">
      <c r="A8" s="728" t="s">
        <v>1143</v>
      </c>
      <c r="B8" s="591"/>
      <c r="F8" s="730" t="s">
        <v>179</v>
      </c>
    </row>
    <row r="9" spans="1:7" ht="15.75">
      <c r="A9" s="728" t="s">
        <v>440</v>
      </c>
      <c r="B9" s="591"/>
      <c r="F9" s="731" t="s">
        <v>1392</v>
      </c>
    </row>
    <row r="10" spans="1:7">
      <c r="A10" s="595" t="s">
        <v>98</v>
      </c>
      <c r="B10" s="596"/>
      <c r="C10" s="596"/>
      <c r="D10" s="595" t="s">
        <v>101</v>
      </c>
      <c r="E10" s="596"/>
      <c r="F10" s="596"/>
      <c r="G10" s="594"/>
    </row>
    <row r="11" spans="1:7">
      <c r="A11" s="597" t="s">
        <v>104</v>
      </c>
      <c r="B11" s="597" t="s">
        <v>180</v>
      </c>
      <c r="C11" s="597" t="s">
        <v>181</v>
      </c>
      <c r="D11" s="597" t="s">
        <v>609</v>
      </c>
      <c r="E11" s="597" t="s">
        <v>182</v>
      </c>
      <c r="F11" s="597" t="s">
        <v>610</v>
      </c>
      <c r="G11" s="594"/>
    </row>
    <row r="12" spans="1:7">
      <c r="A12" s="606"/>
      <c r="B12" s="606"/>
      <c r="C12" s="606"/>
      <c r="D12" s="606"/>
      <c r="E12" s="606"/>
      <c r="F12" s="606"/>
      <c r="G12" s="594"/>
    </row>
    <row r="13" spans="1:7" ht="15.75">
      <c r="A13" s="606"/>
      <c r="C13" s="608" t="s">
        <v>822</v>
      </c>
      <c r="D13" s="606"/>
      <c r="E13" s="606"/>
      <c r="F13" s="606"/>
      <c r="G13" s="594"/>
    </row>
    <row r="14" spans="1:7">
      <c r="G14" s="594"/>
    </row>
    <row r="15" spans="1:7">
      <c r="A15" s="598">
        <v>1</v>
      </c>
      <c r="B15" s="599" t="s">
        <v>640</v>
      </c>
      <c r="C15" s="1070" t="s">
        <v>1466</v>
      </c>
      <c r="D15" s="1029">
        <v>-312</v>
      </c>
      <c r="E15" s="600" t="s">
        <v>1079</v>
      </c>
      <c r="F15" s="598">
        <f t="shared" ref="F15:F36" si="0">D15</f>
        <v>-312</v>
      </c>
    </row>
    <row r="16" spans="1:7">
      <c r="A16" s="598">
        <f t="shared" ref="A16:A31" si="1">A15+1</f>
        <v>2</v>
      </c>
      <c r="B16" s="599" t="s">
        <v>640</v>
      </c>
      <c r="C16" s="1031" t="s">
        <v>1263</v>
      </c>
      <c r="D16" s="1029">
        <v>400</v>
      </c>
      <c r="E16" s="250"/>
      <c r="F16" s="598">
        <f t="shared" si="0"/>
        <v>400</v>
      </c>
    </row>
    <row r="17" spans="1:6">
      <c r="A17" s="598">
        <f t="shared" si="1"/>
        <v>3</v>
      </c>
      <c r="B17" s="599" t="s">
        <v>640</v>
      </c>
      <c r="C17" s="1031" t="s">
        <v>1467</v>
      </c>
      <c r="D17" s="1029">
        <v>7500</v>
      </c>
      <c r="E17" s="250"/>
      <c r="F17" s="598">
        <f t="shared" si="0"/>
        <v>7500</v>
      </c>
    </row>
    <row r="18" spans="1:6">
      <c r="A18" s="598">
        <f t="shared" si="1"/>
        <v>4</v>
      </c>
      <c r="B18" s="599" t="s">
        <v>640</v>
      </c>
      <c r="C18" s="1031" t="s">
        <v>1264</v>
      </c>
      <c r="D18" s="1029">
        <v>125</v>
      </c>
      <c r="E18" s="250"/>
      <c r="F18" s="598">
        <f t="shared" si="0"/>
        <v>125</v>
      </c>
    </row>
    <row r="19" spans="1:6">
      <c r="A19" s="598">
        <f t="shared" si="1"/>
        <v>5</v>
      </c>
      <c r="B19" s="599" t="s">
        <v>640</v>
      </c>
      <c r="C19" s="1031" t="s">
        <v>1468</v>
      </c>
      <c r="D19" s="1029">
        <v>405</v>
      </c>
      <c r="E19" s="250"/>
      <c r="F19" s="598">
        <f t="shared" si="0"/>
        <v>405</v>
      </c>
    </row>
    <row r="20" spans="1:6">
      <c r="A20" s="598">
        <f t="shared" si="1"/>
        <v>6</v>
      </c>
      <c r="B20" s="599" t="s">
        <v>640</v>
      </c>
      <c r="C20" s="1031" t="s">
        <v>1265</v>
      </c>
      <c r="D20" s="1029">
        <v>500</v>
      </c>
      <c r="E20" s="250"/>
      <c r="F20" s="598">
        <f t="shared" si="0"/>
        <v>500</v>
      </c>
    </row>
    <row r="21" spans="1:6">
      <c r="A21" s="598">
        <f t="shared" si="1"/>
        <v>7</v>
      </c>
      <c r="B21" s="599" t="s">
        <v>640</v>
      </c>
      <c r="C21" s="1031" t="s">
        <v>1266</v>
      </c>
      <c r="D21" s="1029">
        <v>100</v>
      </c>
      <c r="E21" s="250"/>
      <c r="F21" s="598">
        <f t="shared" si="0"/>
        <v>100</v>
      </c>
    </row>
    <row r="22" spans="1:6">
      <c r="A22" s="598">
        <f t="shared" si="1"/>
        <v>8</v>
      </c>
      <c r="B22" s="599" t="s">
        <v>640</v>
      </c>
      <c r="C22" s="1027" t="s">
        <v>1267</v>
      </c>
      <c r="D22" s="1029">
        <v>300</v>
      </c>
      <c r="E22" s="250"/>
      <c r="F22" s="598">
        <f t="shared" si="0"/>
        <v>300</v>
      </c>
    </row>
    <row r="23" spans="1:6">
      <c r="A23" s="598">
        <f t="shared" si="1"/>
        <v>9</v>
      </c>
      <c r="B23" s="599" t="s">
        <v>640</v>
      </c>
      <c r="C23" s="1031" t="s">
        <v>1469</v>
      </c>
      <c r="D23" s="1029">
        <v>2000</v>
      </c>
      <c r="E23" s="250"/>
      <c r="F23" s="598">
        <f t="shared" si="0"/>
        <v>2000</v>
      </c>
    </row>
    <row r="24" spans="1:6">
      <c r="A24" s="598">
        <f t="shared" si="1"/>
        <v>10</v>
      </c>
      <c r="B24" s="599" t="s">
        <v>640</v>
      </c>
      <c r="C24" s="1031" t="s">
        <v>1470</v>
      </c>
      <c r="D24" s="1029">
        <v>1248.08</v>
      </c>
      <c r="E24" s="250"/>
      <c r="F24" s="598">
        <f t="shared" si="0"/>
        <v>1248.08</v>
      </c>
    </row>
    <row r="25" spans="1:6">
      <c r="A25" s="598">
        <f t="shared" si="1"/>
        <v>11</v>
      </c>
      <c r="B25" s="599" t="s">
        <v>640</v>
      </c>
      <c r="C25" s="1031" t="s">
        <v>1268</v>
      </c>
      <c r="D25" s="1029">
        <v>525</v>
      </c>
      <c r="E25" s="250"/>
      <c r="F25" s="598">
        <f t="shared" si="0"/>
        <v>525</v>
      </c>
    </row>
    <row r="26" spans="1:6">
      <c r="A26" s="598">
        <f t="shared" si="1"/>
        <v>12</v>
      </c>
      <c r="B26" s="599" t="s">
        <v>640</v>
      </c>
      <c r="C26" s="1031" t="s">
        <v>1269</v>
      </c>
      <c r="D26" s="1029">
        <v>500</v>
      </c>
      <c r="E26" s="250"/>
      <c r="F26" s="598">
        <f t="shared" si="0"/>
        <v>500</v>
      </c>
    </row>
    <row r="27" spans="1:6">
      <c r="A27" s="598">
        <f t="shared" si="1"/>
        <v>13</v>
      </c>
      <c r="B27" s="599" t="s">
        <v>640</v>
      </c>
      <c r="C27" s="1031" t="s">
        <v>1270</v>
      </c>
      <c r="D27" s="1029">
        <v>325</v>
      </c>
      <c r="E27" s="250"/>
      <c r="F27" s="598">
        <f t="shared" si="0"/>
        <v>325</v>
      </c>
    </row>
    <row r="28" spans="1:6">
      <c r="A28" s="598">
        <f t="shared" si="1"/>
        <v>14</v>
      </c>
      <c r="B28" s="599" t="s">
        <v>640</v>
      </c>
      <c r="C28" s="1031" t="s">
        <v>1471</v>
      </c>
      <c r="D28" s="1029">
        <v>300</v>
      </c>
      <c r="E28" s="250"/>
      <c r="F28" s="598">
        <f t="shared" si="0"/>
        <v>300</v>
      </c>
    </row>
    <row r="29" spans="1:6">
      <c r="A29" s="598">
        <f t="shared" si="1"/>
        <v>15</v>
      </c>
      <c r="B29" s="599" t="s">
        <v>640</v>
      </c>
      <c r="C29" s="1031" t="s">
        <v>1472</v>
      </c>
      <c r="D29" s="1029">
        <v>300</v>
      </c>
      <c r="E29" s="250"/>
      <c r="F29" s="598">
        <f t="shared" si="0"/>
        <v>300</v>
      </c>
    </row>
    <row r="30" spans="1:6">
      <c r="A30" s="598">
        <f t="shared" si="1"/>
        <v>16</v>
      </c>
      <c r="B30" s="599" t="s">
        <v>640</v>
      </c>
      <c r="C30" s="1031" t="s">
        <v>1271</v>
      </c>
      <c r="D30" s="1029">
        <v>4125</v>
      </c>
      <c r="E30" s="250"/>
      <c r="F30" s="598">
        <f t="shared" si="0"/>
        <v>4125</v>
      </c>
    </row>
    <row r="31" spans="1:6">
      <c r="A31" s="598">
        <f t="shared" si="1"/>
        <v>17</v>
      </c>
      <c r="B31" s="599" t="s">
        <v>640</v>
      </c>
      <c r="C31" s="1031" t="s">
        <v>1272</v>
      </c>
      <c r="D31" s="1029">
        <v>100</v>
      </c>
      <c r="E31" s="250"/>
      <c r="F31" s="598">
        <f t="shared" si="0"/>
        <v>100</v>
      </c>
    </row>
    <row r="32" spans="1:6">
      <c r="A32" s="598">
        <v>18</v>
      </c>
      <c r="B32" s="599" t="s">
        <v>640</v>
      </c>
      <c r="C32" s="1031" t="s">
        <v>1273</v>
      </c>
      <c r="D32" s="1029">
        <v>175</v>
      </c>
      <c r="E32" s="250"/>
      <c r="F32" s="598">
        <f t="shared" si="0"/>
        <v>175</v>
      </c>
    </row>
    <row r="33" spans="1:6">
      <c r="A33" s="598">
        <f>A32+1</f>
        <v>19</v>
      </c>
      <c r="B33" s="599" t="s">
        <v>640</v>
      </c>
      <c r="C33" s="1031" t="s">
        <v>1274</v>
      </c>
      <c r="D33" s="1029">
        <v>760</v>
      </c>
      <c r="E33" s="250"/>
      <c r="F33" s="598">
        <f t="shared" si="0"/>
        <v>760</v>
      </c>
    </row>
    <row r="34" spans="1:6">
      <c r="A34" s="598">
        <f>A33+1</f>
        <v>20</v>
      </c>
      <c r="B34" s="599" t="s">
        <v>640</v>
      </c>
      <c r="C34" s="1031" t="s">
        <v>1473</v>
      </c>
      <c r="D34" s="1029">
        <v>10000</v>
      </c>
      <c r="E34" s="250"/>
      <c r="F34" s="598">
        <f t="shared" si="0"/>
        <v>10000</v>
      </c>
    </row>
    <row r="35" spans="1:6">
      <c r="A35" s="598">
        <f>A34+1</f>
        <v>21</v>
      </c>
      <c r="B35" s="599" t="s">
        <v>640</v>
      </c>
      <c r="C35" s="1030" t="s">
        <v>1275</v>
      </c>
      <c r="D35" s="1029">
        <v>200</v>
      </c>
      <c r="E35" s="250"/>
      <c r="F35" s="598">
        <f t="shared" si="0"/>
        <v>200</v>
      </c>
    </row>
    <row r="36" spans="1:6">
      <c r="A36" s="598">
        <f>A35+1</f>
        <v>22</v>
      </c>
      <c r="B36" s="599" t="s">
        <v>640</v>
      </c>
      <c r="C36" s="1030" t="s">
        <v>1276</v>
      </c>
      <c r="D36" s="1029">
        <v>200</v>
      </c>
      <c r="E36" s="250"/>
      <c r="F36" s="598">
        <f t="shared" si="0"/>
        <v>200</v>
      </c>
    </row>
    <row r="37" spans="1:6">
      <c r="A37" s="598">
        <v>23</v>
      </c>
      <c r="B37" s="599" t="s">
        <v>640</v>
      </c>
      <c r="C37" s="1030" t="s">
        <v>1277</v>
      </c>
      <c r="D37" s="1029">
        <v>295</v>
      </c>
      <c r="E37" s="600"/>
      <c r="F37" s="598">
        <f t="shared" ref="F37:F58" si="2">D37</f>
        <v>295</v>
      </c>
    </row>
    <row r="38" spans="1:6">
      <c r="A38" s="598">
        <f t="shared" ref="A38:A58" si="3">A37+1</f>
        <v>24</v>
      </c>
      <c r="B38" s="599" t="s">
        <v>640</v>
      </c>
      <c r="C38" s="1030" t="s">
        <v>1474</v>
      </c>
      <c r="D38" s="1029">
        <v>500</v>
      </c>
      <c r="F38" s="598">
        <f t="shared" si="2"/>
        <v>500</v>
      </c>
    </row>
    <row r="39" spans="1:6">
      <c r="A39" s="598">
        <f t="shared" si="3"/>
        <v>25</v>
      </c>
      <c r="B39" s="599" t="s">
        <v>640</v>
      </c>
      <c r="C39" s="1030" t="s">
        <v>1278</v>
      </c>
      <c r="D39" s="1029">
        <v>1540</v>
      </c>
      <c r="F39" s="598">
        <f t="shared" si="2"/>
        <v>1540</v>
      </c>
    </row>
    <row r="40" spans="1:6">
      <c r="A40" s="598">
        <f t="shared" si="3"/>
        <v>26</v>
      </c>
      <c r="B40" s="599" t="s">
        <v>640</v>
      </c>
      <c r="C40" s="1030" t="s">
        <v>1475</v>
      </c>
      <c r="D40" s="1029">
        <v>11600</v>
      </c>
      <c r="F40" s="598">
        <f t="shared" si="2"/>
        <v>11600</v>
      </c>
    </row>
    <row r="41" spans="1:6">
      <c r="A41" s="598">
        <f t="shared" si="3"/>
        <v>27</v>
      </c>
      <c r="B41" s="599" t="s">
        <v>640</v>
      </c>
      <c r="C41" s="1030" t="s">
        <v>1476</v>
      </c>
      <c r="D41" s="1029">
        <v>3000</v>
      </c>
      <c r="E41" s="592" t="s">
        <v>332</v>
      </c>
      <c r="F41" s="598">
        <f t="shared" si="2"/>
        <v>3000</v>
      </c>
    </row>
    <row r="42" spans="1:6">
      <c r="A42" s="598">
        <f t="shared" si="3"/>
        <v>28</v>
      </c>
      <c r="B42" s="599" t="s">
        <v>640</v>
      </c>
      <c r="C42" s="1030" t="s">
        <v>1279</v>
      </c>
      <c r="D42" s="1029">
        <v>10950</v>
      </c>
      <c r="F42" s="598">
        <f t="shared" si="2"/>
        <v>10950</v>
      </c>
    </row>
    <row r="43" spans="1:6">
      <c r="A43" s="598">
        <f t="shared" si="3"/>
        <v>29</v>
      </c>
      <c r="B43" s="599" t="s">
        <v>640</v>
      </c>
      <c r="C43" s="1030" t="s">
        <v>1477</v>
      </c>
      <c r="D43" s="1029">
        <v>500</v>
      </c>
      <c r="F43" s="598">
        <f t="shared" si="2"/>
        <v>500</v>
      </c>
    </row>
    <row r="44" spans="1:6">
      <c r="A44" s="598">
        <f t="shared" si="3"/>
        <v>30</v>
      </c>
      <c r="B44" s="599" t="s">
        <v>640</v>
      </c>
      <c r="C44" s="1030" t="s">
        <v>1478</v>
      </c>
      <c r="D44" s="1029">
        <v>1000</v>
      </c>
      <c r="F44" s="598">
        <f t="shared" si="2"/>
        <v>1000</v>
      </c>
    </row>
    <row r="45" spans="1:6">
      <c r="A45" s="598">
        <f t="shared" si="3"/>
        <v>31</v>
      </c>
      <c r="B45" s="599" t="s">
        <v>640</v>
      </c>
      <c r="C45" s="1030" t="s">
        <v>1479</v>
      </c>
      <c r="D45" s="1029">
        <v>125</v>
      </c>
      <c r="F45" s="598">
        <f t="shared" si="2"/>
        <v>125</v>
      </c>
    </row>
    <row r="46" spans="1:6">
      <c r="A46" s="598">
        <f t="shared" si="3"/>
        <v>32</v>
      </c>
      <c r="B46" s="599" t="s">
        <v>640</v>
      </c>
      <c r="C46" s="1030" t="s">
        <v>1480</v>
      </c>
      <c r="D46" s="1029">
        <v>150</v>
      </c>
      <c r="E46" s="592" t="s">
        <v>332</v>
      </c>
      <c r="F46" s="598">
        <f t="shared" si="2"/>
        <v>150</v>
      </c>
    </row>
    <row r="47" spans="1:6">
      <c r="A47" s="598">
        <f t="shared" si="3"/>
        <v>33</v>
      </c>
      <c r="B47" s="599" t="s">
        <v>640</v>
      </c>
      <c r="C47" s="1030" t="s">
        <v>1280</v>
      </c>
      <c r="D47" s="1029">
        <v>125</v>
      </c>
      <c r="F47" s="598">
        <f t="shared" si="2"/>
        <v>125</v>
      </c>
    </row>
    <row r="48" spans="1:6">
      <c r="A48" s="598">
        <f t="shared" si="3"/>
        <v>34</v>
      </c>
      <c r="B48" s="599" t="s">
        <v>640</v>
      </c>
      <c r="C48" s="1030" t="s">
        <v>1281</v>
      </c>
      <c r="D48" s="1029">
        <v>100</v>
      </c>
      <c r="F48" s="598">
        <f t="shared" si="2"/>
        <v>100</v>
      </c>
    </row>
    <row r="49" spans="1:6">
      <c r="A49" s="598">
        <f t="shared" si="3"/>
        <v>35</v>
      </c>
      <c r="B49" s="599" t="s">
        <v>640</v>
      </c>
      <c r="C49" s="1030" t="s">
        <v>1481</v>
      </c>
      <c r="D49" s="1029">
        <v>350</v>
      </c>
      <c r="F49" s="598">
        <f t="shared" si="2"/>
        <v>350</v>
      </c>
    </row>
    <row r="50" spans="1:6">
      <c r="A50" s="598">
        <f t="shared" si="3"/>
        <v>36</v>
      </c>
      <c r="B50" s="599" t="s">
        <v>640</v>
      </c>
      <c r="C50" s="1030" t="s">
        <v>1282</v>
      </c>
      <c r="D50" s="1029">
        <v>125</v>
      </c>
      <c r="F50" s="598">
        <f t="shared" si="2"/>
        <v>125</v>
      </c>
    </row>
    <row r="51" spans="1:6">
      <c r="A51" s="598">
        <f t="shared" si="3"/>
        <v>37</v>
      </c>
      <c r="B51" s="599" t="s">
        <v>640</v>
      </c>
      <c r="C51" s="1030" t="s">
        <v>1482</v>
      </c>
      <c r="D51" s="1029">
        <v>1312</v>
      </c>
      <c r="F51" s="598">
        <f t="shared" si="2"/>
        <v>1312</v>
      </c>
    </row>
    <row r="52" spans="1:6">
      <c r="A52" s="598">
        <f t="shared" si="3"/>
        <v>38</v>
      </c>
      <c r="B52" s="599" t="s">
        <v>640</v>
      </c>
      <c r="C52" s="1030" t="s">
        <v>1483</v>
      </c>
      <c r="D52" s="1029">
        <v>305</v>
      </c>
      <c r="F52" s="598">
        <f t="shared" si="2"/>
        <v>305</v>
      </c>
    </row>
    <row r="53" spans="1:6">
      <c r="A53" s="598">
        <f t="shared" si="3"/>
        <v>39</v>
      </c>
      <c r="B53" s="599" t="s">
        <v>640</v>
      </c>
      <c r="C53" s="1030" t="s">
        <v>1484</v>
      </c>
      <c r="D53" s="1029">
        <v>400</v>
      </c>
      <c r="F53" s="598">
        <f t="shared" si="2"/>
        <v>400</v>
      </c>
    </row>
    <row r="54" spans="1:6">
      <c r="A54" s="598">
        <f t="shared" si="3"/>
        <v>40</v>
      </c>
      <c r="B54" s="599" t="s">
        <v>640</v>
      </c>
      <c r="C54" s="1032" t="s">
        <v>1283</v>
      </c>
      <c r="D54" s="1029">
        <v>20</v>
      </c>
      <c r="F54" s="598">
        <f t="shared" si="2"/>
        <v>20</v>
      </c>
    </row>
    <row r="55" spans="1:6">
      <c r="A55" s="598">
        <f t="shared" si="3"/>
        <v>41</v>
      </c>
      <c r="B55" s="599" t="s">
        <v>640</v>
      </c>
      <c r="C55" s="1030" t="s">
        <v>1485</v>
      </c>
      <c r="D55" s="1029">
        <v>890</v>
      </c>
      <c r="F55" s="598">
        <f t="shared" si="2"/>
        <v>890</v>
      </c>
    </row>
    <row r="56" spans="1:6">
      <c r="A56" s="598">
        <f t="shared" si="3"/>
        <v>42</v>
      </c>
      <c r="B56" s="599" t="s">
        <v>640</v>
      </c>
      <c r="C56" s="1033" t="s">
        <v>1284</v>
      </c>
      <c r="D56" s="1029">
        <v>500</v>
      </c>
      <c r="F56" s="598">
        <f t="shared" si="2"/>
        <v>500</v>
      </c>
    </row>
    <row r="57" spans="1:6">
      <c r="A57" s="598">
        <f t="shared" si="3"/>
        <v>43</v>
      </c>
      <c r="B57" s="599" t="s">
        <v>640</v>
      </c>
      <c r="C57" s="1032" t="s">
        <v>1285</v>
      </c>
      <c r="D57" s="1029">
        <v>300</v>
      </c>
      <c r="F57" s="598">
        <f t="shared" si="2"/>
        <v>300</v>
      </c>
    </row>
    <row r="58" spans="1:6">
      <c r="A58" s="598">
        <f t="shared" si="3"/>
        <v>44</v>
      </c>
      <c r="B58" s="599" t="s">
        <v>640</v>
      </c>
      <c r="C58" s="1033" t="s">
        <v>1286</v>
      </c>
      <c r="D58" s="1029">
        <v>250</v>
      </c>
      <c r="F58" s="598">
        <f t="shared" si="2"/>
        <v>250</v>
      </c>
    </row>
    <row r="59" spans="1:6">
      <c r="A59" s="598">
        <f>A58+1</f>
        <v>45</v>
      </c>
      <c r="B59" s="599" t="s">
        <v>640</v>
      </c>
      <c r="C59" s="1033" t="s">
        <v>1287</v>
      </c>
      <c r="D59" s="1029">
        <v>755</v>
      </c>
      <c r="E59" s="600"/>
      <c r="F59" s="598">
        <f t="shared" ref="F59:F69" si="4">D59</f>
        <v>755</v>
      </c>
    </row>
    <row r="60" spans="1:6">
      <c r="A60" s="598">
        <f t="shared" ref="A60:A71" si="5">A59+1</f>
        <v>46</v>
      </c>
      <c r="B60" s="599" t="s">
        <v>640</v>
      </c>
      <c r="C60" s="1030" t="s">
        <v>1486</v>
      </c>
      <c r="D60" s="1029">
        <v>500</v>
      </c>
      <c r="F60" s="598">
        <f t="shared" si="4"/>
        <v>500</v>
      </c>
    </row>
    <row r="61" spans="1:6">
      <c r="A61" s="598">
        <f t="shared" si="5"/>
        <v>47</v>
      </c>
      <c r="B61" s="599" t="s">
        <v>640</v>
      </c>
      <c r="C61" s="1030" t="s">
        <v>1487</v>
      </c>
      <c r="D61" s="1029">
        <v>75</v>
      </c>
      <c r="F61" s="598">
        <f t="shared" si="4"/>
        <v>75</v>
      </c>
    </row>
    <row r="62" spans="1:6">
      <c r="A62" s="598">
        <f t="shared" si="5"/>
        <v>48</v>
      </c>
      <c r="B62" s="603" t="s">
        <v>640</v>
      </c>
      <c r="C62" s="1027" t="s">
        <v>1288</v>
      </c>
      <c r="D62" s="1029">
        <v>719.4</v>
      </c>
      <c r="F62" s="598">
        <f t="shared" si="4"/>
        <v>719.4</v>
      </c>
    </row>
    <row r="63" spans="1:6">
      <c r="A63" s="598">
        <f t="shared" si="5"/>
        <v>49</v>
      </c>
      <c r="B63" s="599" t="s">
        <v>640</v>
      </c>
      <c r="C63" s="1033" t="s">
        <v>1289</v>
      </c>
      <c r="D63" s="1029">
        <v>130</v>
      </c>
      <c r="F63" s="598">
        <f t="shared" si="4"/>
        <v>130</v>
      </c>
    </row>
    <row r="64" spans="1:6">
      <c r="A64" s="598">
        <f t="shared" si="5"/>
        <v>50</v>
      </c>
      <c r="B64" s="599" t="s">
        <v>640</v>
      </c>
      <c r="C64" s="1030" t="s">
        <v>1488</v>
      </c>
      <c r="D64" s="1029">
        <v>3000</v>
      </c>
      <c r="F64" s="598">
        <f t="shared" si="4"/>
        <v>3000</v>
      </c>
    </row>
    <row r="65" spans="1:6">
      <c r="A65" s="598">
        <f t="shared" si="5"/>
        <v>51</v>
      </c>
      <c r="B65" s="599" t="s">
        <v>640</v>
      </c>
      <c r="C65" s="1030" t="s">
        <v>1489</v>
      </c>
      <c r="D65" s="1029">
        <v>125</v>
      </c>
      <c r="F65" s="598">
        <f t="shared" si="4"/>
        <v>125</v>
      </c>
    </row>
    <row r="66" spans="1:6">
      <c r="A66" s="598">
        <f t="shared" si="5"/>
        <v>52</v>
      </c>
      <c r="B66" s="599" t="s">
        <v>640</v>
      </c>
      <c r="C66" s="1030" t="s">
        <v>1490</v>
      </c>
      <c r="D66" s="1029">
        <v>240</v>
      </c>
      <c r="F66" s="598">
        <f t="shared" si="4"/>
        <v>240</v>
      </c>
    </row>
    <row r="67" spans="1:6">
      <c r="A67" s="598">
        <f t="shared" si="5"/>
        <v>53</v>
      </c>
      <c r="B67" s="599" t="s">
        <v>640</v>
      </c>
      <c r="C67" s="1027" t="s">
        <v>1290</v>
      </c>
      <c r="D67" s="1029">
        <v>250</v>
      </c>
      <c r="F67" s="598">
        <f t="shared" si="4"/>
        <v>250</v>
      </c>
    </row>
    <row r="68" spans="1:6">
      <c r="A68" s="598">
        <f t="shared" si="5"/>
        <v>54</v>
      </c>
      <c r="B68" s="599" t="s">
        <v>640</v>
      </c>
      <c r="C68" s="1030" t="s">
        <v>1491</v>
      </c>
      <c r="D68" s="1029">
        <v>275</v>
      </c>
      <c r="F68" s="598">
        <f t="shared" si="4"/>
        <v>275</v>
      </c>
    </row>
    <row r="69" spans="1:6">
      <c r="A69" s="598">
        <f t="shared" si="5"/>
        <v>55</v>
      </c>
      <c r="B69" s="599" t="s">
        <v>640</v>
      </c>
      <c r="C69" s="1030" t="s">
        <v>1492</v>
      </c>
      <c r="D69" s="1029">
        <v>34.25</v>
      </c>
      <c r="F69" s="598">
        <f t="shared" si="4"/>
        <v>34.25</v>
      </c>
    </row>
    <row r="70" spans="1:6">
      <c r="A70" s="598">
        <f t="shared" si="5"/>
        <v>56</v>
      </c>
      <c r="B70" s="599" t="s">
        <v>640</v>
      </c>
      <c r="C70" s="1030" t="s">
        <v>399</v>
      </c>
      <c r="D70" s="1029">
        <v>0</v>
      </c>
      <c r="E70" s="609">
        <f>Allocation!I14</f>
        <v>5.2575879716356848E-2</v>
      </c>
      <c r="F70" s="598">
        <f>D70*E70</f>
        <v>0</v>
      </c>
    </row>
    <row r="71" spans="1:6">
      <c r="A71" s="598">
        <f t="shared" si="5"/>
        <v>57</v>
      </c>
      <c r="B71" s="599" t="s">
        <v>640</v>
      </c>
      <c r="C71" s="1030"/>
      <c r="D71" s="1029"/>
      <c r="E71" s="609"/>
      <c r="F71" s="598">
        <f>D71*E71</f>
        <v>0</v>
      </c>
    </row>
    <row r="72" spans="1:6">
      <c r="A72" s="598"/>
      <c r="B72" s="599"/>
    </row>
    <row r="73" spans="1:6" ht="15.75">
      <c r="C73" s="605" t="s">
        <v>821</v>
      </c>
      <c r="D73" s="601">
        <f>SUM(D15:D72)</f>
        <v>70216.73</v>
      </c>
      <c r="F73" s="601">
        <f>SUM(F15:F72)</f>
        <v>70216.73</v>
      </c>
    </row>
    <row r="75" spans="1:6" ht="15.75">
      <c r="C75" s="608" t="s">
        <v>1431</v>
      </c>
    </row>
    <row r="76" spans="1:6" ht="15.75">
      <c r="C76" s="607"/>
    </row>
    <row r="77" spans="1:6">
      <c r="A77" s="598">
        <v>1</v>
      </c>
      <c r="B77" s="599" t="s">
        <v>640</v>
      </c>
      <c r="C77" s="1031" t="str">
        <f>C15</f>
        <v>JOURNAL ENTRY</v>
      </c>
      <c r="D77" s="1029">
        <v>-312</v>
      </c>
      <c r="E77" s="600" t="s">
        <v>1079</v>
      </c>
      <c r="F77" s="598">
        <f t="shared" ref="F77:F98" si="6">D77</f>
        <v>-312</v>
      </c>
    </row>
    <row r="78" spans="1:6">
      <c r="A78" s="598">
        <f t="shared" ref="A78:A93" si="7">A77+1</f>
        <v>2</v>
      </c>
      <c r="B78" s="599" t="s">
        <v>640</v>
      </c>
      <c r="C78" s="1031" t="str">
        <f t="shared" ref="C78:C132" si="8">C16</f>
        <v>ANDERSON COUNTY CHAMBER OF COMMERCE</v>
      </c>
      <c r="D78" s="1029">
        <v>400</v>
      </c>
      <c r="F78" s="598">
        <f t="shared" si="6"/>
        <v>400</v>
      </c>
    </row>
    <row r="79" spans="1:6">
      <c r="A79" s="598">
        <f t="shared" si="7"/>
        <v>3</v>
      </c>
      <c r="B79" s="599" t="s">
        <v>640</v>
      </c>
      <c r="C79" s="1031" t="str">
        <f t="shared" si="8"/>
        <v>BOWLING GREEN AREA CHAMBER OF COMMERCE</v>
      </c>
      <c r="D79" s="1029">
        <v>7500</v>
      </c>
      <c r="F79" s="598">
        <f t="shared" si="6"/>
        <v>7500</v>
      </c>
    </row>
    <row r="80" spans="1:6">
      <c r="A80" s="598">
        <f t="shared" si="7"/>
        <v>4</v>
      </c>
      <c r="B80" s="599" t="s">
        <v>640</v>
      </c>
      <c r="C80" s="1031" t="str">
        <f t="shared" si="8"/>
        <v>BRECKINRIDGE COUNTY CHAMBER OF COMMERCE</v>
      </c>
      <c r="D80" s="1029">
        <v>125</v>
      </c>
      <c r="F80" s="598">
        <f t="shared" si="6"/>
        <v>125</v>
      </c>
    </row>
    <row r="81" spans="1:6">
      <c r="A81" s="598">
        <f t="shared" si="7"/>
        <v>5</v>
      </c>
      <c r="B81" s="599" t="s">
        <v>640</v>
      </c>
      <c r="C81" s="1031" t="str">
        <f t="shared" si="8"/>
        <v>BUILDING INDUSTRY ASSOCIATION OF GREATER LOUISVILLE</v>
      </c>
      <c r="D81" s="1029">
        <v>405</v>
      </c>
      <c r="F81" s="598">
        <f t="shared" si="6"/>
        <v>405</v>
      </c>
    </row>
    <row r="82" spans="1:6">
      <c r="A82" s="598">
        <f t="shared" si="7"/>
        <v>6</v>
      </c>
      <c r="B82" s="599" t="s">
        <v>640</v>
      </c>
      <c r="C82" s="1031" t="str">
        <f t="shared" si="8"/>
        <v>CADIZ TRIGG COUNTY ECONOMIC DEVELOP COMM</v>
      </c>
      <c r="D82" s="1029">
        <v>500</v>
      </c>
      <c r="F82" s="598">
        <f t="shared" si="6"/>
        <v>500</v>
      </c>
    </row>
    <row r="83" spans="1:6">
      <c r="A83" s="598">
        <f t="shared" si="7"/>
        <v>7</v>
      </c>
      <c r="B83" s="599" t="s">
        <v>640</v>
      </c>
      <c r="C83" s="1031" t="str">
        <f t="shared" si="8"/>
        <v>CAMPBELLSVILLE-TAYLOR COUNTY CHAMBER OF COMMERCE</v>
      </c>
      <c r="D83" s="1029">
        <v>100</v>
      </c>
      <c r="F83" s="598">
        <f t="shared" si="6"/>
        <v>100</v>
      </c>
    </row>
    <row r="84" spans="1:6">
      <c r="A84" s="598">
        <f t="shared" si="7"/>
        <v>8</v>
      </c>
      <c r="B84" s="599" t="s">
        <v>640</v>
      </c>
      <c r="C84" s="1031" t="str">
        <f t="shared" si="8"/>
        <v>CAVE CITY CHAMBER OF COMMERCE</v>
      </c>
      <c r="D84" s="1029">
        <v>300</v>
      </c>
      <c r="F84" s="598">
        <f t="shared" si="6"/>
        <v>300</v>
      </c>
    </row>
    <row r="85" spans="1:6">
      <c r="A85" s="598">
        <f t="shared" si="7"/>
        <v>9</v>
      </c>
      <c r="B85" s="599" t="s">
        <v>640</v>
      </c>
      <c r="C85" s="1031" t="str">
        <f t="shared" si="8"/>
        <v>CHAMBER OF COMMERCE</v>
      </c>
      <c r="D85" s="1029">
        <v>2000</v>
      </c>
      <c r="F85" s="598">
        <f t="shared" si="6"/>
        <v>2000</v>
      </c>
    </row>
    <row r="86" spans="1:6">
      <c r="A86" s="598">
        <f t="shared" si="7"/>
        <v>10</v>
      </c>
      <c r="B86" s="599" t="s">
        <v>640</v>
      </c>
      <c r="C86" s="1031" t="str">
        <f t="shared" si="8"/>
        <v>CHRISTIAN COUNTY CHAMBER OF COMMERCE</v>
      </c>
      <c r="D86" s="1029">
        <v>1248.08</v>
      </c>
      <c r="F86" s="598">
        <f t="shared" si="6"/>
        <v>1248.08</v>
      </c>
    </row>
    <row r="87" spans="1:6">
      <c r="A87" s="598">
        <f t="shared" si="7"/>
        <v>11</v>
      </c>
      <c r="B87" s="599" t="s">
        <v>640</v>
      </c>
      <c r="C87" s="1031" t="str">
        <f t="shared" si="8"/>
        <v>CRITTENDEN COUNTY CHAMBER OF COMMERCE</v>
      </c>
      <c r="D87" s="1029">
        <v>525</v>
      </c>
      <c r="F87" s="598">
        <f t="shared" si="6"/>
        <v>525</v>
      </c>
    </row>
    <row r="88" spans="1:6">
      <c r="A88" s="598">
        <f t="shared" si="7"/>
        <v>12</v>
      </c>
      <c r="B88" s="599" t="s">
        <v>640</v>
      </c>
      <c r="C88" s="1031" t="str">
        <f t="shared" si="8"/>
        <v>CRITTENDEN COUNTY ECONOMIC</v>
      </c>
      <c r="D88" s="1029">
        <v>500</v>
      </c>
      <c r="F88" s="598">
        <f t="shared" si="6"/>
        <v>500</v>
      </c>
    </row>
    <row r="89" spans="1:6">
      <c r="A89" s="598">
        <f t="shared" si="7"/>
        <v>13</v>
      </c>
      <c r="B89" s="599" t="s">
        <v>640</v>
      </c>
      <c r="C89" s="1031" t="str">
        <f t="shared" si="8"/>
        <v>DANVILLE-BOYLE COUNTY CHAMBER OF COMMERCE</v>
      </c>
      <c r="D89" s="1029">
        <v>325</v>
      </c>
      <c r="F89" s="598">
        <f t="shared" si="6"/>
        <v>325</v>
      </c>
    </row>
    <row r="90" spans="1:6">
      <c r="A90" s="598">
        <f t="shared" si="7"/>
        <v>14</v>
      </c>
      <c r="B90" s="599" t="s">
        <v>640</v>
      </c>
      <c r="C90" s="1031" t="str">
        <f t="shared" si="8"/>
        <v>GARRARD COUNTY</v>
      </c>
      <c r="D90" s="1029">
        <v>300</v>
      </c>
      <c r="F90" s="598">
        <f t="shared" si="6"/>
        <v>300</v>
      </c>
    </row>
    <row r="91" spans="1:6">
      <c r="A91" s="598">
        <f t="shared" si="7"/>
        <v>15</v>
      </c>
      <c r="B91" s="599" t="s">
        <v>640</v>
      </c>
      <c r="C91" s="1031" t="str">
        <f t="shared" si="8"/>
        <v>GARRARD COUNTY CHAMBER OF COMMERCE</v>
      </c>
      <c r="D91" s="1029">
        <v>300</v>
      </c>
      <c r="F91" s="598">
        <f t="shared" si="6"/>
        <v>300</v>
      </c>
    </row>
    <row r="92" spans="1:6">
      <c r="A92" s="598">
        <f t="shared" si="7"/>
        <v>16</v>
      </c>
      <c r="B92" s="599" t="s">
        <v>640</v>
      </c>
      <c r="C92" s="1031" t="str">
        <f t="shared" si="8"/>
        <v>GLASGOW BARREN COUNTY CHAMBER OF COMMERCE</v>
      </c>
      <c r="D92" s="1029">
        <v>4125</v>
      </c>
      <c r="F92" s="598">
        <f t="shared" si="6"/>
        <v>4125</v>
      </c>
    </row>
    <row r="93" spans="1:6">
      <c r="A93" s="598">
        <f t="shared" si="7"/>
        <v>17</v>
      </c>
      <c r="B93" s="599" t="s">
        <v>640</v>
      </c>
      <c r="C93" s="1031" t="str">
        <f t="shared" si="8"/>
        <v>GRAND RIVERS CHAMBER OF COMMERCE</v>
      </c>
      <c r="D93" s="1029">
        <v>100</v>
      </c>
      <c r="F93" s="598">
        <f t="shared" si="6"/>
        <v>100</v>
      </c>
    </row>
    <row r="94" spans="1:6">
      <c r="A94" s="598">
        <v>18</v>
      </c>
      <c r="B94" s="599" t="s">
        <v>640</v>
      </c>
      <c r="C94" s="1031" t="str">
        <f t="shared" si="8"/>
        <v>GREATER MUHLENBERG CHAMBER OF COMMERCE</v>
      </c>
      <c r="D94" s="1029">
        <v>175</v>
      </c>
      <c r="F94" s="598">
        <f t="shared" si="6"/>
        <v>175</v>
      </c>
    </row>
    <row r="95" spans="1:6">
      <c r="A95" s="598">
        <f>A94+1</f>
        <v>19</v>
      </c>
      <c r="B95" s="599" t="s">
        <v>640</v>
      </c>
      <c r="C95" s="1031" t="str">
        <f t="shared" si="8"/>
        <v>GREATER OWENSBORO CHAMBER OF COMMERCE</v>
      </c>
      <c r="D95" s="1029">
        <v>760</v>
      </c>
      <c r="F95" s="598">
        <f t="shared" si="6"/>
        <v>760</v>
      </c>
    </row>
    <row r="96" spans="1:6">
      <c r="A96" s="598">
        <f>A95+1</f>
        <v>20</v>
      </c>
      <c r="B96" s="599" t="s">
        <v>640</v>
      </c>
      <c r="C96" s="1031" t="str">
        <f t="shared" si="8"/>
        <v>GREATER OWENSBORO ECONOMIC DEVELOPMENT CORP</v>
      </c>
      <c r="D96" s="1029">
        <v>10000</v>
      </c>
      <c r="F96" s="598">
        <f t="shared" si="6"/>
        <v>10000</v>
      </c>
    </row>
    <row r="97" spans="1:6">
      <c r="A97" s="598">
        <f>A96+1</f>
        <v>21</v>
      </c>
      <c r="B97" s="599" t="s">
        <v>640</v>
      </c>
      <c r="C97" s="1031" t="str">
        <f t="shared" si="8"/>
        <v>GREENSBURG-GREEN CO. CHAMBER OF COMMERCE</v>
      </c>
      <c r="D97" s="1029">
        <v>200</v>
      </c>
      <c r="F97" s="598">
        <f t="shared" si="6"/>
        <v>200</v>
      </c>
    </row>
    <row r="98" spans="1:6">
      <c r="A98" s="598">
        <f>A97+1</f>
        <v>22</v>
      </c>
      <c r="B98" s="599" t="s">
        <v>640</v>
      </c>
      <c r="C98" s="1031" t="str">
        <f t="shared" si="8"/>
        <v>HART COUNTY CHAMBER OF COMMERCE</v>
      </c>
      <c r="D98" s="1029">
        <v>200</v>
      </c>
      <c r="F98" s="598">
        <f t="shared" si="6"/>
        <v>200</v>
      </c>
    </row>
    <row r="99" spans="1:6">
      <c r="A99" s="598">
        <v>23</v>
      </c>
      <c r="B99" s="599" t="s">
        <v>640</v>
      </c>
      <c r="C99" s="1031" t="str">
        <f t="shared" si="8"/>
        <v>HOPKINS COUNTY HOME BUILDERS ASSOCIATION</v>
      </c>
      <c r="D99" s="1029">
        <v>295</v>
      </c>
      <c r="E99" s="600"/>
      <c r="F99" s="598">
        <f t="shared" ref="F99:F120" si="9">D99</f>
        <v>295</v>
      </c>
    </row>
    <row r="100" spans="1:6">
      <c r="A100" s="598">
        <f t="shared" ref="A100:A120" si="10">A99+1</f>
        <v>24</v>
      </c>
      <c r="B100" s="599" t="s">
        <v>640</v>
      </c>
      <c r="C100" s="1031" t="str">
        <f t="shared" si="8"/>
        <v>JUNIOR ACHIEVEMENT OF WEST KENTUCKY</v>
      </c>
      <c r="D100" s="1029">
        <v>500</v>
      </c>
      <c r="F100" s="598">
        <f t="shared" si="9"/>
        <v>500</v>
      </c>
    </row>
    <row r="101" spans="1:6">
      <c r="A101" s="598">
        <f t="shared" si="10"/>
        <v>25</v>
      </c>
      <c r="B101" s="599" t="s">
        <v>640</v>
      </c>
      <c r="C101" s="1031" t="str">
        <f t="shared" si="8"/>
        <v>KENTUCKY ASSOCIATION OF MANUFACTURERS</v>
      </c>
      <c r="D101" s="1029">
        <v>1540</v>
      </c>
      <c r="F101" s="598">
        <f t="shared" si="9"/>
        <v>1540</v>
      </c>
    </row>
    <row r="102" spans="1:6">
      <c r="A102" s="598">
        <f t="shared" si="10"/>
        <v>26</v>
      </c>
      <c r="B102" s="599" t="s">
        <v>640</v>
      </c>
      <c r="C102" s="1031" t="str">
        <f t="shared" si="8"/>
        <v>KENTUCKY CHAMBER</v>
      </c>
      <c r="D102" s="1029">
        <v>11600</v>
      </c>
      <c r="F102" s="598">
        <f t="shared" si="9"/>
        <v>11600</v>
      </c>
    </row>
    <row r="103" spans="1:6">
      <c r="A103" s="598">
        <f t="shared" si="10"/>
        <v>27</v>
      </c>
      <c r="B103" s="599" t="s">
        <v>640</v>
      </c>
      <c r="C103" s="1031" t="str">
        <f t="shared" si="8"/>
        <v>KENTUCKY CHAMBER OF COMMERCE EXECUTIVES</v>
      </c>
      <c r="D103" s="1029">
        <v>3000</v>
      </c>
      <c r="E103" s="592" t="s">
        <v>332</v>
      </c>
      <c r="F103" s="598">
        <f t="shared" si="9"/>
        <v>3000</v>
      </c>
    </row>
    <row r="104" spans="1:6">
      <c r="A104" s="598">
        <f t="shared" si="10"/>
        <v>28</v>
      </c>
      <c r="B104" s="599" t="s">
        <v>640</v>
      </c>
      <c r="C104" s="1031" t="str">
        <f t="shared" si="8"/>
        <v>KENTUCKY GAS ASSOCIATION</v>
      </c>
      <c r="D104" s="1029">
        <v>10950</v>
      </c>
      <c r="F104" s="598">
        <f t="shared" si="9"/>
        <v>10950</v>
      </c>
    </row>
    <row r="105" spans="1:6">
      <c r="A105" s="598">
        <f t="shared" si="10"/>
        <v>29</v>
      </c>
      <c r="B105" s="599" t="s">
        <v>640</v>
      </c>
      <c r="C105" s="1031" t="str">
        <f t="shared" si="8"/>
        <v>KENTUCKY LAKE CHAMBER OF COMMERCE</v>
      </c>
      <c r="D105" s="1029">
        <v>500</v>
      </c>
      <c r="F105" s="598">
        <f t="shared" si="9"/>
        <v>500</v>
      </c>
    </row>
    <row r="106" spans="1:6">
      <c r="A106" s="598">
        <f t="shared" si="10"/>
        <v>30</v>
      </c>
      <c r="B106" s="599" t="s">
        <v>640</v>
      </c>
      <c r="C106" s="1031" t="str">
        <f t="shared" si="8"/>
        <v>KENTUCKY OIL AND GAS ASSOCIATION</v>
      </c>
      <c r="D106" s="1029">
        <v>1000</v>
      </c>
      <c r="F106" s="598">
        <f t="shared" si="9"/>
        <v>1000</v>
      </c>
    </row>
    <row r="107" spans="1:6">
      <c r="A107" s="598">
        <f t="shared" si="10"/>
        <v>31</v>
      </c>
      <c r="B107" s="599" t="s">
        <v>640</v>
      </c>
      <c r="C107" s="1031" t="str">
        <f t="shared" si="8"/>
        <v>KIWANIS CLUB</v>
      </c>
      <c r="D107" s="1029">
        <v>125</v>
      </c>
      <c r="F107" s="598">
        <f t="shared" si="9"/>
        <v>125</v>
      </c>
    </row>
    <row r="108" spans="1:6">
      <c r="A108" s="598">
        <f t="shared" si="10"/>
        <v>32</v>
      </c>
      <c r="B108" s="599" t="s">
        <v>640</v>
      </c>
      <c r="C108" s="1031" t="str">
        <f t="shared" si="8"/>
        <v>KY STATE BOARD FOR LICENSURE FOR PROFESSIONAL ENGINEERS</v>
      </c>
      <c r="D108" s="1029">
        <v>150</v>
      </c>
      <c r="E108" s="592" t="s">
        <v>332</v>
      </c>
      <c r="F108" s="598">
        <f t="shared" si="9"/>
        <v>150</v>
      </c>
    </row>
    <row r="109" spans="1:6">
      <c r="A109" s="598">
        <f t="shared" si="10"/>
        <v>33</v>
      </c>
      <c r="B109" s="599" t="s">
        <v>640</v>
      </c>
      <c r="C109" s="1031" t="str">
        <f t="shared" si="8"/>
        <v>LAKE BARKLEY CHAMBER OF COMMERCE</v>
      </c>
      <c r="D109" s="1029">
        <v>125</v>
      </c>
      <c r="F109" s="598">
        <f t="shared" si="9"/>
        <v>125</v>
      </c>
    </row>
    <row r="110" spans="1:6">
      <c r="A110" s="598">
        <f t="shared" si="10"/>
        <v>34</v>
      </c>
      <c r="B110" s="599" t="s">
        <v>640</v>
      </c>
      <c r="C110" s="1031" t="str">
        <f t="shared" si="8"/>
        <v>LEADERSHIP KENTUCKY</v>
      </c>
      <c r="D110" s="1029">
        <v>100</v>
      </c>
      <c r="F110" s="598">
        <f t="shared" si="9"/>
        <v>100</v>
      </c>
    </row>
    <row r="111" spans="1:6">
      <c r="A111" s="598">
        <f t="shared" si="10"/>
        <v>35</v>
      </c>
      <c r="B111" s="599" t="s">
        <v>640</v>
      </c>
      <c r="C111" s="1031" t="str">
        <f t="shared" si="8"/>
        <v>LEADERSHIP SHELBY</v>
      </c>
      <c r="D111" s="1029">
        <v>350</v>
      </c>
      <c r="F111" s="598">
        <f t="shared" si="9"/>
        <v>350</v>
      </c>
    </row>
    <row r="112" spans="1:6">
      <c r="A112" s="598">
        <f t="shared" si="10"/>
        <v>36</v>
      </c>
      <c r="B112" s="599" t="s">
        <v>640</v>
      </c>
      <c r="C112" s="1031" t="str">
        <f t="shared" si="8"/>
        <v>LINCOLN COUNTY CHAMBER OF COMMERCE</v>
      </c>
      <c r="D112" s="1029">
        <v>125</v>
      </c>
      <c r="F112" s="598">
        <f t="shared" si="9"/>
        <v>125</v>
      </c>
    </row>
    <row r="113" spans="1:6">
      <c r="A113" s="598">
        <f t="shared" si="10"/>
        <v>37</v>
      </c>
      <c r="B113" s="599" t="s">
        <v>640</v>
      </c>
      <c r="C113" s="1031" t="str">
        <f t="shared" si="8"/>
        <v>LOGAN ECONOMIC ALLIANCE FOR DEVELOPMENT</v>
      </c>
      <c r="D113" s="1029">
        <v>1312</v>
      </c>
      <c r="F113" s="598">
        <f t="shared" si="9"/>
        <v>1312</v>
      </c>
    </row>
    <row r="114" spans="1:6">
      <c r="A114" s="598">
        <f t="shared" si="10"/>
        <v>38</v>
      </c>
      <c r="B114" s="599" t="s">
        <v>640</v>
      </c>
      <c r="C114" s="1031" t="str">
        <f t="shared" si="8"/>
        <v>MADISONVILLE-HOPKINS COUNTY CHAMBER OF COMMERCE</v>
      </c>
      <c r="D114" s="1029">
        <v>305</v>
      </c>
      <c r="F114" s="598">
        <f t="shared" si="9"/>
        <v>305</v>
      </c>
    </row>
    <row r="115" spans="1:6">
      <c r="A115" s="598">
        <f t="shared" si="10"/>
        <v>39</v>
      </c>
      <c r="B115" s="599" t="s">
        <v>640</v>
      </c>
      <c r="C115" s="1031" t="str">
        <f t="shared" si="8"/>
        <v>MARION COUNTY CHAMBER OF COMMERCE</v>
      </c>
      <c r="D115" s="1029">
        <v>400</v>
      </c>
      <c r="F115" s="598">
        <f t="shared" si="9"/>
        <v>400</v>
      </c>
    </row>
    <row r="116" spans="1:6">
      <c r="A116" s="598">
        <f t="shared" si="10"/>
        <v>40</v>
      </c>
      <c r="B116" s="599" t="s">
        <v>640</v>
      </c>
      <c r="C116" s="1031" t="str">
        <f t="shared" si="8"/>
        <v>MARION MAIN STREET INC</v>
      </c>
      <c r="D116" s="1029">
        <v>20</v>
      </c>
      <c r="F116" s="598">
        <f t="shared" si="9"/>
        <v>20</v>
      </c>
    </row>
    <row r="117" spans="1:6">
      <c r="A117" s="598">
        <f t="shared" si="10"/>
        <v>41</v>
      </c>
      <c r="B117" s="599" t="s">
        <v>640</v>
      </c>
      <c r="C117" s="1031" t="str">
        <f t="shared" si="8"/>
        <v>MAYFIELD/GRAVES COUNTY CHAMBER OF COMMERCE</v>
      </c>
      <c r="D117" s="1029">
        <v>890</v>
      </c>
      <c r="F117" s="598">
        <f t="shared" si="9"/>
        <v>890</v>
      </c>
    </row>
    <row r="118" spans="1:6">
      <c r="A118" s="598">
        <f t="shared" si="10"/>
        <v>42</v>
      </c>
      <c r="B118" s="599" t="s">
        <v>640</v>
      </c>
      <c r="C118" s="1031" t="str">
        <f t="shared" si="8"/>
        <v>MERCER COUNTY CHAMBER OF COMMERCE</v>
      </c>
      <c r="D118" s="1029">
        <v>500</v>
      </c>
      <c r="F118" s="598">
        <f t="shared" si="9"/>
        <v>500</v>
      </c>
    </row>
    <row r="119" spans="1:6">
      <c r="A119" s="598">
        <f t="shared" si="10"/>
        <v>43</v>
      </c>
      <c r="B119" s="599" t="s">
        <v>640</v>
      </c>
      <c r="C119" s="1031" t="str">
        <f t="shared" si="8"/>
        <v>OHIO COUNTY CHAMBER OF COMMERCE</v>
      </c>
      <c r="D119" s="1029">
        <v>300</v>
      </c>
      <c r="F119" s="598">
        <f t="shared" si="9"/>
        <v>300</v>
      </c>
    </row>
    <row r="120" spans="1:6">
      <c r="A120" s="598">
        <f t="shared" si="10"/>
        <v>44</v>
      </c>
      <c r="B120" s="599" t="s">
        <v>640</v>
      </c>
      <c r="C120" s="1031" t="str">
        <f t="shared" si="8"/>
        <v>OWENSBORO AREA MUSEUM OF SCIENCE AND HISTORY</v>
      </c>
      <c r="D120" s="1029">
        <v>250</v>
      </c>
      <c r="F120" s="598">
        <f t="shared" si="9"/>
        <v>250</v>
      </c>
    </row>
    <row r="121" spans="1:6">
      <c r="A121" s="598">
        <f>A120+1</f>
        <v>45</v>
      </c>
      <c r="B121" s="599" t="s">
        <v>640</v>
      </c>
      <c r="C121" s="1031" t="str">
        <f t="shared" si="8"/>
        <v>PADUCAH AREA CHAMBER OF COMMERCE</v>
      </c>
      <c r="D121" s="1029">
        <v>755</v>
      </c>
      <c r="E121" s="600"/>
      <c r="F121" s="598">
        <f t="shared" ref="F121:F131" si="11">D121</f>
        <v>755</v>
      </c>
    </row>
    <row r="122" spans="1:6">
      <c r="A122" s="598">
        <f t="shared" ref="A122:A133" si="12">A121+1</f>
        <v>46</v>
      </c>
      <c r="B122" s="599" t="s">
        <v>640</v>
      </c>
      <c r="C122" s="1031" t="str">
        <f t="shared" si="8"/>
        <v>PRINCETON/CALDWELL COUNTY CHAMBER OF COMMERCE</v>
      </c>
      <c r="D122" s="1029">
        <v>500</v>
      </c>
      <c r="F122" s="598">
        <f t="shared" si="11"/>
        <v>500</v>
      </c>
    </row>
    <row r="123" spans="1:6">
      <c r="A123" s="598">
        <f t="shared" si="12"/>
        <v>47</v>
      </c>
      <c r="B123" s="599" t="s">
        <v>640</v>
      </c>
      <c r="C123" s="1031" t="str">
        <f t="shared" si="8"/>
        <v>ROTARY CLUB INTERNATIONAL</v>
      </c>
      <c r="D123" s="1029">
        <v>75</v>
      </c>
      <c r="F123" s="598">
        <f t="shared" si="11"/>
        <v>75</v>
      </c>
    </row>
    <row r="124" spans="1:6">
      <c r="A124" s="598">
        <f t="shared" si="12"/>
        <v>48</v>
      </c>
      <c r="B124" s="599" t="s">
        <v>640</v>
      </c>
      <c r="C124" s="1031" t="str">
        <f t="shared" si="8"/>
        <v>SHELBY COUNTY CHAMBER OF COMMERCE</v>
      </c>
      <c r="D124" s="1029">
        <v>719.4</v>
      </c>
      <c r="F124" s="598">
        <f t="shared" si="11"/>
        <v>719.4</v>
      </c>
    </row>
    <row r="125" spans="1:6">
      <c r="A125" s="598">
        <f t="shared" si="12"/>
        <v>49</v>
      </c>
      <c r="B125" s="599" t="s">
        <v>640</v>
      </c>
      <c r="C125" s="1031" t="str">
        <f t="shared" si="8"/>
        <v>SOCIETY FOR MARKETING PROFESSIONAL SERVICES</v>
      </c>
      <c r="D125" s="1029">
        <v>130</v>
      </c>
      <c r="F125" s="598">
        <f t="shared" si="11"/>
        <v>130</v>
      </c>
    </row>
    <row r="126" spans="1:6">
      <c r="A126" s="598">
        <f t="shared" si="12"/>
        <v>50</v>
      </c>
      <c r="B126" s="599" t="s">
        <v>640</v>
      </c>
      <c r="C126" s="1031" t="str">
        <f t="shared" si="8"/>
        <v>SOUTHWESTERN KENTUCKY ECONOMIC DEVELOPMENT COUNCIL</v>
      </c>
      <c r="D126" s="1029">
        <v>3000</v>
      </c>
      <c r="F126" s="598">
        <f t="shared" si="11"/>
        <v>3000</v>
      </c>
    </row>
    <row r="127" spans="1:6">
      <c r="A127" s="598">
        <f t="shared" si="12"/>
        <v>51</v>
      </c>
      <c r="B127" s="599" t="s">
        <v>640</v>
      </c>
      <c r="C127" s="1031" t="str">
        <f t="shared" si="8"/>
        <v>SPRINGFIELD-WASHINGTON COUNTY CHAMBER OF COMMERCE</v>
      </c>
      <c r="D127" s="1029">
        <v>125</v>
      </c>
      <c r="F127" s="598">
        <f t="shared" si="11"/>
        <v>125</v>
      </c>
    </row>
    <row r="128" spans="1:6">
      <c r="A128" s="598">
        <f t="shared" si="12"/>
        <v>52</v>
      </c>
      <c r="B128" s="599" t="s">
        <v>640</v>
      </c>
      <c r="C128" s="1031" t="str">
        <f t="shared" si="8"/>
        <v>TEXAS BOARD OF PROFESSIONAL ENGINEERS -OWENSBORO, KY</v>
      </c>
      <c r="D128" s="1029">
        <v>240</v>
      </c>
      <c r="F128" s="598">
        <f t="shared" si="11"/>
        <v>240</v>
      </c>
    </row>
    <row r="129" spans="1:8">
      <c r="A129" s="598">
        <f t="shared" si="12"/>
        <v>53</v>
      </c>
      <c r="B129" s="599" t="s">
        <v>640</v>
      </c>
      <c r="C129" s="1031" t="str">
        <f t="shared" si="8"/>
        <v>TODD COUNTY COMMUNITY ALLIANCE</v>
      </c>
      <c r="D129" s="1029">
        <v>250</v>
      </c>
      <c r="F129" s="598">
        <f t="shared" si="11"/>
        <v>250</v>
      </c>
    </row>
    <row r="130" spans="1:8">
      <c r="A130" s="598">
        <f t="shared" si="12"/>
        <v>54</v>
      </c>
      <c r="B130" s="599" t="s">
        <v>640</v>
      </c>
      <c r="C130" s="1031" t="str">
        <f t="shared" si="8"/>
        <v>TRIGG COUNTY CHAMBER OF COMMERCE</v>
      </c>
      <c r="D130" s="1029">
        <v>275</v>
      </c>
      <c r="F130" s="598">
        <f t="shared" si="11"/>
        <v>275</v>
      </c>
    </row>
    <row r="131" spans="1:8">
      <c r="A131" s="598">
        <f t="shared" si="12"/>
        <v>55</v>
      </c>
      <c r="B131" s="599" t="s">
        <v>640</v>
      </c>
      <c r="C131" s="1031" t="str">
        <f t="shared" si="8"/>
        <v>WARREN COUNTY CLERK</v>
      </c>
      <c r="D131" s="1029">
        <v>34.25</v>
      </c>
      <c r="F131" s="598">
        <f t="shared" si="11"/>
        <v>34.25</v>
      </c>
    </row>
    <row r="132" spans="1:8">
      <c r="A132" s="598">
        <f t="shared" si="12"/>
        <v>56</v>
      </c>
      <c r="B132" s="599" t="s">
        <v>640</v>
      </c>
      <c r="C132" s="1031" t="str">
        <f t="shared" si="8"/>
        <v>AGA</v>
      </c>
      <c r="D132" s="1029">
        <v>0</v>
      </c>
      <c r="E132" s="68">
        <f>Allocation!I14</f>
        <v>5.2575879716356848E-2</v>
      </c>
      <c r="F132" s="598">
        <f>D132*E132</f>
        <v>0</v>
      </c>
    </row>
    <row r="133" spans="1:8">
      <c r="A133" s="598">
        <f t="shared" si="12"/>
        <v>57</v>
      </c>
      <c r="B133" s="599" t="s">
        <v>640</v>
      </c>
      <c r="C133" s="1031"/>
      <c r="D133" s="1029"/>
      <c r="E133" s="609">
        <f>E71</f>
        <v>0</v>
      </c>
      <c r="F133" s="598">
        <f>D133*E133</f>
        <v>0</v>
      </c>
    </row>
    <row r="134" spans="1:8">
      <c r="A134" s="598"/>
      <c r="B134" s="599"/>
      <c r="C134" s="593"/>
      <c r="D134" s="598"/>
      <c r="E134" s="604"/>
      <c r="F134" s="598"/>
    </row>
    <row r="135" spans="1:8" ht="15.75">
      <c r="C135" s="605" t="s">
        <v>1353</v>
      </c>
      <c r="D135" s="601">
        <f>SUM(D77:D134)</f>
        <v>70216.73</v>
      </c>
      <c r="F135" s="601">
        <f>SUM(F77:F134)</f>
        <v>70216.73</v>
      </c>
    </row>
    <row r="137" spans="1:8">
      <c r="A137" s="602"/>
      <c r="B137" s="602"/>
      <c r="C137" s="602"/>
      <c r="D137" s="602"/>
      <c r="E137" s="602"/>
      <c r="F137" s="602"/>
      <c r="G137" s="602"/>
      <c r="H137" s="602"/>
    </row>
    <row r="138" spans="1:8">
      <c r="A138" s="602"/>
      <c r="B138" s="602"/>
      <c r="C138" s="602"/>
      <c r="D138" s="602"/>
      <c r="E138" s="602"/>
      <c r="F138" s="602"/>
      <c r="G138" s="602"/>
      <c r="H138" s="602"/>
    </row>
    <row r="139" spans="1:8">
      <c r="A139" s="602"/>
      <c r="B139" s="602"/>
      <c r="C139" t="s">
        <v>533</v>
      </c>
      <c r="D139" s="602"/>
      <c r="E139" s="602"/>
      <c r="F139" s="602"/>
      <c r="G139" s="602"/>
      <c r="H139" s="602"/>
    </row>
    <row r="140" spans="1:8">
      <c r="A140" s="602"/>
      <c r="B140" s="602"/>
      <c r="C140" s="106" t="s">
        <v>1604</v>
      </c>
      <c r="D140" s="602"/>
      <c r="E140" s="602"/>
      <c r="F140" s="602"/>
      <c r="G140" s="602"/>
      <c r="H140" s="602"/>
    </row>
    <row r="141" spans="1:8">
      <c r="A141" s="602"/>
      <c r="B141" s="602"/>
      <c r="C141" s="602"/>
      <c r="D141" s="602"/>
      <c r="E141" s="602"/>
      <c r="F141" s="602"/>
      <c r="G141" s="602"/>
      <c r="H141" s="602"/>
    </row>
    <row r="142" spans="1:8">
      <c r="A142" s="602"/>
      <c r="B142" s="602"/>
      <c r="C142" s="602"/>
      <c r="D142" s="602"/>
      <c r="E142" s="602"/>
      <c r="F142" s="602"/>
      <c r="G142" s="602"/>
      <c r="H142" s="602"/>
    </row>
    <row r="143" spans="1:8">
      <c r="A143" s="602"/>
      <c r="B143" s="602"/>
      <c r="C143" s="602"/>
      <c r="D143" s="602"/>
      <c r="E143" s="602"/>
      <c r="F143" s="602"/>
      <c r="G143" s="602"/>
      <c r="H143" s="602"/>
    </row>
    <row r="144" spans="1:8">
      <c r="A144" s="602"/>
      <c r="B144" s="602"/>
      <c r="C144" s="602"/>
      <c r="D144" s="602"/>
      <c r="E144" s="602"/>
      <c r="F144" s="602"/>
      <c r="G144" s="602"/>
      <c r="H144" s="602"/>
    </row>
    <row r="145" spans="1:8">
      <c r="A145" s="602"/>
      <c r="B145" s="602"/>
      <c r="C145" s="602"/>
      <c r="D145" s="602"/>
      <c r="E145" s="602"/>
      <c r="F145" s="602"/>
      <c r="G145" s="602"/>
      <c r="H145" s="602"/>
    </row>
    <row r="146" spans="1:8">
      <c r="A146" s="602"/>
      <c r="B146" s="602"/>
      <c r="C146" s="602"/>
      <c r="D146" s="602"/>
      <c r="E146" s="602"/>
      <c r="F146" s="602"/>
      <c r="G146" s="602"/>
      <c r="H146" s="602"/>
    </row>
    <row r="147" spans="1:8">
      <c r="A147" s="602"/>
      <c r="B147" s="602"/>
      <c r="C147" s="602"/>
      <c r="D147" s="602"/>
      <c r="E147" s="602"/>
      <c r="F147" s="602"/>
      <c r="G147" s="602"/>
      <c r="H147" s="602"/>
    </row>
    <row r="148" spans="1:8">
      <c r="A148" s="602"/>
      <c r="B148" s="602"/>
      <c r="C148" s="602"/>
      <c r="D148" s="602"/>
      <c r="E148" s="602"/>
      <c r="F148" s="602"/>
      <c r="G148" s="602"/>
      <c r="H148" s="602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0.75" right="0.75" top="0.5" bottom="0.56999999999999995" header="0.5" footer="0.23"/>
  <pageSetup scale="65" fitToHeight="53" orientation="portrait" verticalDpi="300" r:id="rId1"/>
  <headerFooter alignWithMargins="0">
    <oddFooter>&amp;RSchedule &amp;A
Page &amp;P of &amp;N</oddFooter>
  </headerFooter>
  <rowBreaks count="1" manualBreakCount="1">
    <brk id="73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60" zoomScaleNormal="90" workbookViewId="0">
      <selection sqref="A1:F1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71" t="str">
        <f>'Table of Contents'!A1:C1</f>
        <v>Atmos Energy Corporation, Kentucky/Mid-States Division</v>
      </c>
      <c r="B1" s="1271"/>
      <c r="C1" s="1271"/>
      <c r="D1" s="1271"/>
      <c r="E1" s="1271"/>
      <c r="F1" s="1271"/>
      <c r="G1" s="119"/>
    </row>
    <row r="2" spans="1:13" ht="15.75">
      <c r="A2" s="1271" t="str">
        <f>'Table of Contents'!A2:C2</f>
        <v>Kentucky Jurisdiction Case No. 2015-00343</v>
      </c>
      <c r="B2" s="1271"/>
      <c r="C2" s="1271"/>
      <c r="D2" s="1271"/>
      <c r="E2" s="1271"/>
      <c r="F2" s="1271"/>
      <c r="G2" s="119"/>
    </row>
    <row r="3" spans="1:13" ht="15.75">
      <c r="A3" s="1271" t="s">
        <v>1430</v>
      </c>
      <c r="B3" s="1271"/>
      <c r="C3" s="1271"/>
      <c r="D3" s="1271"/>
      <c r="E3" s="1271"/>
      <c r="F3" s="1271"/>
      <c r="G3" s="119"/>
    </row>
    <row r="4" spans="1:13" ht="15.75">
      <c r="A4" s="1271" t="str">
        <f>'Table of Contents'!A3:C3</f>
        <v>Base Period: Twelve Months Ended February 29, 2016</v>
      </c>
      <c r="B4" s="1271"/>
      <c r="C4" s="1271"/>
      <c r="D4" s="1271"/>
      <c r="E4" s="1271"/>
      <c r="F4" s="1271"/>
      <c r="G4" s="119"/>
    </row>
    <row r="5" spans="1:13" ht="15.75">
      <c r="A5" s="1271" t="str">
        <f>'Table of Contents'!A4:C4</f>
        <v>Forecasted Test Period: Twelve Months Ended May 31, 2017</v>
      </c>
      <c r="B5" s="1271"/>
      <c r="C5" s="1271"/>
      <c r="D5" s="1271"/>
      <c r="E5" s="1271"/>
      <c r="F5" s="1271"/>
      <c r="G5" s="119"/>
    </row>
    <row r="6" spans="1:13" ht="15.75">
      <c r="A6" s="12"/>
      <c r="B6" s="12"/>
      <c r="C6" s="119"/>
      <c r="D6" s="119"/>
      <c r="F6" s="119"/>
      <c r="G6" s="119"/>
    </row>
    <row r="7" spans="1:13" ht="15.75">
      <c r="A7" s="95" t="s">
        <v>820</v>
      </c>
      <c r="B7" s="12"/>
      <c r="C7" s="12"/>
      <c r="D7" s="119"/>
      <c r="F7" s="488" t="s">
        <v>1504</v>
      </c>
      <c r="G7" s="119"/>
    </row>
    <row r="8" spans="1:13" ht="15.75">
      <c r="A8" s="95" t="s">
        <v>1143</v>
      </c>
      <c r="B8" s="12"/>
      <c r="C8" s="12"/>
      <c r="D8" s="119"/>
      <c r="F8" s="733" t="s">
        <v>148</v>
      </c>
      <c r="G8" s="119"/>
    </row>
    <row r="9" spans="1:13" ht="15.75">
      <c r="A9" s="95" t="s">
        <v>440</v>
      </c>
      <c r="B9" s="12"/>
      <c r="C9" s="12"/>
      <c r="D9" s="119"/>
      <c r="F9" s="734" t="str">
        <f>F.1!F9</f>
        <v>Witness: Waller</v>
      </c>
      <c r="G9" s="119"/>
    </row>
    <row r="10" spans="1:13">
      <c r="A10" s="163" t="s">
        <v>98</v>
      </c>
      <c r="B10" s="161"/>
      <c r="C10" s="161"/>
      <c r="D10" s="163" t="s">
        <v>101</v>
      </c>
      <c r="E10" s="161"/>
      <c r="F10" s="161"/>
      <c r="G10" s="119"/>
    </row>
    <row r="11" spans="1:13">
      <c r="A11" s="128" t="s">
        <v>104</v>
      </c>
      <c r="B11" s="128" t="s">
        <v>180</v>
      </c>
      <c r="C11" s="128" t="s">
        <v>95</v>
      </c>
      <c r="D11" s="128" t="s">
        <v>609</v>
      </c>
      <c r="E11" s="118" t="s">
        <v>182</v>
      </c>
      <c r="F11" s="128" t="s">
        <v>610</v>
      </c>
      <c r="G11" s="119"/>
    </row>
    <row r="12" spans="1:13">
      <c r="A12" s="119"/>
      <c r="B12" s="119"/>
      <c r="C12" s="119"/>
      <c r="D12" s="119"/>
      <c r="E12" s="119"/>
      <c r="F12" s="119"/>
      <c r="G12" s="119"/>
    </row>
    <row r="13" spans="1:13" ht="15.75">
      <c r="A13" s="119"/>
      <c r="B13" s="119"/>
      <c r="C13" s="608" t="s">
        <v>822</v>
      </c>
      <c r="D13" s="119"/>
      <c r="E13" s="119"/>
      <c r="F13" s="119"/>
      <c r="G13" s="119"/>
    </row>
    <row r="14" spans="1:13">
      <c r="A14" s="119"/>
      <c r="B14" s="119"/>
      <c r="C14" s="119"/>
      <c r="D14" s="119"/>
      <c r="E14" s="119"/>
      <c r="F14" s="119"/>
      <c r="G14" s="119"/>
    </row>
    <row r="15" spans="1:13">
      <c r="A15" s="131">
        <v>1</v>
      </c>
      <c r="B15" s="599" t="s">
        <v>640</v>
      </c>
      <c r="C15" s="1027" t="s">
        <v>1052</v>
      </c>
      <c r="D15" s="1028">
        <v>46799.33</v>
      </c>
      <c r="E15" s="599" t="s">
        <v>1079</v>
      </c>
      <c r="F15" s="625">
        <f>D15</f>
        <v>46799.33</v>
      </c>
      <c r="G15" s="106"/>
      <c r="H15" s="106"/>
      <c r="I15" s="106"/>
      <c r="J15" s="106"/>
      <c r="K15" s="106"/>
      <c r="L15" s="106"/>
      <c r="M15" s="106"/>
    </row>
    <row r="16" spans="1:13">
      <c r="A16" s="131">
        <f t="shared" ref="A16:A23" si="0">A15+1</f>
        <v>2</v>
      </c>
      <c r="B16" s="599" t="s">
        <v>640</v>
      </c>
      <c r="C16" s="1027" t="s">
        <v>1053</v>
      </c>
      <c r="D16" s="1028">
        <v>585</v>
      </c>
      <c r="E16" s="590"/>
      <c r="F16" s="598">
        <f t="shared" ref="F16:F24" si="1">D16</f>
        <v>585</v>
      </c>
      <c r="G16" s="106"/>
    </row>
    <row r="17" spans="1:13">
      <c r="A17" s="131">
        <f t="shared" si="0"/>
        <v>3</v>
      </c>
      <c r="B17" s="599" t="s">
        <v>640</v>
      </c>
      <c r="C17" s="1027" t="s">
        <v>449</v>
      </c>
      <c r="D17" s="1028">
        <v>1000</v>
      </c>
      <c r="E17" s="590"/>
      <c r="F17" s="598">
        <f t="shared" si="1"/>
        <v>1000</v>
      </c>
      <c r="G17" s="106"/>
    </row>
    <row r="18" spans="1:13">
      <c r="A18" s="131">
        <f t="shared" si="0"/>
        <v>4</v>
      </c>
      <c r="B18" s="599" t="s">
        <v>640</v>
      </c>
      <c r="C18" s="1027" t="s">
        <v>977</v>
      </c>
      <c r="D18" s="1028">
        <v>14850</v>
      </c>
      <c r="E18" s="590"/>
      <c r="F18" s="598">
        <f t="shared" si="1"/>
        <v>14850</v>
      </c>
      <c r="G18" s="106"/>
      <c r="H18" s="106"/>
      <c r="I18" s="106"/>
      <c r="J18" s="106"/>
      <c r="K18" s="106"/>
      <c r="L18" s="106"/>
      <c r="M18" s="106"/>
    </row>
    <row r="19" spans="1:13">
      <c r="A19" s="131">
        <f t="shared" si="0"/>
        <v>5</v>
      </c>
      <c r="B19" s="599" t="s">
        <v>640</v>
      </c>
      <c r="C19" s="1027" t="s">
        <v>978</v>
      </c>
      <c r="D19" s="1028">
        <v>6000</v>
      </c>
      <c r="E19" s="590"/>
      <c r="F19" s="598">
        <f t="shared" si="1"/>
        <v>6000</v>
      </c>
      <c r="G19" s="106"/>
      <c r="H19" s="106"/>
      <c r="I19" s="106"/>
      <c r="J19" s="106"/>
      <c r="K19" s="106"/>
      <c r="L19" s="106"/>
      <c r="M19" s="106"/>
    </row>
    <row r="20" spans="1:13">
      <c r="A20" s="131">
        <f t="shared" si="0"/>
        <v>6</v>
      </c>
      <c r="B20" s="599" t="s">
        <v>640</v>
      </c>
      <c r="C20" s="1027" t="s">
        <v>1054</v>
      </c>
      <c r="D20" s="1028">
        <v>73208</v>
      </c>
      <c r="E20" s="590"/>
      <c r="F20" s="598">
        <f t="shared" si="1"/>
        <v>73208</v>
      </c>
      <c r="G20" s="106"/>
      <c r="H20" s="106"/>
      <c r="I20" s="106"/>
      <c r="J20" s="106"/>
      <c r="K20" s="106"/>
      <c r="L20" s="106"/>
      <c r="M20" s="106"/>
    </row>
    <row r="21" spans="1:13">
      <c r="A21" s="131">
        <f t="shared" si="0"/>
        <v>7</v>
      </c>
      <c r="B21" s="599" t="s">
        <v>640</v>
      </c>
      <c r="C21" s="1030" t="s">
        <v>825</v>
      </c>
      <c r="D21" s="1028">
        <v>0</v>
      </c>
      <c r="E21" s="590"/>
      <c r="F21" s="598">
        <f t="shared" si="1"/>
        <v>0</v>
      </c>
      <c r="G21" s="106"/>
      <c r="H21" s="106"/>
      <c r="I21" s="106"/>
      <c r="J21" s="106"/>
      <c r="K21" s="106"/>
      <c r="L21" s="106"/>
      <c r="M21" s="106"/>
    </row>
    <row r="22" spans="1:13">
      <c r="A22" s="131">
        <f t="shared" si="0"/>
        <v>8</v>
      </c>
      <c r="B22" s="599" t="s">
        <v>640</v>
      </c>
      <c r="C22" s="1030" t="s">
        <v>537</v>
      </c>
      <c r="D22" s="1028">
        <v>500</v>
      </c>
      <c r="E22" s="590"/>
      <c r="F22" s="598">
        <f t="shared" si="1"/>
        <v>500</v>
      </c>
      <c r="G22" s="106"/>
      <c r="H22" s="106"/>
      <c r="I22" s="106"/>
      <c r="J22" s="106"/>
      <c r="K22" s="106"/>
      <c r="L22" s="106"/>
      <c r="M22" s="106"/>
    </row>
    <row r="23" spans="1:13">
      <c r="A23" s="131">
        <f t="shared" si="0"/>
        <v>9</v>
      </c>
      <c r="B23" s="599" t="s">
        <v>640</v>
      </c>
      <c r="C23" s="1030" t="s">
        <v>1291</v>
      </c>
      <c r="D23" s="1028">
        <v>232793</v>
      </c>
      <c r="E23" s="590"/>
      <c r="F23" s="598">
        <f t="shared" si="1"/>
        <v>232793</v>
      </c>
      <c r="G23" s="106"/>
      <c r="H23" s="106"/>
      <c r="I23" s="106"/>
      <c r="J23" s="106"/>
      <c r="K23" s="106"/>
      <c r="L23" s="106"/>
      <c r="M23" s="106"/>
    </row>
    <row r="24" spans="1:13">
      <c r="A24" s="119"/>
      <c r="B24" s="590"/>
      <c r="C24" s="599" t="s">
        <v>101</v>
      </c>
      <c r="D24" s="732">
        <f>SUM(D15:D23,0)</f>
        <v>375735.33</v>
      </c>
      <c r="E24" s="590"/>
      <c r="F24" s="732">
        <f t="shared" si="1"/>
        <v>375735.33</v>
      </c>
      <c r="G24" s="119"/>
      <c r="H24" s="106"/>
      <c r="I24" s="106"/>
      <c r="J24" s="106"/>
      <c r="K24" s="106"/>
      <c r="L24" s="106"/>
      <c r="M24" s="106"/>
    </row>
    <row r="25" spans="1:13">
      <c r="A25" s="119"/>
      <c r="B25" s="119"/>
      <c r="C25" s="119"/>
      <c r="D25" s="119"/>
      <c r="E25" s="119"/>
      <c r="F25" s="119"/>
      <c r="G25" s="119"/>
      <c r="H25" s="106"/>
      <c r="I25" s="106"/>
      <c r="J25" s="106"/>
      <c r="K25" s="106"/>
      <c r="L25" s="106"/>
      <c r="M25" s="106"/>
    </row>
    <row r="26" spans="1:13" ht="15.75">
      <c r="A26" s="119"/>
      <c r="B26" s="590"/>
      <c r="C26" s="608" t="s">
        <v>1431</v>
      </c>
      <c r="D26" s="617"/>
      <c r="E26" s="590"/>
      <c r="F26" s="617"/>
      <c r="G26" s="119"/>
      <c r="H26" s="106"/>
      <c r="I26" s="106"/>
      <c r="J26" s="106"/>
      <c r="K26" s="106"/>
      <c r="L26" s="106"/>
      <c r="M26" s="106"/>
    </row>
    <row r="27" spans="1:13">
      <c r="A27" s="119"/>
      <c r="B27" s="590"/>
      <c r="C27" s="599"/>
      <c r="D27" s="617"/>
      <c r="E27" s="590"/>
      <c r="F27" s="617"/>
      <c r="G27" s="119"/>
      <c r="H27" s="106"/>
      <c r="I27" s="106"/>
      <c r="J27" s="106"/>
      <c r="K27" s="106"/>
      <c r="L27" s="106"/>
      <c r="M27" s="106"/>
    </row>
    <row r="28" spans="1:13">
      <c r="A28" s="131">
        <v>1</v>
      </c>
      <c r="B28" s="599" t="s">
        <v>640</v>
      </c>
      <c r="C28" s="1027" t="s">
        <v>1052</v>
      </c>
      <c r="D28" s="1028">
        <v>46799.33</v>
      </c>
      <c r="E28" s="599" t="s">
        <v>1079</v>
      </c>
      <c r="F28" s="625">
        <f t="shared" ref="F28:F37" si="2">D28</f>
        <v>46799.33</v>
      </c>
      <c r="G28" s="119"/>
      <c r="H28" s="106"/>
      <c r="I28" s="106"/>
      <c r="J28" s="106"/>
      <c r="K28" s="106"/>
      <c r="L28" s="106"/>
      <c r="M28" s="106"/>
    </row>
    <row r="29" spans="1:13">
      <c r="A29" s="131">
        <f t="shared" ref="A29:A36" si="3">A28+1</f>
        <v>2</v>
      </c>
      <c r="B29" s="599" t="s">
        <v>640</v>
      </c>
      <c r="C29" s="1027" t="s">
        <v>1053</v>
      </c>
      <c r="D29" s="1028">
        <v>585</v>
      </c>
      <c r="E29" s="590"/>
      <c r="F29" s="598">
        <f t="shared" si="2"/>
        <v>585</v>
      </c>
      <c r="G29" s="119"/>
      <c r="H29" s="106"/>
      <c r="I29" s="106"/>
      <c r="J29" s="106"/>
      <c r="K29" s="106"/>
      <c r="L29" s="106"/>
      <c r="M29" s="106"/>
    </row>
    <row r="30" spans="1:13">
      <c r="A30" s="131">
        <f t="shared" si="3"/>
        <v>3</v>
      </c>
      <c r="B30" s="599" t="s">
        <v>640</v>
      </c>
      <c r="C30" s="1027" t="s">
        <v>449</v>
      </c>
      <c r="D30" s="1028">
        <v>1000</v>
      </c>
      <c r="E30" s="590"/>
      <c r="F30" s="598">
        <f t="shared" si="2"/>
        <v>1000</v>
      </c>
      <c r="G30" s="119"/>
      <c r="H30" s="106"/>
      <c r="I30" s="106"/>
      <c r="J30" s="106"/>
      <c r="K30" s="106"/>
      <c r="L30" s="106"/>
      <c r="M30" s="106"/>
    </row>
    <row r="31" spans="1:13">
      <c r="A31" s="131">
        <f t="shared" si="3"/>
        <v>4</v>
      </c>
      <c r="B31" s="599" t="s">
        <v>640</v>
      </c>
      <c r="C31" s="1027" t="s">
        <v>977</v>
      </c>
      <c r="D31" s="1028">
        <v>14850</v>
      </c>
      <c r="E31" s="590"/>
      <c r="F31" s="598">
        <f t="shared" si="2"/>
        <v>14850</v>
      </c>
      <c r="G31" s="119"/>
      <c r="H31" s="106"/>
      <c r="I31" s="106"/>
      <c r="J31" s="106"/>
      <c r="K31" s="106"/>
      <c r="L31" s="106"/>
      <c r="M31" s="106"/>
    </row>
    <row r="32" spans="1:13">
      <c r="A32" s="131">
        <f t="shared" si="3"/>
        <v>5</v>
      </c>
      <c r="B32" s="599" t="s">
        <v>640</v>
      </c>
      <c r="C32" s="1027" t="s">
        <v>978</v>
      </c>
      <c r="D32" s="1028">
        <v>6000</v>
      </c>
      <c r="E32" s="590"/>
      <c r="F32" s="598">
        <f t="shared" si="2"/>
        <v>6000</v>
      </c>
      <c r="G32" s="119"/>
      <c r="H32" s="106"/>
      <c r="I32" s="106"/>
      <c r="J32" s="106"/>
      <c r="K32" s="106"/>
      <c r="L32" s="106"/>
      <c r="M32" s="106"/>
    </row>
    <row r="33" spans="1:13">
      <c r="A33" s="131">
        <f t="shared" si="3"/>
        <v>6</v>
      </c>
      <c r="B33" s="599" t="s">
        <v>640</v>
      </c>
      <c r="C33" s="1027" t="s">
        <v>1054</v>
      </c>
      <c r="D33" s="1028">
        <v>73208</v>
      </c>
      <c r="E33" s="590"/>
      <c r="F33" s="598">
        <f t="shared" si="2"/>
        <v>73208</v>
      </c>
      <c r="G33" s="119"/>
      <c r="H33" s="106"/>
      <c r="I33" s="106"/>
      <c r="J33" s="106"/>
      <c r="K33" s="106"/>
      <c r="L33" s="106"/>
      <c r="M33" s="106"/>
    </row>
    <row r="34" spans="1:13">
      <c r="A34" s="131">
        <f t="shared" si="3"/>
        <v>7</v>
      </c>
      <c r="B34" s="599" t="s">
        <v>640</v>
      </c>
      <c r="C34" s="1030" t="s">
        <v>825</v>
      </c>
      <c r="D34" s="1028">
        <v>0</v>
      </c>
      <c r="E34" s="590"/>
      <c r="F34" s="598">
        <f t="shared" si="2"/>
        <v>0</v>
      </c>
      <c r="G34" s="119"/>
      <c r="H34" s="106"/>
      <c r="I34" s="106"/>
      <c r="J34" s="106"/>
      <c r="K34" s="106"/>
      <c r="L34" s="106"/>
      <c r="M34" s="106"/>
    </row>
    <row r="35" spans="1:13">
      <c r="A35" s="131">
        <f t="shared" si="3"/>
        <v>8</v>
      </c>
      <c r="B35" s="599" t="s">
        <v>640</v>
      </c>
      <c r="C35" s="1030" t="s">
        <v>537</v>
      </c>
      <c r="D35" s="1028">
        <v>500</v>
      </c>
      <c r="E35" s="590"/>
      <c r="F35" s="598">
        <f t="shared" si="2"/>
        <v>500</v>
      </c>
      <c r="G35" s="119"/>
      <c r="H35" s="106"/>
      <c r="I35" s="106"/>
      <c r="J35" s="106"/>
      <c r="K35" s="106"/>
      <c r="L35" s="106"/>
      <c r="M35" s="106"/>
    </row>
    <row r="36" spans="1:13">
      <c r="A36" s="131">
        <f t="shared" si="3"/>
        <v>9</v>
      </c>
      <c r="B36" s="599" t="s">
        <v>640</v>
      </c>
      <c r="C36" s="1030" t="s">
        <v>1291</v>
      </c>
      <c r="D36" s="1028">
        <v>232793</v>
      </c>
      <c r="E36" s="590"/>
      <c r="F36" s="598">
        <f t="shared" si="2"/>
        <v>232793</v>
      </c>
      <c r="G36" s="119"/>
      <c r="H36" s="106"/>
      <c r="I36" s="106"/>
      <c r="J36" s="106"/>
      <c r="K36" s="106"/>
      <c r="L36" s="106"/>
      <c r="M36" s="106"/>
    </row>
    <row r="37" spans="1:13">
      <c r="A37" s="119"/>
      <c r="B37" s="590"/>
      <c r="C37" s="599" t="s">
        <v>101</v>
      </c>
      <c r="D37" s="732">
        <f>SUM(D28:D36,0)</f>
        <v>375735.33</v>
      </c>
      <c r="E37" s="590"/>
      <c r="F37" s="732">
        <f t="shared" si="2"/>
        <v>375735.33</v>
      </c>
      <c r="G37" s="119"/>
      <c r="H37" s="106"/>
      <c r="I37" s="106"/>
      <c r="J37" s="106"/>
      <c r="K37" s="106"/>
      <c r="L37" s="106"/>
      <c r="M37" s="106"/>
    </row>
    <row r="38" spans="1:13">
      <c r="A38" s="119"/>
      <c r="B38" s="119"/>
      <c r="C38" s="119"/>
      <c r="D38" s="119"/>
      <c r="E38" s="119"/>
      <c r="F38" s="119"/>
      <c r="G38" s="119"/>
      <c r="H38" s="106"/>
      <c r="I38" s="106"/>
      <c r="J38" s="106"/>
      <c r="K38" s="106"/>
      <c r="L38" s="106"/>
      <c r="M38" s="106"/>
    </row>
    <row r="39" spans="1:13" ht="15.75">
      <c r="A39" s="12"/>
      <c r="B39" s="119"/>
      <c r="C39" s="119"/>
      <c r="D39" s="119"/>
      <c r="E39" s="119"/>
      <c r="F39" s="119"/>
      <c r="G39" s="119"/>
      <c r="H39" s="106"/>
      <c r="I39" s="106"/>
      <c r="J39" s="106"/>
      <c r="K39" s="106"/>
      <c r="L39" s="106"/>
      <c r="M39" s="106"/>
    </row>
    <row r="40" spans="1:13">
      <c r="B40" s="123" t="s">
        <v>422</v>
      </c>
      <c r="G40" s="119"/>
      <c r="H40" s="106"/>
      <c r="I40" s="106"/>
      <c r="J40" s="106"/>
      <c r="K40" s="106"/>
      <c r="L40" s="106"/>
      <c r="M40" s="106"/>
    </row>
    <row r="41" spans="1:13">
      <c r="A41" s="119"/>
      <c r="B41" s="119"/>
      <c r="C41" s="119"/>
      <c r="D41" s="119"/>
      <c r="E41" s="119"/>
      <c r="F41" s="119"/>
      <c r="G41" s="119"/>
      <c r="H41" s="106"/>
      <c r="I41" s="106"/>
      <c r="J41" s="106"/>
      <c r="K41" s="106"/>
      <c r="L41" s="106"/>
      <c r="M41" s="106"/>
    </row>
    <row r="42" spans="1:13">
      <c r="H42" s="106"/>
      <c r="I42" s="106"/>
      <c r="J42" s="106"/>
      <c r="K42" s="106"/>
      <c r="L42" s="106"/>
      <c r="M42" s="106"/>
    </row>
    <row r="43" spans="1:13">
      <c r="B43" t="s">
        <v>533</v>
      </c>
      <c r="H43" s="106"/>
      <c r="I43" s="106"/>
      <c r="J43" s="106"/>
      <c r="K43" s="106"/>
      <c r="L43" s="106"/>
      <c r="M43" s="106"/>
    </row>
    <row r="44" spans="1:13">
      <c r="B44" t="s">
        <v>1603</v>
      </c>
      <c r="H44" s="106"/>
      <c r="I44" s="106"/>
      <c r="J44" s="106"/>
      <c r="K44" s="106"/>
      <c r="L44" s="106"/>
      <c r="M44" s="106"/>
    </row>
    <row r="45" spans="1:13">
      <c r="H45" s="106"/>
      <c r="I45" s="106"/>
      <c r="J45" s="106"/>
      <c r="K45" s="106"/>
      <c r="L45" s="106"/>
      <c r="M45" s="106"/>
    </row>
    <row r="46" spans="1:13">
      <c r="H46" s="106"/>
      <c r="I46" s="106"/>
      <c r="J46" s="106"/>
      <c r="K46" s="106"/>
      <c r="L46" s="106"/>
      <c r="M46" s="106"/>
    </row>
    <row r="47" spans="1:13">
      <c r="H47" s="106"/>
      <c r="I47" s="106"/>
      <c r="J47" s="106"/>
      <c r="K47" s="106"/>
      <c r="L47" s="106"/>
      <c r="M47" s="106"/>
    </row>
    <row r="48" spans="1:13">
      <c r="H48" s="106"/>
      <c r="I48" s="106"/>
      <c r="J48" s="106"/>
      <c r="K48" s="106"/>
      <c r="L48" s="106"/>
      <c r="M48" s="106"/>
    </row>
    <row r="49" spans="8:13">
      <c r="H49" s="106"/>
      <c r="I49" s="106"/>
      <c r="J49" s="106"/>
      <c r="K49" s="106"/>
      <c r="L49" s="106"/>
      <c r="M49" s="106"/>
    </row>
    <row r="50" spans="8:13">
      <c r="H50" s="106"/>
      <c r="I50" s="106"/>
      <c r="J50" s="106"/>
      <c r="K50" s="106"/>
      <c r="L50" s="106"/>
      <c r="M50" s="106"/>
    </row>
    <row r="51" spans="8:13">
      <c r="H51" s="106"/>
      <c r="I51" s="106"/>
      <c r="J51" s="106"/>
      <c r="K51" s="106"/>
      <c r="L51" s="106"/>
      <c r="M51" s="106"/>
    </row>
    <row r="52" spans="8:13">
      <c r="H52" s="106"/>
      <c r="I52" s="106"/>
      <c r="J52" s="106"/>
      <c r="K52" s="106"/>
      <c r="L52" s="106"/>
      <c r="M52" s="106"/>
    </row>
    <row r="53" spans="8:13">
      <c r="H53" s="106"/>
      <c r="I53" s="106"/>
      <c r="J53" s="106"/>
      <c r="K53" s="106"/>
      <c r="L53" s="106"/>
      <c r="M53" s="106"/>
    </row>
    <row r="54" spans="8:13">
      <c r="H54" s="106"/>
      <c r="I54" s="106"/>
      <c r="J54" s="106"/>
      <c r="K54" s="106"/>
      <c r="L54" s="106"/>
      <c r="M54" s="106"/>
    </row>
    <row r="55" spans="8:13">
      <c r="H55" s="106"/>
      <c r="I55" s="106"/>
      <c r="J55" s="106"/>
      <c r="K55" s="106"/>
      <c r="L55" s="106"/>
      <c r="M55" s="106"/>
    </row>
    <row r="56" spans="8:13">
      <c r="H56" s="106"/>
      <c r="I56" s="106"/>
      <c r="J56" s="106"/>
      <c r="K56" s="106"/>
      <c r="L56" s="106"/>
      <c r="M56" s="106"/>
    </row>
    <row r="57" spans="8:13">
      <c r="H57" s="106"/>
      <c r="I57" s="106"/>
      <c r="J57" s="106"/>
      <c r="K57" s="106"/>
      <c r="L57" s="106"/>
      <c r="M57" s="106"/>
    </row>
    <row r="58" spans="8:13">
      <c r="H58" s="106"/>
      <c r="I58" s="106"/>
      <c r="J58" s="106"/>
      <c r="K58" s="106"/>
      <c r="L58" s="106"/>
      <c r="M58" s="106"/>
    </row>
    <row r="59" spans="8:13">
      <c r="H59" s="106"/>
      <c r="I59" s="106"/>
      <c r="J59" s="106"/>
      <c r="K59" s="106"/>
      <c r="L59" s="106"/>
      <c r="M59" s="106"/>
    </row>
    <row r="60" spans="8:13">
      <c r="H60" s="106"/>
      <c r="I60" s="106"/>
      <c r="J60" s="106"/>
      <c r="K60" s="106"/>
      <c r="L60" s="106"/>
      <c r="M60" s="106"/>
    </row>
    <row r="61" spans="8:13">
      <c r="H61" s="106"/>
      <c r="I61" s="106"/>
      <c r="J61" s="106"/>
      <c r="K61" s="106"/>
      <c r="L61" s="106"/>
      <c r="M61" s="106"/>
    </row>
    <row r="62" spans="8:13">
      <c r="H62" s="106"/>
      <c r="I62" s="106"/>
      <c r="J62" s="106"/>
      <c r="K62" s="106"/>
      <c r="L62" s="106"/>
      <c r="M62" s="106"/>
    </row>
    <row r="63" spans="8:13">
      <c r="H63" s="106"/>
      <c r="I63" s="106"/>
      <c r="J63" s="106"/>
      <c r="K63" s="106"/>
      <c r="L63" s="106"/>
      <c r="M63" s="106"/>
    </row>
    <row r="64" spans="8:13">
      <c r="H64" s="106"/>
      <c r="I64" s="106"/>
      <c r="J64" s="106"/>
      <c r="K64" s="106"/>
      <c r="L64" s="106"/>
      <c r="M64" s="106"/>
    </row>
    <row r="65" spans="8:13">
      <c r="H65" s="106"/>
      <c r="I65" s="106"/>
      <c r="J65" s="106"/>
      <c r="K65" s="106"/>
      <c r="L65" s="106"/>
      <c r="M65" s="106"/>
    </row>
    <row r="66" spans="8:13">
      <c r="H66" s="106"/>
      <c r="I66" s="106"/>
      <c r="J66" s="106"/>
      <c r="K66" s="106"/>
      <c r="L66" s="106"/>
      <c r="M66" s="106"/>
    </row>
    <row r="67" spans="8:13">
      <c r="H67" s="106"/>
      <c r="I67" s="106"/>
      <c r="J67" s="106"/>
      <c r="K67" s="106"/>
      <c r="L67" s="106"/>
      <c r="M67" s="106"/>
    </row>
    <row r="68" spans="8:13">
      <c r="H68" s="106"/>
      <c r="I68" s="106"/>
      <c r="J68" s="106"/>
      <c r="K68" s="106"/>
      <c r="L68" s="106"/>
      <c r="M68" s="106"/>
    </row>
    <row r="69" spans="8:13">
      <c r="H69" s="106"/>
      <c r="I69" s="106"/>
      <c r="J69" s="106"/>
      <c r="K69" s="106"/>
      <c r="L69" s="106"/>
      <c r="M69" s="106"/>
    </row>
    <row r="70" spans="8:13">
      <c r="H70" s="106"/>
      <c r="I70" s="106"/>
      <c r="J70" s="106"/>
      <c r="K70" s="106"/>
      <c r="L70" s="106"/>
      <c r="M70" s="106"/>
    </row>
    <row r="71" spans="8:13">
      <c r="H71" s="106"/>
      <c r="I71" s="106"/>
      <c r="J71" s="106"/>
      <c r="K71" s="106"/>
      <c r="L71" s="106"/>
      <c r="M71" s="106"/>
    </row>
    <row r="72" spans="8:13">
      <c r="H72" s="106"/>
      <c r="I72" s="106"/>
      <c r="J72" s="106"/>
      <c r="K72" s="106"/>
      <c r="L72" s="106"/>
      <c r="M72" s="106"/>
    </row>
    <row r="73" spans="8:13">
      <c r="H73" s="106"/>
      <c r="I73" s="106"/>
      <c r="J73" s="106"/>
      <c r="K73" s="106"/>
      <c r="L73" s="106"/>
      <c r="M73" s="106"/>
    </row>
    <row r="74" spans="8:13">
      <c r="H74" s="106"/>
      <c r="I74" s="106"/>
      <c r="J74" s="106"/>
      <c r="K74" s="106"/>
      <c r="L74" s="106"/>
      <c r="M74" s="106"/>
    </row>
    <row r="75" spans="8:13">
      <c r="H75" s="106"/>
      <c r="I75" s="106"/>
      <c r="J75" s="106"/>
      <c r="K75" s="106"/>
      <c r="L75" s="106"/>
      <c r="M75" s="106"/>
    </row>
    <row r="76" spans="8:13">
      <c r="H76" s="106"/>
      <c r="I76" s="106"/>
      <c r="J76" s="106"/>
      <c r="K76" s="106"/>
      <c r="L76" s="106"/>
      <c r="M76" s="106"/>
    </row>
    <row r="77" spans="8:13">
      <c r="H77" s="106"/>
      <c r="I77" s="106"/>
      <c r="J77" s="106"/>
      <c r="K77" s="106"/>
      <c r="L77" s="106"/>
      <c r="M77" s="106"/>
    </row>
    <row r="78" spans="8:13">
      <c r="H78" s="106"/>
      <c r="I78" s="106"/>
      <c r="J78" s="106"/>
      <c r="K78" s="106"/>
      <c r="L78" s="106"/>
      <c r="M78" s="106"/>
    </row>
    <row r="79" spans="8:13">
      <c r="H79" s="106"/>
      <c r="I79" s="106"/>
      <c r="J79" s="106"/>
      <c r="K79" s="106"/>
      <c r="L79" s="106"/>
      <c r="M79" s="106"/>
    </row>
    <row r="80" spans="8:13">
      <c r="H80" s="106"/>
      <c r="I80" s="106"/>
      <c r="J80" s="106"/>
      <c r="K80" s="106"/>
      <c r="L80" s="106"/>
      <c r="M80" s="106"/>
    </row>
    <row r="81" spans="8:13">
      <c r="H81" s="106"/>
      <c r="I81" s="106"/>
      <c r="J81" s="106"/>
      <c r="K81" s="106"/>
      <c r="L81" s="106"/>
      <c r="M81" s="106"/>
    </row>
    <row r="82" spans="8:13">
      <c r="H82" s="106"/>
      <c r="I82" s="106"/>
      <c r="J82" s="106"/>
      <c r="K82" s="106"/>
      <c r="L82" s="106"/>
      <c r="M82" s="106"/>
    </row>
    <row r="83" spans="8:13">
      <c r="H83" s="106"/>
      <c r="I83" s="106"/>
      <c r="J83" s="106"/>
      <c r="K83" s="106"/>
      <c r="L83" s="106"/>
      <c r="M83" s="106"/>
    </row>
    <row r="84" spans="8:13">
      <c r="H84" s="106"/>
      <c r="I84" s="106"/>
      <c r="J84" s="106"/>
      <c r="K84" s="106"/>
      <c r="L84" s="106"/>
      <c r="M84" s="106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sqref="A1:J1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251" t="str">
        <f>'Table of Contents'!A1:C1</f>
        <v>Atmos Energy Corporation, Kentucky/Mid-States Division</v>
      </c>
      <c r="B1" s="1251"/>
      <c r="C1" s="1251"/>
      <c r="D1" s="1251"/>
      <c r="E1" s="1251"/>
      <c r="F1" s="1251"/>
      <c r="G1" s="1251"/>
      <c r="H1" s="1251"/>
      <c r="I1" s="1251"/>
      <c r="J1" s="1251"/>
    </row>
    <row r="2" spans="1:14" ht="15.75">
      <c r="A2" s="1251" t="str">
        <f>'Table of Contents'!A2:C2</f>
        <v>Kentucky Jurisdiction Case No. 2015-00343</v>
      </c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14" ht="15.75">
      <c r="A3" s="1251" t="s">
        <v>794</v>
      </c>
      <c r="B3" s="1251"/>
      <c r="C3" s="1251"/>
      <c r="D3" s="1251"/>
      <c r="E3" s="1251"/>
      <c r="F3" s="1251"/>
      <c r="G3" s="1251"/>
      <c r="H3" s="1251"/>
      <c r="I3" s="1251"/>
      <c r="J3" s="1251"/>
    </row>
    <row r="4" spans="1:14" ht="15.75">
      <c r="A4" s="1251" t="str">
        <f>'Table of Contents'!A3:C3</f>
        <v>Base Period: Twelve Months Ended February 29, 2016</v>
      </c>
      <c r="B4" s="1251"/>
      <c r="C4" s="1251"/>
      <c r="D4" s="1251"/>
      <c r="E4" s="1251"/>
      <c r="F4" s="1251"/>
      <c r="G4" s="1251"/>
      <c r="H4" s="1251"/>
      <c r="I4" s="1251"/>
      <c r="J4" s="1251"/>
    </row>
    <row r="5" spans="1:14" ht="15.75">
      <c r="A5" s="1251" t="str">
        <f>'Table of Contents'!A4:C4</f>
        <v>Forecasted Test Period: Twelve Months Ended May 31, 2017</v>
      </c>
      <c r="B5" s="1251"/>
      <c r="C5" s="1251"/>
      <c r="D5" s="1251"/>
      <c r="E5" s="1251"/>
      <c r="F5" s="1251"/>
      <c r="G5" s="1251"/>
      <c r="H5" s="1251"/>
      <c r="I5" s="1251"/>
      <c r="J5" s="1251"/>
    </row>
    <row r="6" spans="1:14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14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4" ht="15.75">
      <c r="A8" s="95" t="s">
        <v>495</v>
      </c>
      <c r="B8" s="12"/>
      <c r="C8" s="119"/>
      <c r="D8" s="119"/>
      <c r="E8" s="119"/>
      <c r="F8" s="119"/>
      <c r="G8" s="119"/>
      <c r="H8" s="119"/>
      <c r="J8" s="488" t="s">
        <v>1504</v>
      </c>
    </row>
    <row r="9" spans="1:14" ht="15.75">
      <c r="A9" s="95" t="s">
        <v>1143</v>
      </c>
      <c r="B9" s="12"/>
      <c r="C9" s="119"/>
      <c r="D9" s="119"/>
      <c r="E9" s="119"/>
      <c r="F9" s="119"/>
      <c r="G9" s="119"/>
      <c r="H9" s="119"/>
      <c r="J9" s="733" t="s">
        <v>496</v>
      </c>
    </row>
    <row r="10" spans="1:14" ht="15.75">
      <c r="A10" s="95" t="s">
        <v>440</v>
      </c>
      <c r="B10" s="12"/>
      <c r="C10" s="119"/>
      <c r="D10" s="119"/>
      <c r="E10" s="119"/>
      <c r="F10" s="119"/>
      <c r="G10" s="119"/>
      <c r="H10" s="119"/>
      <c r="I10" s="81"/>
      <c r="J10" s="734" t="str">
        <f>F.1!F9</f>
        <v>Witness: Waller</v>
      </c>
    </row>
    <row r="11" spans="1:14" ht="15.75">
      <c r="A11" s="161"/>
      <c r="B11" s="161"/>
      <c r="C11" s="161"/>
      <c r="D11" s="738"/>
      <c r="E11" s="739" t="s">
        <v>333</v>
      </c>
      <c r="F11" s="740"/>
      <c r="G11" s="161"/>
      <c r="H11" s="738"/>
      <c r="I11" s="739" t="s">
        <v>334</v>
      </c>
      <c r="J11" s="740"/>
    </row>
    <row r="12" spans="1:14">
      <c r="A12" s="117" t="s">
        <v>98</v>
      </c>
      <c r="B12" s="119"/>
      <c r="C12" s="127" t="s">
        <v>497</v>
      </c>
      <c r="D12" s="127" t="s">
        <v>101</v>
      </c>
      <c r="E12" s="119"/>
      <c r="F12" s="119"/>
      <c r="G12" s="119"/>
      <c r="H12" s="127" t="s">
        <v>101</v>
      </c>
      <c r="I12" s="119"/>
      <c r="J12" s="119"/>
    </row>
    <row r="13" spans="1:14">
      <c r="A13" s="118" t="s">
        <v>104</v>
      </c>
      <c r="B13" s="128" t="s">
        <v>180</v>
      </c>
      <c r="C13" s="128" t="s">
        <v>299</v>
      </c>
      <c r="D13" s="128" t="s">
        <v>609</v>
      </c>
      <c r="E13" s="128" t="s">
        <v>182</v>
      </c>
      <c r="F13" s="128" t="s">
        <v>610</v>
      </c>
      <c r="G13" s="124"/>
      <c r="H13" s="128" t="s">
        <v>609</v>
      </c>
      <c r="I13" s="128" t="s">
        <v>182</v>
      </c>
      <c r="J13" s="118" t="s">
        <v>610</v>
      </c>
    </row>
    <row r="14" spans="1:1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06"/>
      <c r="L15" s="106"/>
      <c r="M15" s="106"/>
      <c r="N15" s="106"/>
    </row>
    <row r="16" spans="1:14">
      <c r="A16" s="117">
        <v>1</v>
      </c>
      <c r="B16" s="117" t="s">
        <v>640</v>
      </c>
      <c r="C16" s="1034" t="s">
        <v>78</v>
      </c>
      <c r="D16" s="1035">
        <v>0</v>
      </c>
      <c r="E16" s="2" t="s">
        <v>1079</v>
      </c>
      <c r="F16" s="736">
        <f>D16</f>
        <v>0</v>
      </c>
      <c r="G16" s="119"/>
      <c r="H16" s="736">
        <f>D16</f>
        <v>0</v>
      </c>
      <c r="I16" s="159" t="s">
        <v>1079</v>
      </c>
      <c r="J16" s="736">
        <f>H16</f>
        <v>0</v>
      </c>
      <c r="K16" s="106"/>
      <c r="L16" s="106"/>
      <c r="M16" s="106"/>
      <c r="N16" s="106"/>
    </row>
    <row r="17" spans="1:14">
      <c r="A17" s="119"/>
      <c r="B17" s="119"/>
      <c r="C17" s="119" t="s">
        <v>79</v>
      </c>
      <c r="D17" s="119"/>
      <c r="E17" s="119"/>
      <c r="F17" s="119"/>
      <c r="G17" s="119"/>
      <c r="H17" s="119"/>
      <c r="I17" s="119"/>
      <c r="J17" s="119"/>
      <c r="K17" s="106"/>
      <c r="L17" s="106"/>
      <c r="M17" s="106"/>
      <c r="N17" s="106"/>
    </row>
    <row r="18" spans="1:14">
      <c r="A18" s="166">
        <v>2</v>
      </c>
      <c r="B18" s="117" t="s">
        <v>640</v>
      </c>
      <c r="C18" s="1034" t="s">
        <v>80</v>
      </c>
      <c r="D18" s="1036">
        <v>0</v>
      </c>
      <c r="E18" s="119"/>
      <c r="F18" s="131">
        <f>D18</f>
        <v>0</v>
      </c>
      <c r="G18" s="119"/>
      <c r="H18" s="131">
        <v>0</v>
      </c>
      <c r="I18" s="119"/>
      <c r="J18" s="131">
        <f>H18</f>
        <v>0</v>
      </c>
      <c r="K18" s="106"/>
      <c r="L18" s="106"/>
      <c r="M18" s="106"/>
      <c r="N18" s="106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06"/>
      <c r="L19" s="106"/>
      <c r="M19" s="106"/>
      <c r="N19" s="106"/>
    </row>
    <row r="20" spans="1:14" ht="15.75" thickBot="1">
      <c r="A20" s="167">
        <v>3</v>
      </c>
      <c r="B20" s="119"/>
      <c r="C20" s="117" t="s">
        <v>410</v>
      </c>
      <c r="D20" s="737">
        <f>SUM(D16:D18)</f>
        <v>0</v>
      </c>
      <c r="E20" s="119"/>
      <c r="F20" s="737">
        <f>SUM(F16:F18)</f>
        <v>0</v>
      </c>
      <c r="G20" s="119"/>
      <c r="H20" s="737">
        <f>SUM(H16:H18)</f>
        <v>0</v>
      </c>
      <c r="I20" s="119"/>
      <c r="J20" s="737">
        <f>SUM(J16:J18)</f>
        <v>0</v>
      </c>
      <c r="K20" s="106"/>
      <c r="L20" s="106"/>
      <c r="M20" s="106"/>
      <c r="N20" s="106"/>
    </row>
    <row r="21" spans="1:14" ht="15.75" thickTop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4">
      <c r="A22" s="117" t="s">
        <v>332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4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4">
      <c r="A24" s="95" t="s">
        <v>1251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4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4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4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4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30" spans="1:14">
      <c r="B30" t="s">
        <v>533</v>
      </c>
    </row>
    <row r="31" spans="1:14">
      <c r="B31" t="s">
        <v>1605</v>
      </c>
    </row>
    <row r="35" spans="2:2">
      <c r="B35" s="768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Z40"/>
  <sheetViews>
    <sheetView view="pageBreakPreview" zoomScale="60" zoomScaleNormal="90" workbookViewId="0">
      <selection sqref="A1:J1"/>
    </sheetView>
  </sheetViews>
  <sheetFormatPr defaultRowHeight="15"/>
  <cols>
    <col min="1" max="1" width="4.44140625" customWidth="1"/>
    <col min="2" max="2" width="10.6640625" customWidth="1"/>
    <col min="3" max="3" width="35.77734375" customWidth="1"/>
    <col min="4" max="6" width="12" bestFit="1" customWidth="1"/>
    <col min="7" max="7" width="4.5546875" customWidth="1"/>
    <col min="8" max="8" width="11" bestFit="1" customWidth="1"/>
    <col min="9" max="9" width="11.6640625" customWidth="1"/>
    <col min="10" max="10" width="12" bestFit="1" customWidth="1"/>
  </cols>
  <sheetData>
    <row r="1" spans="1:26" ht="15.75">
      <c r="A1" s="1251" t="str">
        <f>'Table of Contents'!A1:C1</f>
        <v>Atmos Energy Corporation, Kentucky/Mid-States Division</v>
      </c>
      <c r="B1" s="1251"/>
      <c r="C1" s="1251"/>
      <c r="D1" s="1251"/>
      <c r="E1" s="1251"/>
      <c r="F1" s="1251"/>
      <c r="G1" s="1251"/>
      <c r="H1" s="1251"/>
      <c r="I1" s="1251"/>
      <c r="J1" s="1251"/>
    </row>
    <row r="2" spans="1:26" ht="15.75">
      <c r="A2" s="1251" t="str">
        <f>'Table of Contents'!A2:C2</f>
        <v>Kentucky Jurisdiction Case No. 2015-00343</v>
      </c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26" ht="15.75">
      <c r="A3" s="1251" t="s">
        <v>626</v>
      </c>
      <c r="B3" s="1251"/>
      <c r="C3" s="1251"/>
      <c r="D3" s="1251"/>
      <c r="E3" s="1251"/>
      <c r="F3" s="1251"/>
      <c r="G3" s="1251"/>
      <c r="H3" s="1251"/>
      <c r="I3" s="1251"/>
      <c r="J3" s="1251"/>
    </row>
    <row r="4" spans="1:26" ht="15.75">
      <c r="A4" s="1251" t="str">
        <f>'Table of Contents'!A3:C3</f>
        <v>Base Period: Twelve Months Ended February 29, 2016</v>
      </c>
      <c r="B4" s="1251"/>
      <c r="C4" s="1251"/>
      <c r="D4" s="1251"/>
      <c r="E4" s="1251"/>
      <c r="F4" s="1251"/>
      <c r="G4" s="1251"/>
      <c r="H4" s="1251"/>
      <c r="I4" s="1251"/>
      <c r="J4" s="1251"/>
    </row>
    <row r="5" spans="1:26" ht="15.75">
      <c r="A5" s="1251" t="str">
        <f>'Table of Contents'!A4:C4</f>
        <v>Forecasted Test Period: Twelve Months Ended May 31, 2017</v>
      </c>
      <c r="B5" s="1251"/>
      <c r="C5" s="1251"/>
      <c r="D5" s="1251"/>
      <c r="E5" s="1251"/>
      <c r="F5" s="1251"/>
      <c r="G5" s="1251"/>
      <c r="H5" s="1251"/>
      <c r="I5" s="1251"/>
      <c r="J5" s="1251"/>
    </row>
    <row r="6" spans="1:26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26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26" ht="15.75">
      <c r="A8" s="95" t="s">
        <v>498</v>
      </c>
      <c r="B8" s="12"/>
      <c r="C8" s="119"/>
      <c r="D8" s="119"/>
      <c r="E8" s="119"/>
      <c r="F8" s="119"/>
      <c r="G8" s="119"/>
      <c r="H8" s="119"/>
      <c r="J8" s="488" t="s">
        <v>1504</v>
      </c>
    </row>
    <row r="9" spans="1:26" ht="15.75">
      <c r="A9" s="95" t="s">
        <v>1146</v>
      </c>
      <c r="B9" s="12"/>
      <c r="C9" s="119"/>
      <c r="D9" s="119"/>
      <c r="E9" s="119"/>
      <c r="F9" s="119"/>
      <c r="G9" s="119"/>
      <c r="H9" s="119"/>
      <c r="J9" s="733" t="s">
        <v>499</v>
      </c>
    </row>
    <row r="10" spans="1:26" ht="15.75">
      <c r="A10" s="95" t="s">
        <v>375</v>
      </c>
      <c r="B10" s="12"/>
      <c r="C10" s="119"/>
      <c r="D10" s="119"/>
      <c r="E10" s="119"/>
      <c r="F10" s="119"/>
      <c r="G10" s="119"/>
      <c r="H10" s="119"/>
      <c r="I10" s="75"/>
      <c r="J10" s="734" t="str">
        <f>F.1!$F$9</f>
        <v>Witness: Waller</v>
      </c>
    </row>
    <row r="11" spans="1:26" ht="15.75">
      <c r="A11" s="161"/>
      <c r="B11" s="161"/>
      <c r="C11" s="161"/>
      <c r="D11" s="738"/>
      <c r="E11" s="739" t="s">
        <v>333</v>
      </c>
      <c r="F11" s="740"/>
      <c r="G11" s="161"/>
      <c r="H11" s="738"/>
      <c r="I11" s="739" t="s">
        <v>334</v>
      </c>
      <c r="J11" s="740"/>
    </row>
    <row r="12" spans="1:26">
      <c r="A12" s="127" t="s">
        <v>98</v>
      </c>
      <c r="B12" s="119"/>
      <c r="C12" s="127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76" t="s">
        <v>11</v>
      </c>
      <c r="J12" s="126" t="s">
        <v>12</v>
      </c>
    </row>
    <row r="13" spans="1:26">
      <c r="A13" s="128" t="s">
        <v>104</v>
      </c>
      <c r="B13" s="128" t="s">
        <v>180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84" t="s">
        <v>102</v>
      </c>
      <c r="J13" s="128" t="s">
        <v>109</v>
      </c>
    </row>
    <row r="14" spans="1:2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5.75">
      <c r="A15" s="528">
        <v>1</v>
      </c>
      <c r="C15" s="520" t="s">
        <v>198</v>
      </c>
      <c r="D15" s="794"/>
      <c r="E15" s="528"/>
      <c r="F15" s="165"/>
      <c r="G15" s="120"/>
      <c r="H15" s="542"/>
      <c r="I15" s="528"/>
      <c r="J15" s="16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>
      <c r="A16" s="569">
        <v>2</v>
      </c>
      <c r="B16" s="541" t="s">
        <v>640</v>
      </c>
      <c r="C16" s="543" t="s">
        <v>952</v>
      </c>
      <c r="D16" s="424">
        <v>0</v>
      </c>
      <c r="E16" s="805">
        <v>1</v>
      </c>
      <c r="F16" s="424">
        <f>D16*E16</f>
        <v>0</v>
      </c>
      <c r="G16" s="1076"/>
      <c r="H16" s="424">
        <v>0</v>
      </c>
      <c r="I16" s="438">
        <f>E16</f>
        <v>1</v>
      </c>
      <c r="J16" s="420">
        <f>H16*I16</f>
        <v>0</v>
      </c>
      <c r="L16" s="1060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>
      <c r="A17" s="528">
        <v>3</v>
      </c>
      <c r="B17" s="541"/>
      <c r="C17" s="543"/>
      <c r="D17" s="564"/>
      <c r="E17" s="1165"/>
      <c r="F17" s="564"/>
      <c r="G17" s="1076"/>
      <c r="H17" s="564"/>
      <c r="I17" s="438"/>
      <c r="J17" s="54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>
      <c r="A18" s="569">
        <v>4</v>
      </c>
      <c r="B18" s="541"/>
      <c r="C18" s="544" t="s">
        <v>101</v>
      </c>
      <c r="D18" s="424">
        <f>SUM(D16:D17)</f>
        <v>0</v>
      </c>
      <c r="E18" s="1076"/>
      <c r="F18" s="424">
        <f>SUM(F16:F17)</f>
        <v>0</v>
      </c>
      <c r="G18" s="1076"/>
      <c r="H18" s="424">
        <f>SUM(H16:H17)</f>
        <v>0</v>
      </c>
      <c r="I18" s="438"/>
      <c r="J18" s="420">
        <f>SUM(J16:J17)</f>
        <v>0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>
      <c r="A19" s="528">
        <v>5</v>
      </c>
      <c r="B19" s="120"/>
      <c r="C19" s="120"/>
      <c r="D19" s="493"/>
      <c r="E19" s="1076"/>
      <c r="F19" s="493"/>
      <c r="G19" s="1076"/>
      <c r="H19" s="493"/>
      <c r="I19" s="438"/>
      <c r="J19" s="492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>
      <c r="A20" s="569">
        <v>6</v>
      </c>
      <c r="C20" s="520" t="s">
        <v>83</v>
      </c>
      <c r="D20" s="1166"/>
      <c r="E20" s="1167"/>
      <c r="F20" s="1168"/>
      <c r="G20" s="1169"/>
      <c r="H20" s="1166"/>
      <c r="I20" s="438"/>
      <c r="J20" s="530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>
      <c r="A21" s="528">
        <v>7</v>
      </c>
      <c r="B21" s="541" t="s">
        <v>640</v>
      </c>
      <c r="C21" s="543" t="s">
        <v>952</v>
      </c>
      <c r="D21" s="424">
        <v>84440.54529870415</v>
      </c>
      <c r="E21" s="1170">
        <f>Allocation!$I$17</f>
        <v>0.49090457251500325</v>
      </c>
      <c r="F21" s="424">
        <f>D21*E21</f>
        <v>41452.249792794129</v>
      </c>
      <c r="G21" s="1076"/>
      <c r="H21" s="424">
        <v>55469.782888587353</v>
      </c>
      <c r="I21" s="534">
        <f>Allocation!$E$17</f>
        <v>0.49090457251500325</v>
      </c>
      <c r="J21" s="420">
        <f>H21*I21</f>
        <v>27230.370056422016</v>
      </c>
      <c r="L21" s="1057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>
      <c r="A22" s="569">
        <v>8</v>
      </c>
      <c r="B22" s="541"/>
      <c r="C22" s="543"/>
      <c r="D22" s="564"/>
      <c r="E22" s="418"/>
      <c r="F22" s="564"/>
      <c r="G22" s="130"/>
      <c r="H22" s="564"/>
      <c r="I22" s="534"/>
      <c r="J22" s="54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>
      <c r="A23" s="528">
        <v>9</v>
      </c>
      <c r="B23" s="541"/>
      <c r="C23" s="544" t="s">
        <v>101</v>
      </c>
      <c r="D23" s="424">
        <f>SUM(D21:D22)</f>
        <v>84440.54529870415</v>
      </c>
      <c r="E23" s="130"/>
      <c r="F23" s="424">
        <f>SUM(F21:F22)</f>
        <v>41452.249792794129</v>
      </c>
      <c r="G23" s="130"/>
      <c r="H23" s="424">
        <f>SUM(H21:H22)</f>
        <v>55469.782888587353</v>
      </c>
      <c r="I23" s="534"/>
      <c r="J23" s="420">
        <f>SUM(J21:J22)</f>
        <v>27230.370056422016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>
      <c r="A24" s="569">
        <v>10</v>
      </c>
      <c r="B24" s="119"/>
      <c r="C24" s="119"/>
      <c r="D24" s="681"/>
      <c r="E24" s="130"/>
      <c r="F24" s="130"/>
      <c r="G24" s="130"/>
      <c r="H24" s="681"/>
      <c r="I24" s="534"/>
      <c r="J24" s="119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5.75">
      <c r="A25" s="528">
        <v>11</v>
      </c>
      <c r="C25" s="520" t="s">
        <v>81</v>
      </c>
      <c r="D25" s="681"/>
      <c r="E25" s="130"/>
      <c r="F25" s="130"/>
      <c r="G25" s="130"/>
      <c r="H25" s="681"/>
      <c r="I25" s="534"/>
      <c r="J25" s="119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>
      <c r="A26" s="569">
        <v>12</v>
      </c>
      <c r="B26" s="541" t="s">
        <v>640</v>
      </c>
      <c r="C26" s="543" t="s">
        <v>952</v>
      </c>
      <c r="D26" s="424">
        <v>64555.361503049637</v>
      </c>
      <c r="E26" s="1170">
        <f>Allocation!$I$14</f>
        <v>5.2575879716356848E-2</v>
      </c>
      <c r="F26" s="424">
        <f>D26*E26</f>
        <v>3394.054921430271</v>
      </c>
      <c r="G26" s="106"/>
      <c r="H26" s="424">
        <v>59129.783688773445</v>
      </c>
      <c r="I26" s="534">
        <f>Allocation!$E$14</f>
        <v>5.2575879716356848E-2</v>
      </c>
      <c r="J26" s="420">
        <f>H26*I26</f>
        <v>3108.8003948751516</v>
      </c>
      <c r="L26" s="1057"/>
    </row>
    <row r="27" spans="1:26">
      <c r="A27" s="528">
        <v>13</v>
      </c>
      <c r="B27" s="541"/>
      <c r="C27" s="543"/>
      <c r="D27" s="564"/>
      <c r="E27" s="418"/>
      <c r="F27" s="564"/>
      <c r="G27" s="106"/>
      <c r="H27" s="564"/>
      <c r="I27" s="534"/>
      <c r="J27" s="546"/>
    </row>
    <row r="28" spans="1:26">
      <c r="A28" s="569">
        <v>14</v>
      </c>
      <c r="B28" s="541"/>
      <c r="C28" s="544" t="s">
        <v>101</v>
      </c>
      <c r="D28" s="424">
        <f>SUM(D26:D27)</f>
        <v>64555.361503049637</v>
      </c>
      <c r="E28" s="418"/>
      <c r="F28" s="424">
        <f>SUM(F26:F27)</f>
        <v>3394.054921430271</v>
      </c>
      <c r="G28" s="106"/>
      <c r="H28" s="424">
        <f>SUM(H26:H27)</f>
        <v>59129.783688773445</v>
      </c>
      <c r="I28" s="534"/>
      <c r="J28" s="420">
        <f>SUM(J26:J27)</f>
        <v>3108.8003948751516</v>
      </c>
    </row>
    <row r="29" spans="1:26">
      <c r="A29" s="528">
        <v>15</v>
      </c>
      <c r="D29" s="681"/>
      <c r="E29" s="418"/>
      <c r="F29" s="106"/>
      <c r="G29" s="106"/>
      <c r="H29" s="681"/>
      <c r="I29" s="534"/>
    </row>
    <row r="30" spans="1:26" ht="15.75">
      <c r="A30" s="569">
        <v>16</v>
      </c>
      <c r="C30" s="520" t="s">
        <v>82</v>
      </c>
      <c r="D30" s="681"/>
      <c r="E30" s="418"/>
      <c r="F30" s="106"/>
      <c r="G30" s="106"/>
      <c r="H30" s="681"/>
      <c r="I30" s="534"/>
    </row>
    <row r="31" spans="1:26">
      <c r="A31" s="528">
        <v>17</v>
      </c>
      <c r="B31" s="541" t="s">
        <v>640</v>
      </c>
      <c r="C31" s="543" t="s">
        <v>952</v>
      </c>
      <c r="D31" s="424">
        <v>58116.00364612462</v>
      </c>
      <c r="E31" s="1170">
        <f>Allocation!$I$15</f>
        <v>5.712253040952902E-2</v>
      </c>
      <c r="F31" s="424">
        <f>D31*E31</f>
        <v>3319.7331855560528</v>
      </c>
      <c r="G31" s="106"/>
      <c r="H31" s="424">
        <v>45820.24197846013</v>
      </c>
      <c r="I31" s="534">
        <f>Allocation!$E$15</f>
        <v>5.712253040952902E-2</v>
      </c>
      <c r="J31" s="420">
        <f>H31*I31</f>
        <v>2617.3681657865668</v>
      </c>
      <c r="L31" s="1057"/>
    </row>
    <row r="32" spans="1:26">
      <c r="A32" s="569">
        <v>18</v>
      </c>
      <c r="B32" s="541"/>
      <c r="C32" s="543"/>
      <c r="D32" s="564"/>
      <c r="E32" s="418"/>
      <c r="F32" s="564"/>
      <c r="G32" s="106"/>
      <c r="H32" s="564"/>
      <c r="I32" s="534"/>
      <c r="J32" s="546"/>
    </row>
    <row r="33" spans="1:10">
      <c r="A33" s="528">
        <v>19</v>
      </c>
      <c r="B33" s="541"/>
      <c r="C33" s="544" t="s">
        <v>101</v>
      </c>
      <c r="D33" s="420">
        <f>SUM(D31:D32)</f>
        <v>58116.00364612462</v>
      </c>
      <c r="F33" s="420">
        <f>SUM(F31:F32)</f>
        <v>3319.7331855560528</v>
      </c>
      <c r="H33" s="420">
        <f>SUM(H31:H32)</f>
        <v>45820.24197846013</v>
      </c>
      <c r="J33" s="420">
        <f>SUM(J31:J32)</f>
        <v>2617.3681657865668</v>
      </c>
    </row>
    <row r="34" spans="1:10">
      <c r="A34" s="569">
        <v>20</v>
      </c>
      <c r="D34" s="545"/>
    </row>
    <row r="35" spans="1:10" ht="16.5" thickBot="1">
      <c r="A35" s="528">
        <v>21</v>
      </c>
      <c r="C35" s="129" t="s">
        <v>953</v>
      </c>
      <c r="D35" s="417">
        <f>D33+D28+D23+D18</f>
        <v>207111.91044787841</v>
      </c>
      <c r="F35" s="417">
        <f>F33+F28+F23+F18</f>
        <v>48166.037899780451</v>
      </c>
      <c r="H35" s="417">
        <f>H33+H28+H23+H18</f>
        <v>160419.80855582093</v>
      </c>
      <c r="J35" s="417">
        <f>J33+J28+J23+J18</f>
        <v>32956.538617083737</v>
      </c>
    </row>
    <row r="36" spans="1:10" ht="16.5" thickTop="1">
      <c r="A36" s="528"/>
      <c r="C36" s="129"/>
      <c r="D36" s="411"/>
      <c r="F36" s="411"/>
      <c r="H36" s="411"/>
      <c r="J36" s="411"/>
    </row>
    <row r="37" spans="1:10" ht="15.75">
      <c r="C37" s="129"/>
    </row>
    <row r="39" spans="1:10">
      <c r="B39" t="s">
        <v>533</v>
      </c>
    </row>
    <row r="40" spans="1:10">
      <c r="B40" t="s">
        <v>1597</v>
      </c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60" zoomScaleNormal="90" workbookViewId="0">
      <pane ySplit="13" topLeftCell="A14" activePane="bottomLeft" state="frozen"/>
      <selection activeCell="D18" sqref="D18:H72"/>
      <selection pane="bottomLeft" activeCell="A14" sqref="A14"/>
    </sheetView>
  </sheetViews>
  <sheetFormatPr defaultRowHeight="15"/>
  <cols>
    <col min="1" max="1" width="4.109375" customWidth="1"/>
    <col min="3" max="3" width="50.6640625" customWidth="1"/>
    <col min="4" max="4" width="9.5546875" bestFit="1" customWidth="1"/>
    <col min="5" max="5" width="11.33203125" bestFit="1" customWidth="1"/>
    <col min="6" max="6" width="9.5546875" bestFit="1" customWidth="1"/>
    <col min="7" max="7" width="3.109375" customWidth="1"/>
    <col min="8" max="8" width="9.5546875" customWidth="1"/>
    <col min="9" max="9" width="11.21875" customWidth="1"/>
    <col min="10" max="10" width="9.5546875" customWidth="1"/>
  </cols>
  <sheetData>
    <row r="1" spans="1:10" ht="15.75">
      <c r="A1" s="1271" t="str">
        <f>'Table of Contents'!A1:C1</f>
        <v>Atmos Energy Corporation, Kentucky/Mid-States Division</v>
      </c>
      <c r="B1" s="1271"/>
      <c r="C1" s="1271"/>
      <c r="D1" s="1271"/>
      <c r="E1" s="1271"/>
      <c r="F1" s="1271"/>
      <c r="G1" s="1271"/>
      <c r="H1" s="1271"/>
      <c r="I1" s="1271"/>
      <c r="J1" s="1271"/>
    </row>
    <row r="2" spans="1:10" ht="15.75">
      <c r="A2" s="1271" t="str">
        <f>'Table of Contents'!A2:C2</f>
        <v>Kentucky Jurisdiction Case No. 2015-00343</v>
      </c>
      <c r="B2" s="1271"/>
      <c r="C2" s="1271"/>
      <c r="D2" s="1271"/>
      <c r="E2" s="1271"/>
      <c r="F2" s="1271"/>
      <c r="G2" s="1271"/>
      <c r="H2" s="1271"/>
      <c r="I2" s="1271"/>
      <c r="J2" s="1271"/>
    </row>
    <row r="3" spans="1:10" ht="15.75">
      <c r="A3" s="1271" t="s">
        <v>1077</v>
      </c>
      <c r="B3" s="1271"/>
      <c r="C3" s="1271"/>
      <c r="D3" s="1271"/>
      <c r="E3" s="1271"/>
      <c r="F3" s="1271"/>
      <c r="G3" s="1271"/>
      <c r="H3" s="1271"/>
      <c r="I3" s="1271"/>
      <c r="J3" s="1271"/>
    </row>
    <row r="4" spans="1:10" ht="15.75">
      <c r="A4" s="1271" t="str">
        <f>'Table of Contents'!A3:C3</f>
        <v>Base Period: Twelve Months Ended February 29, 2016</v>
      </c>
      <c r="B4" s="1271"/>
      <c r="C4" s="1271"/>
      <c r="D4" s="1271"/>
      <c r="E4" s="1271"/>
      <c r="F4" s="1271"/>
      <c r="G4" s="1271"/>
      <c r="H4" s="1271"/>
      <c r="I4" s="1271"/>
      <c r="J4" s="1271"/>
    </row>
    <row r="5" spans="1:10" ht="15.75">
      <c r="A5" s="1271" t="str">
        <f>'Table of Contents'!A4:C4</f>
        <v>Forecasted Test Period: Twelve Months Ended May 31, 2017</v>
      </c>
      <c r="B5" s="1271"/>
      <c r="C5" s="1271"/>
      <c r="D5" s="1271"/>
      <c r="E5" s="1271"/>
      <c r="F5" s="1271"/>
      <c r="G5" s="1271"/>
      <c r="H5" s="1271"/>
      <c r="I5" s="1271"/>
      <c r="J5" s="1271"/>
    </row>
    <row r="6" spans="1:10" ht="15.75">
      <c r="A6" s="119"/>
      <c r="B6" s="12"/>
      <c r="C6" s="119"/>
      <c r="D6" s="31"/>
      <c r="E6" s="119"/>
      <c r="F6" s="119"/>
      <c r="G6" s="119"/>
      <c r="H6" s="119"/>
      <c r="I6" s="119"/>
      <c r="J6" s="119"/>
    </row>
    <row r="7" spans="1:10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0" ht="15.75">
      <c r="A8" s="95" t="s">
        <v>141</v>
      </c>
      <c r="B8" s="12"/>
      <c r="C8" s="119"/>
      <c r="D8" s="119"/>
      <c r="E8" s="119"/>
      <c r="F8" s="119"/>
      <c r="G8" s="119"/>
      <c r="H8" s="119"/>
      <c r="J8" s="488" t="s">
        <v>1504</v>
      </c>
    </row>
    <row r="9" spans="1:10" ht="15.75">
      <c r="A9" s="95" t="s">
        <v>1145</v>
      </c>
      <c r="B9" s="12"/>
      <c r="C9" s="119"/>
      <c r="D9" s="119"/>
      <c r="E9" s="119"/>
      <c r="F9" s="119"/>
      <c r="G9" s="119"/>
      <c r="H9" s="119"/>
      <c r="J9" s="733" t="s">
        <v>142</v>
      </c>
    </row>
    <row r="10" spans="1:10" ht="15.75">
      <c r="A10" s="95" t="s">
        <v>375</v>
      </c>
      <c r="B10" s="12"/>
      <c r="C10" s="119"/>
      <c r="D10" s="119"/>
      <c r="E10" s="119"/>
      <c r="F10" s="119"/>
      <c r="G10" s="119"/>
      <c r="H10" s="119"/>
      <c r="J10" s="734" t="str">
        <f>F.1!$F$9</f>
        <v>Witness: Waller</v>
      </c>
    </row>
    <row r="11" spans="1:10" ht="15.75">
      <c r="A11" s="161"/>
      <c r="B11" s="161"/>
      <c r="C11" s="161"/>
      <c r="D11" s="738"/>
      <c r="E11" s="739" t="s">
        <v>333</v>
      </c>
      <c r="F11" s="740"/>
      <c r="G11" s="161"/>
      <c r="H11" s="738"/>
      <c r="I11" s="739" t="s">
        <v>334</v>
      </c>
      <c r="J11" s="740"/>
    </row>
    <row r="12" spans="1:10">
      <c r="A12" s="127" t="s">
        <v>98</v>
      </c>
      <c r="B12" s="127" t="s">
        <v>347</v>
      </c>
      <c r="C12" s="119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126" t="str">
        <f>E12</f>
        <v xml:space="preserve">Kentucky </v>
      </c>
      <c r="J12" s="126" t="s">
        <v>1000</v>
      </c>
    </row>
    <row r="13" spans="1:10">
      <c r="A13" s="128" t="s">
        <v>104</v>
      </c>
      <c r="B13" s="128" t="s">
        <v>143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128" t="str">
        <f>E13</f>
        <v>Jurisdictional</v>
      </c>
      <c r="J13" s="128" t="s">
        <v>109</v>
      </c>
    </row>
    <row r="14" spans="1:10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5.75">
      <c r="A15" s="117">
        <v>1</v>
      </c>
      <c r="B15" s="119"/>
      <c r="C15" s="519" t="s">
        <v>584</v>
      </c>
      <c r="D15" s="119"/>
      <c r="E15" s="119"/>
      <c r="F15" s="119"/>
      <c r="G15" s="119"/>
      <c r="H15" s="119"/>
      <c r="I15" s="119"/>
      <c r="J15" s="119"/>
    </row>
    <row r="16" spans="1:10">
      <c r="A16" s="117">
        <v>2</v>
      </c>
      <c r="B16" s="119"/>
      <c r="D16" s="119"/>
      <c r="E16" s="34"/>
      <c r="F16" s="119"/>
      <c r="G16" s="119"/>
      <c r="H16" s="119"/>
      <c r="I16" s="34"/>
      <c r="J16" s="119"/>
    </row>
    <row r="17" spans="1:14" ht="15.75">
      <c r="A17" s="117">
        <v>3</v>
      </c>
      <c r="B17" s="119"/>
      <c r="C17" s="520" t="s">
        <v>198</v>
      </c>
      <c r="D17" s="119"/>
      <c r="E17" s="34"/>
      <c r="F17" s="119"/>
      <c r="G17" s="119"/>
      <c r="H17" s="119"/>
      <c r="I17" s="34"/>
      <c r="J17" s="119"/>
    </row>
    <row r="18" spans="1:14">
      <c r="A18" s="117">
        <v>4</v>
      </c>
      <c r="B18" s="127">
        <v>907</v>
      </c>
      <c r="C18" s="521" t="s">
        <v>996</v>
      </c>
      <c r="D18" s="749">
        <v>0</v>
      </c>
      <c r="E18" s="1171">
        <v>1</v>
      </c>
      <c r="F18" s="749">
        <f>D18*E18</f>
        <v>0</v>
      </c>
      <c r="G18" s="130"/>
      <c r="H18" s="749">
        <v>0</v>
      </c>
      <c r="I18" s="518">
        <f>E18</f>
        <v>1</v>
      </c>
      <c r="J18" s="736">
        <f>H18*I18</f>
        <v>0</v>
      </c>
    </row>
    <row r="19" spans="1:14">
      <c r="A19" s="117">
        <v>5</v>
      </c>
      <c r="B19" s="127">
        <v>908</v>
      </c>
      <c r="C19" s="521" t="s">
        <v>494</v>
      </c>
      <c r="D19" s="820">
        <v>0</v>
      </c>
      <c r="E19" s="434">
        <f>$E$18</f>
        <v>1</v>
      </c>
      <c r="F19" s="820">
        <f>D19*E19</f>
        <v>0</v>
      </c>
      <c r="G19" s="130"/>
      <c r="H19" s="820">
        <v>0</v>
      </c>
      <c r="I19" s="518">
        <f>E19</f>
        <v>1</v>
      </c>
      <c r="J19" s="522">
        <f>H19*I19</f>
        <v>0</v>
      </c>
    </row>
    <row r="20" spans="1:14">
      <c r="A20" s="117">
        <v>6</v>
      </c>
      <c r="B20" s="127">
        <v>909</v>
      </c>
      <c r="C20" s="521" t="s">
        <v>997</v>
      </c>
      <c r="D20" s="820">
        <f>'C.2.2 B 09'!P92</f>
        <v>125152.43264437889</v>
      </c>
      <c r="E20" s="434">
        <f>$E$18</f>
        <v>1</v>
      </c>
      <c r="F20" s="820">
        <f>D20*E20</f>
        <v>125152.43264437889</v>
      </c>
      <c r="G20" s="130"/>
      <c r="H20" s="820">
        <f>'C.2.2-F 09'!P92</f>
        <v>122977.93644900681</v>
      </c>
      <c r="I20" s="518">
        <f>E20</f>
        <v>1</v>
      </c>
      <c r="J20" s="522">
        <f>H20*I20</f>
        <v>122977.93644900681</v>
      </c>
    </row>
    <row r="21" spans="1:14">
      <c r="A21" s="117">
        <v>7</v>
      </c>
      <c r="B21" s="526">
        <v>910</v>
      </c>
      <c r="C21" s="521" t="s">
        <v>998</v>
      </c>
      <c r="D21" s="821">
        <v>0</v>
      </c>
      <c r="E21" s="434">
        <f>$E$18</f>
        <v>1</v>
      </c>
      <c r="F21" s="821">
        <f>D21*E21</f>
        <v>0</v>
      </c>
      <c r="G21" s="130"/>
      <c r="H21" s="821">
        <v>0</v>
      </c>
      <c r="I21" s="518">
        <f>E21</f>
        <v>1</v>
      </c>
      <c r="J21" s="524">
        <f>H21*I21</f>
        <v>0</v>
      </c>
    </row>
    <row r="22" spans="1:14">
      <c r="A22" s="117">
        <v>8</v>
      </c>
      <c r="B22" s="126"/>
      <c r="C22" s="525" t="s">
        <v>101</v>
      </c>
      <c r="D22" s="459">
        <f>SUM(D18:D21)</f>
        <v>125152.43264437889</v>
      </c>
      <c r="E22" s="1172"/>
      <c r="F22" s="459">
        <f>SUM(F18:F21)</f>
        <v>125152.43264437889</v>
      </c>
      <c r="G22" s="130"/>
      <c r="H22" s="459">
        <f>SUM(H18:H21)</f>
        <v>122977.93644900681</v>
      </c>
      <c r="I22" s="34"/>
      <c r="J22" s="404">
        <f>SUM(J18:J21)</f>
        <v>122977.93644900681</v>
      </c>
    </row>
    <row r="23" spans="1:14">
      <c r="A23" s="117">
        <v>9</v>
      </c>
      <c r="B23" s="126"/>
      <c r="C23" s="525"/>
      <c r="D23" s="806"/>
      <c r="E23" s="1172"/>
      <c r="F23" s="806"/>
      <c r="G23" s="130"/>
      <c r="H23" s="806"/>
      <c r="I23" s="34"/>
      <c r="J23" s="387"/>
    </row>
    <row r="24" spans="1:14" ht="15.75">
      <c r="A24" s="117">
        <v>10</v>
      </c>
      <c r="B24" s="126"/>
      <c r="C24" s="520" t="s">
        <v>83</v>
      </c>
      <c r="D24" s="806"/>
      <c r="E24" s="1172"/>
      <c r="F24" s="806"/>
      <c r="G24" s="130"/>
      <c r="H24" s="806"/>
      <c r="I24" s="34"/>
      <c r="J24" s="387"/>
    </row>
    <row r="25" spans="1:14">
      <c r="A25" s="117">
        <v>11</v>
      </c>
      <c r="B25" s="127">
        <v>907</v>
      </c>
      <c r="C25" s="521" t="s">
        <v>996</v>
      </c>
      <c r="D25" s="749">
        <v>0</v>
      </c>
      <c r="E25" s="1173">
        <f>Allocation!$I$17</f>
        <v>0.49090457251500325</v>
      </c>
      <c r="F25" s="459">
        <f>D25*E25</f>
        <v>0</v>
      </c>
      <c r="G25" s="130"/>
      <c r="H25" s="749">
        <v>0</v>
      </c>
      <c r="I25" s="523">
        <f>Allocation!$E$17</f>
        <v>0.49090457251500325</v>
      </c>
      <c r="J25" s="404">
        <f>H25*I25</f>
        <v>0</v>
      </c>
    </row>
    <row r="26" spans="1:14">
      <c r="A26" s="117">
        <v>12</v>
      </c>
      <c r="B26" s="127">
        <v>908</v>
      </c>
      <c r="C26" s="521" t="s">
        <v>494</v>
      </c>
      <c r="D26" s="820">
        <v>0</v>
      </c>
      <c r="E26" s="418">
        <f>$E$25</f>
        <v>0.49090457251500325</v>
      </c>
      <c r="F26" s="806">
        <f>D26*E26</f>
        <v>0</v>
      </c>
      <c r="G26" s="106"/>
      <c r="H26" s="820">
        <v>0</v>
      </c>
      <c r="I26" s="523">
        <f>I25</f>
        <v>0.49090457251500325</v>
      </c>
      <c r="J26" s="387">
        <f>H26*I26</f>
        <v>0</v>
      </c>
      <c r="N26" s="105"/>
    </row>
    <row r="27" spans="1:14">
      <c r="A27" s="117">
        <v>13</v>
      </c>
      <c r="B27" s="127">
        <v>909</v>
      </c>
      <c r="C27" s="521" t="s">
        <v>997</v>
      </c>
      <c r="D27" s="820">
        <v>0</v>
      </c>
      <c r="E27" s="418">
        <f>$E$25</f>
        <v>0.49090457251500325</v>
      </c>
      <c r="F27" s="806">
        <f>D27*E27</f>
        <v>0</v>
      </c>
      <c r="G27" s="106"/>
      <c r="H27" s="820">
        <v>0</v>
      </c>
      <c r="I27" s="523">
        <f>I25</f>
        <v>0.49090457251500325</v>
      </c>
      <c r="J27" s="387">
        <f>H27*I27</f>
        <v>0</v>
      </c>
    </row>
    <row r="28" spans="1:14">
      <c r="A28" s="117">
        <v>14</v>
      </c>
      <c r="B28" s="526">
        <v>910</v>
      </c>
      <c r="C28" s="521" t="s">
        <v>998</v>
      </c>
      <c r="D28" s="821">
        <f>'C.2.2 B 91'!P36</f>
        <v>663.98125786291905</v>
      </c>
      <c r="E28" s="418">
        <f>$E$25</f>
        <v>0.49090457251500325</v>
      </c>
      <c r="F28" s="1135">
        <f>D28*E28</f>
        <v>325.95143554917041</v>
      </c>
      <c r="G28" s="106"/>
      <c r="H28" s="821">
        <f>'C.2.2-F 91'!P34</f>
        <v>786.94027784387981</v>
      </c>
      <c r="I28" s="523">
        <f>I25</f>
        <v>0.49090457251500325</v>
      </c>
      <c r="J28" s="390">
        <f>H28*I28</f>
        <v>386.31258068978769</v>
      </c>
    </row>
    <row r="29" spans="1:14">
      <c r="A29" s="117">
        <v>15</v>
      </c>
      <c r="B29" s="76"/>
      <c r="C29" s="525" t="s">
        <v>101</v>
      </c>
      <c r="D29" s="459">
        <f>SUM(D25:D28)</f>
        <v>663.98125786291905</v>
      </c>
      <c r="E29" s="1172"/>
      <c r="F29" s="459">
        <f>SUM(F25:F28)</f>
        <v>325.95143554917041</v>
      </c>
      <c r="G29" s="130"/>
      <c r="H29" s="459">
        <f>SUM(H25:H28)</f>
        <v>786.94027784387981</v>
      </c>
      <c r="I29" s="34"/>
      <c r="J29" s="404">
        <f>SUM(J25:J28)</f>
        <v>386.31258068978769</v>
      </c>
    </row>
    <row r="30" spans="1:14">
      <c r="A30" s="117">
        <v>16</v>
      </c>
      <c r="B30" s="76"/>
      <c r="C30" s="525"/>
      <c r="D30" s="806"/>
      <c r="E30" s="1172"/>
      <c r="F30" s="806"/>
      <c r="G30" s="130"/>
      <c r="H30" s="806"/>
      <c r="I30" s="34"/>
      <c r="J30" s="387"/>
    </row>
    <row r="31" spans="1:14" ht="15.75">
      <c r="A31" s="117">
        <v>17</v>
      </c>
      <c r="B31" s="126"/>
      <c r="C31" s="520" t="s">
        <v>81</v>
      </c>
      <c r="D31" s="806"/>
      <c r="E31" s="106"/>
      <c r="F31" s="806"/>
      <c r="G31" s="106"/>
      <c r="H31" s="806"/>
      <c r="I31" s="523"/>
      <c r="J31" s="387"/>
    </row>
    <row r="32" spans="1:14">
      <c r="A32" s="117">
        <v>18</v>
      </c>
      <c r="B32" s="127">
        <v>907</v>
      </c>
      <c r="C32" s="521" t="s">
        <v>996</v>
      </c>
      <c r="D32" s="749">
        <v>0</v>
      </c>
      <c r="E32" s="418">
        <f>Allocation!$I$14</f>
        <v>5.2575879716356848E-2</v>
      </c>
      <c r="F32" s="459">
        <f>D32*E32</f>
        <v>0</v>
      </c>
      <c r="G32" s="106"/>
      <c r="H32" s="749">
        <v>0</v>
      </c>
      <c r="I32" s="419">
        <f>Allocation!$E$14</f>
        <v>5.2575879716356848E-2</v>
      </c>
      <c r="J32" s="404">
        <f>H32*I32</f>
        <v>0</v>
      </c>
    </row>
    <row r="33" spans="1:10">
      <c r="A33" s="117">
        <v>19</v>
      </c>
      <c r="B33" s="127">
        <v>908</v>
      </c>
      <c r="C33" s="521" t="s">
        <v>494</v>
      </c>
      <c r="D33" s="820">
        <v>0</v>
      </c>
      <c r="E33" s="418">
        <f>$E$32</f>
        <v>5.2575879716356848E-2</v>
      </c>
      <c r="F33" s="806">
        <f>D33*E33</f>
        <v>0</v>
      </c>
      <c r="G33" s="106"/>
      <c r="H33" s="820">
        <v>0</v>
      </c>
      <c r="I33" s="523">
        <f>I32</f>
        <v>5.2575879716356848E-2</v>
      </c>
      <c r="J33" s="387">
        <f>H33*I33</f>
        <v>0</v>
      </c>
    </row>
    <row r="34" spans="1:10">
      <c r="A34" s="117">
        <v>20</v>
      </c>
      <c r="B34" s="127">
        <v>909</v>
      </c>
      <c r="C34" s="521" t="s">
        <v>997</v>
      </c>
      <c r="D34" s="820">
        <v>0</v>
      </c>
      <c r="E34" s="418">
        <f>$E$32</f>
        <v>5.2575879716356848E-2</v>
      </c>
      <c r="F34" s="806">
        <f>D34*E34</f>
        <v>0</v>
      </c>
      <c r="G34" s="106"/>
      <c r="H34" s="820">
        <v>0</v>
      </c>
      <c r="I34" s="523">
        <f>I32</f>
        <v>5.2575879716356848E-2</v>
      </c>
      <c r="J34" s="387">
        <f>H34*I34</f>
        <v>0</v>
      </c>
    </row>
    <row r="35" spans="1:10">
      <c r="A35" s="117">
        <v>21</v>
      </c>
      <c r="B35" s="526">
        <v>910</v>
      </c>
      <c r="C35" s="521" t="s">
        <v>998</v>
      </c>
      <c r="D35" s="821">
        <f>'C.2.2 B 02'!P23</f>
        <v>1028.6683683249996</v>
      </c>
      <c r="E35" s="418">
        <f>$E$32</f>
        <v>5.2575879716356848E-2</v>
      </c>
      <c r="F35" s="1135">
        <f>D35*E35</f>
        <v>54.08314440107624</v>
      </c>
      <c r="G35" s="130"/>
      <c r="H35" s="821">
        <f>'C.2.2-F 02'!P21:P21</f>
        <v>1198.3998352485028</v>
      </c>
      <c r="I35" s="523">
        <f>I32</f>
        <v>5.2575879716356848E-2</v>
      </c>
      <c r="J35" s="390">
        <f>H35*I35</f>
        <v>63.006925590127146</v>
      </c>
    </row>
    <row r="36" spans="1:10">
      <c r="A36" s="117">
        <v>22</v>
      </c>
      <c r="B36" s="127"/>
      <c r="C36" s="525" t="s">
        <v>101</v>
      </c>
      <c r="D36" s="459">
        <f>SUM(D32:D35)</f>
        <v>1028.6683683249996</v>
      </c>
      <c r="E36" s="1172"/>
      <c r="F36" s="459">
        <f>SUM(F32:F35)</f>
        <v>54.08314440107624</v>
      </c>
      <c r="G36" s="130"/>
      <c r="H36" s="459">
        <f>SUM(H32:H35)</f>
        <v>1198.3998352485028</v>
      </c>
      <c r="I36" s="34"/>
      <c r="J36" s="404">
        <f>SUM(J32:J35)</f>
        <v>63.006925590127146</v>
      </c>
    </row>
    <row r="37" spans="1:10">
      <c r="A37" s="117">
        <v>23</v>
      </c>
      <c r="B37" s="127"/>
      <c r="C37" s="525"/>
      <c r="D37" s="806"/>
      <c r="E37" s="1172"/>
      <c r="F37" s="806"/>
      <c r="G37" s="130"/>
      <c r="H37" s="806"/>
      <c r="I37" s="34"/>
      <c r="J37" s="387"/>
    </row>
    <row r="38" spans="1:10" ht="15.75">
      <c r="A38" s="117">
        <v>24</v>
      </c>
      <c r="B38" s="126"/>
      <c r="C38" s="520" t="s">
        <v>82</v>
      </c>
      <c r="D38" s="806"/>
      <c r="E38" s="130"/>
      <c r="F38" s="806"/>
      <c r="G38" s="130"/>
      <c r="H38" s="806"/>
      <c r="I38" s="523"/>
      <c r="J38" s="387"/>
    </row>
    <row r="39" spans="1:10">
      <c r="A39" s="117">
        <v>25</v>
      </c>
      <c r="B39" s="127">
        <v>907</v>
      </c>
      <c r="C39" s="521" t="s">
        <v>996</v>
      </c>
      <c r="D39" s="749">
        <v>0</v>
      </c>
      <c r="E39" s="418">
        <f>Allocation!$I$15</f>
        <v>5.712253040952902E-2</v>
      </c>
      <c r="F39" s="459">
        <f>D39*E39</f>
        <v>0</v>
      </c>
      <c r="G39" s="130"/>
      <c r="H39" s="749">
        <v>0</v>
      </c>
      <c r="I39" s="419">
        <f>Allocation!$E$15</f>
        <v>5.712253040952902E-2</v>
      </c>
      <c r="J39" s="404">
        <f>H39*I39</f>
        <v>0</v>
      </c>
    </row>
    <row r="40" spans="1:10">
      <c r="A40" s="117">
        <v>26</v>
      </c>
      <c r="B40" s="127">
        <v>908</v>
      </c>
      <c r="C40" s="521" t="s">
        <v>494</v>
      </c>
      <c r="D40" s="820">
        <v>0</v>
      </c>
      <c r="E40" s="418">
        <f>$E$39</f>
        <v>5.712253040952902E-2</v>
      </c>
      <c r="F40" s="806">
        <f>D40*E40</f>
        <v>0</v>
      </c>
      <c r="G40" s="130"/>
      <c r="H40" s="820">
        <v>0</v>
      </c>
      <c r="I40" s="523">
        <f>I39</f>
        <v>5.712253040952902E-2</v>
      </c>
      <c r="J40" s="387">
        <f>H40*I40</f>
        <v>0</v>
      </c>
    </row>
    <row r="41" spans="1:10">
      <c r="A41" s="117">
        <v>27</v>
      </c>
      <c r="B41" s="127">
        <v>909</v>
      </c>
      <c r="C41" s="521" t="s">
        <v>997</v>
      </c>
      <c r="D41" s="820">
        <v>0</v>
      </c>
      <c r="E41" s="418">
        <f>$E$39</f>
        <v>5.712253040952902E-2</v>
      </c>
      <c r="F41" s="806">
        <f>D41*E41</f>
        <v>0</v>
      </c>
      <c r="G41" s="130"/>
      <c r="H41" s="820">
        <v>0</v>
      </c>
      <c r="I41" s="523">
        <f>I39</f>
        <v>5.712253040952902E-2</v>
      </c>
      <c r="J41" s="387">
        <f>H41*I41</f>
        <v>0</v>
      </c>
    </row>
    <row r="42" spans="1:10">
      <c r="A42" s="117">
        <v>28</v>
      </c>
      <c r="B42" s="526">
        <v>910</v>
      </c>
      <c r="C42" s="521" t="s">
        <v>998</v>
      </c>
      <c r="D42" s="820">
        <v>0</v>
      </c>
      <c r="E42" s="418">
        <f>$E$39</f>
        <v>5.712253040952902E-2</v>
      </c>
      <c r="F42" s="1135">
        <f>D42*E42</f>
        <v>0</v>
      </c>
      <c r="G42" s="130"/>
      <c r="H42" s="820">
        <v>0</v>
      </c>
      <c r="I42" s="523">
        <f>I39</f>
        <v>5.712253040952902E-2</v>
      </c>
      <c r="J42" s="390">
        <f>H42*I42</f>
        <v>0</v>
      </c>
    </row>
    <row r="43" spans="1:10">
      <c r="A43" s="117">
        <v>29</v>
      </c>
      <c r="B43" s="127"/>
      <c r="C43" s="525" t="s">
        <v>101</v>
      </c>
      <c r="D43" s="459">
        <f>SUM(D39:D42)</f>
        <v>0</v>
      </c>
      <c r="E43" s="1172"/>
      <c r="F43" s="459">
        <f>SUM(F39:F42)</f>
        <v>0</v>
      </c>
      <c r="G43" s="130"/>
      <c r="H43" s="459">
        <f>SUM(H39:H42)</f>
        <v>0</v>
      </c>
      <c r="I43" s="34"/>
      <c r="J43" s="404">
        <f>SUM(J39:J42)</f>
        <v>0</v>
      </c>
    </row>
    <row r="44" spans="1:10">
      <c r="A44" s="117">
        <v>30</v>
      </c>
      <c r="B44" s="127"/>
      <c r="C44" s="525"/>
      <c r="D44" s="806"/>
      <c r="E44" s="1172"/>
      <c r="F44" s="806"/>
      <c r="G44" s="130"/>
      <c r="H44" s="806"/>
      <c r="I44" s="34"/>
      <c r="J44" s="387"/>
    </row>
    <row r="45" spans="1:10" ht="15.75">
      <c r="A45" s="117">
        <v>31</v>
      </c>
      <c r="B45" s="127"/>
      <c r="C45" s="519" t="s">
        <v>509</v>
      </c>
      <c r="D45" s="806"/>
      <c r="E45" s="1172"/>
      <c r="F45" s="806"/>
      <c r="G45" s="130"/>
      <c r="H45" s="806"/>
      <c r="I45" s="34"/>
      <c r="J45" s="387"/>
    </row>
    <row r="46" spans="1:10">
      <c r="A46" s="117">
        <v>32</v>
      </c>
      <c r="B46" s="126"/>
      <c r="D46" s="806"/>
      <c r="E46" s="130"/>
      <c r="F46" s="806" t="s">
        <v>332</v>
      </c>
      <c r="G46" s="130"/>
      <c r="H46" s="806"/>
      <c r="I46" s="130"/>
      <c r="J46" s="387" t="s">
        <v>332</v>
      </c>
    </row>
    <row r="47" spans="1:10" ht="15.75">
      <c r="A47" s="117">
        <v>33</v>
      </c>
      <c r="B47" s="126"/>
      <c r="C47" s="520" t="s">
        <v>198</v>
      </c>
      <c r="D47" s="806"/>
      <c r="E47" s="130"/>
      <c r="F47" s="806"/>
      <c r="G47" s="130"/>
      <c r="H47" s="806"/>
      <c r="I47" s="130"/>
      <c r="J47" s="387"/>
    </row>
    <row r="48" spans="1:10">
      <c r="A48" s="117">
        <v>34</v>
      </c>
      <c r="B48" s="127">
        <v>911</v>
      </c>
      <c r="C48" s="521" t="s">
        <v>493</v>
      </c>
      <c r="D48" s="749">
        <f>'C.2.2 B 09'!P94</f>
        <v>257746.70503193676</v>
      </c>
      <c r="E48" s="434">
        <f>E18</f>
        <v>1</v>
      </c>
      <c r="F48" s="749">
        <f>D48*E48</f>
        <v>257746.70503193676</v>
      </c>
      <c r="G48" s="130"/>
      <c r="H48" s="749">
        <f>'C.2.2-F 09'!P94</f>
        <v>252261.0435620413</v>
      </c>
      <c r="I48" s="434">
        <f>I18</f>
        <v>1</v>
      </c>
      <c r="J48" s="736">
        <f>H48</f>
        <v>252261.0435620413</v>
      </c>
    </row>
    <row r="49" spans="1:10">
      <c r="A49" s="117">
        <v>35</v>
      </c>
      <c r="B49" s="127">
        <v>912</v>
      </c>
      <c r="C49" s="521" t="s">
        <v>999</v>
      </c>
      <c r="D49" s="820">
        <f>'C.2.2 B 09'!P95</f>
        <v>56174.592297134361</v>
      </c>
      <c r="E49" s="434">
        <f t="shared" ref="E49:E72" si="0">E19</f>
        <v>1</v>
      </c>
      <c r="F49" s="820">
        <f>D49*E49</f>
        <v>56174.592297134361</v>
      </c>
      <c r="G49" s="130"/>
      <c r="H49" s="820">
        <f>'C.2.2-F 09'!P95</f>
        <v>54617.941221711779</v>
      </c>
      <c r="I49" s="434">
        <f t="shared" ref="I49:I72" si="1">I19</f>
        <v>1</v>
      </c>
      <c r="J49" s="522">
        <f>H49</f>
        <v>54617.941221711779</v>
      </c>
    </row>
    <row r="50" spans="1:10">
      <c r="A50" s="117">
        <v>36</v>
      </c>
      <c r="B50" s="127">
        <v>913</v>
      </c>
      <c r="C50" s="521" t="s">
        <v>973</v>
      </c>
      <c r="D50" s="820">
        <f>'C.2.2 B 09'!P96</f>
        <v>23114.350742867809</v>
      </c>
      <c r="E50" s="434">
        <f t="shared" si="0"/>
        <v>1</v>
      </c>
      <c r="F50" s="820">
        <f>D50*E50</f>
        <v>23114.350742867809</v>
      </c>
      <c r="G50" s="130"/>
      <c r="H50" s="820">
        <f>'C.2.2-F 09'!P96</f>
        <v>22473.830225135178</v>
      </c>
      <c r="I50" s="434">
        <f t="shared" si="1"/>
        <v>1</v>
      </c>
      <c r="J50" s="522">
        <f>H50</f>
        <v>22473.830225135178</v>
      </c>
    </row>
    <row r="51" spans="1:10">
      <c r="A51" s="117">
        <v>37</v>
      </c>
      <c r="B51" s="526">
        <v>916</v>
      </c>
      <c r="C51" s="521" t="s">
        <v>974</v>
      </c>
      <c r="D51" s="821">
        <v>0</v>
      </c>
      <c r="E51" s="434">
        <f t="shared" si="0"/>
        <v>1</v>
      </c>
      <c r="F51" s="821">
        <f>D51*E51</f>
        <v>0</v>
      </c>
      <c r="G51" s="130"/>
      <c r="H51" s="821">
        <v>0</v>
      </c>
      <c r="I51" s="434">
        <f t="shared" si="1"/>
        <v>1</v>
      </c>
      <c r="J51" s="524">
        <f>H51</f>
        <v>0</v>
      </c>
    </row>
    <row r="52" spans="1:10">
      <c r="A52" s="117">
        <v>38</v>
      </c>
      <c r="B52" s="126"/>
      <c r="C52" s="527" t="s">
        <v>101</v>
      </c>
      <c r="D52" s="459">
        <f>SUM(D48:D51)</f>
        <v>337035.64807193889</v>
      </c>
      <c r="E52" s="434"/>
      <c r="F52" s="459">
        <f>SUM(F48:F51)</f>
        <v>337035.64807193889</v>
      </c>
      <c r="G52" s="130"/>
      <c r="H52" s="459">
        <f>SUM(H48:H51)</f>
        <v>329352.81500888825</v>
      </c>
      <c r="I52" s="434"/>
      <c r="J52" s="404">
        <f>SUM(J48:J51)</f>
        <v>329352.81500888825</v>
      </c>
    </row>
    <row r="53" spans="1:10">
      <c r="A53" s="117">
        <v>39</v>
      </c>
      <c r="B53" s="126"/>
      <c r="C53" s="119"/>
      <c r="D53" s="130"/>
      <c r="E53" s="434"/>
      <c r="F53" s="130"/>
      <c r="G53" s="130"/>
      <c r="H53" s="130"/>
      <c r="I53" s="434"/>
      <c r="J53" s="119"/>
    </row>
    <row r="54" spans="1:10" ht="15.75">
      <c r="A54" s="117">
        <v>40</v>
      </c>
      <c r="B54" s="126"/>
      <c r="C54" s="520" t="s">
        <v>83</v>
      </c>
      <c r="D54" s="130"/>
      <c r="E54" s="434"/>
      <c r="F54" s="130"/>
      <c r="G54" s="130"/>
      <c r="H54" s="130"/>
      <c r="I54" s="434"/>
      <c r="J54" s="119"/>
    </row>
    <row r="55" spans="1:10">
      <c r="A55" s="117">
        <v>41</v>
      </c>
      <c r="B55" s="127">
        <v>911</v>
      </c>
      <c r="C55" s="521" t="s">
        <v>493</v>
      </c>
      <c r="D55" s="459">
        <f>'C.2.2 B 91'!P37</f>
        <v>143003.10909029009</v>
      </c>
      <c r="E55" s="418">
        <f t="shared" si="0"/>
        <v>0.49090457251500325</v>
      </c>
      <c r="F55" s="459">
        <f>D55*E55</f>
        <v>70200.880136285225</v>
      </c>
      <c r="G55" s="130"/>
      <c r="H55" s="459">
        <f>'C.2.2-F 91'!P35</f>
        <v>159108.40185221989</v>
      </c>
      <c r="I55" s="418">
        <f t="shared" si="1"/>
        <v>0.49090457251500325</v>
      </c>
      <c r="J55" s="404">
        <f>H55*I55</f>
        <v>78107.041994809362</v>
      </c>
    </row>
    <row r="56" spans="1:10">
      <c r="A56" s="117">
        <v>42</v>
      </c>
      <c r="B56" s="127">
        <v>912</v>
      </c>
      <c r="C56" s="521" t="s">
        <v>999</v>
      </c>
      <c r="D56" s="130">
        <f>'C.2.2 B 91'!P38</f>
        <v>415.64794962499025</v>
      </c>
      <c r="E56" s="418">
        <f t="shared" si="0"/>
        <v>0.49090457251500325</v>
      </c>
      <c r="F56" s="130">
        <f>D56*E56</f>
        <v>204.04347902739343</v>
      </c>
      <c r="G56" s="130"/>
      <c r="H56" s="130">
        <f>'C.2.2-F 91'!P36</f>
        <v>492.61949654406885</v>
      </c>
      <c r="I56" s="418">
        <f t="shared" si="1"/>
        <v>0.49090457251500325</v>
      </c>
      <c r="J56" s="119">
        <f>H56*I56</f>
        <v>241.82916336352224</v>
      </c>
    </row>
    <row r="57" spans="1:10">
      <c r="A57" s="117">
        <v>43</v>
      </c>
      <c r="B57" s="127">
        <v>913</v>
      </c>
      <c r="C57" s="521" t="s">
        <v>973</v>
      </c>
      <c r="D57" s="130">
        <f>'C.2.2 B 91'!P39</f>
        <v>7407.9307091690362</v>
      </c>
      <c r="E57" s="418">
        <f t="shared" si="0"/>
        <v>0.49090457251500325</v>
      </c>
      <c r="F57" s="130">
        <f>D57*E57</f>
        <v>3636.5870580053906</v>
      </c>
      <c r="G57" s="130"/>
      <c r="H57" s="130">
        <f>'C.2.2-F 91'!P37</f>
        <v>8779.7644609499366</v>
      </c>
      <c r="I57" s="418">
        <f t="shared" si="1"/>
        <v>0.49090457251500325</v>
      </c>
      <c r="J57" s="119">
        <f>H57*I57</f>
        <v>4310.0265194850463</v>
      </c>
    </row>
    <row r="58" spans="1:10">
      <c r="A58" s="117">
        <v>44</v>
      </c>
      <c r="B58" s="526">
        <v>916</v>
      </c>
      <c r="C58" s="521" t="s">
        <v>974</v>
      </c>
      <c r="D58" s="1174">
        <v>0</v>
      </c>
      <c r="E58" s="418">
        <f t="shared" si="0"/>
        <v>0.49090457251500325</v>
      </c>
      <c r="F58" s="1174">
        <f>D58*E58</f>
        <v>0</v>
      </c>
      <c r="G58" s="130"/>
      <c r="H58" s="1174">
        <v>0</v>
      </c>
      <c r="I58" s="418">
        <f t="shared" si="1"/>
        <v>0.49090457251500325</v>
      </c>
      <c r="J58" s="122">
        <f>H58*I58</f>
        <v>0</v>
      </c>
    </row>
    <row r="59" spans="1:10">
      <c r="A59" s="117">
        <v>45</v>
      </c>
      <c r="B59" s="126"/>
      <c r="C59" s="527" t="s">
        <v>101</v>
      </c>
      <c r="D59" s="459">
        <f>SUM(D55:D58)</f>
        <v>150826.68774908411</v>
      </c>
      <c r="E59" s="434"/>
      <c r="F59" s="459">
        <f>SUM(F55:F58)</f>
        <v>74041.510673318</v>
      </c>
      <c r="G59" s="130"/>
      <c r="H59" s="459">
        <f>SUM(H55:H58)</f>
        <v>168380.78580971388</v>
      </c>
      <c r="I59" s="418"/>
      <c r="J59" s="404">
        <f>SUM(J55:J58)</f>
        <v>82658.897677657937</v>
      </c>
    </row>
    <row r="60" spans="1:10">
      <c r="A60" s="117">
        <v>46</v>
      </c>
      <c r="B60" s="741"/>
      <c r="C60" s="119"/>
      <c r="D60" s="130"/>
      <c r="E60" s="418"/>
      <c r="F60" s="130"/>
      <c r="G60" s="130"/>
      <c r="H60" s="130"/>
      <c r="I60" s="418"/>
      <c r="J60" s="119"/>
    </row>
    <row r="61" spans="1:10" ht="15.75">
      <c r="A61" s="117">
        <v>47</v>
      </c>
      <c r="B61" s="126"/>
      <c r="C61" s="520" t="s">
        <v>81</v>
      </c>
      <c r="D61" s="130"/>
      <c r="E61" s="418"/>
      <c r="F61" s="130"/>
      <c r="G61" s="130"/>
      <c r="H61" s="130"/>
      <c r="I61" s="418"/>
      <c r="J61" s="119"/>
    </row>
    <row r="62" spans="1:10">
      <c r="A62" s="117">
        <v>48</v>
      </c>
      <c r="B62" s="127">
        <v>911</v>
      </c>
      <c r="C62" s="521" t="s">
        <v>493</v>
      </c>
      <c r="D62" s="459">
        <v>0</v>
      </c>
      <c r="E62" s="418">
        <f t="shared" si="0"/>
        <v>5.2575879716356848E-2</v>
      </c>
      <c r="F62" s="459">
        <f>D62*E62</f>
        <v>0</v>
      </c>
      <c r="G62" s="130"/>
      <c r="H62" s="459">
        <v>0</v>
      </c>
      <c r="I62" s="418">
        <f t="shared" si="1"/>
        <v>5.2575879716356848E-2</v>
      </c>
      <c r="J62" s="404">
        <f>H62*I62</f>
        <v>0</v>
      </c>
    </row>
    <row r="63" spans="1:10">
      <c r="A63" s="117">
        <v>49</v>
      </c>
      <c r="B63" s="127">
        <v>912</v>
      </c>
      <c r="C63" s="521" t="s">
        <v>999</v>
      </c>
      <c r="D63" s="806">
        <f>'C.2.2 B 02'!P24</f>
        <v>5898.9068447461514</v>
      </c>
      <c r="E63" s="418">
        <f t="shared" si="0"/>
        <v>5.2575879716356848E-2</v>
      </c>
      <c r="F63" s="806">
        <f>D63*E63</f>
        <v>310.14021672736777</v>
      </c>
      <c r="G63" s="130"/>
      <c r="H63" s="806">
        <f>'C.2.2-F 02'!P22</f>
        <v>4960.8645427549118</v>
      </c>
      <c r="I63" s="418">
        <f t="shared" si="1"/>
        <v>5.2575879716356848E-2</v>
      </c>
      <c r="J63" s="387">
        <f>H63*I63</f>
        <v>260.82181748902184</v>
      </c>
    </row>
    <row r="64" spans="1:10">
      <c r="A64" s="117">
        <v>50</v>
      </c>
      <c r="B64" s="127">
        <v>913</v>
      </c>
      <c r="C64" s="521" t="s">
        <v>973</v>
      </c>
      <c r="D64" s="806">
        <v>0</v>
      </c>
      <c r="E64" s="418">
        <f t="shared" si="0"/>
        <v>5.2575879716356848E-2</v>
      </c>
      <c r="F64" s="806">
        <f>D64*E64</f>
        <v>0</v>
      </c>
      <c r="G64" s="130"/>
      <c r="H64" s="806">
        <v>0</v>
      </c>
      <c r="I64" s="418">
        <f t="shared" si="1"/>
        <v>5.2575879716356848E-2</v>
      </c>
      <c r="J64" s="387">
        <f>H64*I64</f>
        <v>0</v>
      </c>
    </row>
    <row r="65" spans="1:10">
      <c r="A65" s="117">
        <v>51</v>
      </c>
      <c r="B65" s="526">
        <v>916</v>
      </c>
      <c r="C65" s="521" t="s">
        <v>974</v>
      </c>
      <c r="D65" s="1135">
        <v>0</v>
      </c>
      <c r="E65" s="418">
        <f t="shared" si="0"/>
        <v>5.2575879716356848E-2</v>
      </c>
      <c r="F65" s="1135">
        <f>D65*E65</f>
        <v>0</v>
      </c>
      <c r="G65" s="130"/>
      <c r="H65" s="1135">
        <v>0</v>
      </c>
      <c r="I65" s="418">
        <f t="shared" si="1"/>
        <v>5.2575879716356848E-2</v>
      </c>
      <c r="J65" s="390">
        <f>H65*I65</f>
        <v>0</v>
      </c>
    </row>
    <row r="66" spans="1:10">
      <c r="A66" s="117">
        <v>52</v>
      </c>
      <c r="B66" s="126"/>
      <c r="C66" s="527" t="s">
        <v>101</v>
      </c>
      <c r="D66" s="459">
        <f>SUM(D62:D65)</f>
        <v>5898.9068447461514</v>
      </c>
      <c r="E66" s="434"/>
      <c r="F66" s="459">
        <f>SUM(F62:F65)</f>
        <v>310.14021672736777</v>
      </c>
      <c r="G66" s="130"/>
      <c r="H66" s="459">
        <f>SUM(H62:H65)</f>
        <v>4960.8645427549118</v>
      </c>
      <c r="I66" s="418"/>
      <c r="J66" s="404">
        <f>SUM(J62:J65)</f>
        <v>260.82181748902184</v>
      </c>
    </row>
    <row r="67" spans="1:10">
      <c r="A67" s="117">
        <v>53</v>
      </c>
      <c r="B67" s="741"/>
      <c r="C67" s="119"/>
      <c r="D67" s="130"/>
      <c r="E67" s="418"/>
      <c r="F67" s="130"/>
      <c r="G67" s="130"/>
      <c r="H67" s="130"/>
      <c r="I67" s="418"/>
      <c r="J67" s="119"/>
    </row>
    <row r="68" spans="1:10" ht="15.75">
      <c r="A68" s="117">
        <v>54</v>
      </c>
      <c r="B68" s="126"/>
      <c r="C68" s="520" t="s">
        <v>82</v>
      </c>
      <c r="D68" s="130"/>
      <c r="E68" s="418"/>
      <c r="F68" s="130"/>
      <c r="G68" s="130"/>
      <c r="H68" s="130"/>
      <c r="I68" s="418"/>
      <c r="J68" s="119"/>
    </row>
    <row r="69" spans="1:10">
      <c r="A69" s="117">
        <v>55</v>
      </c>
      <c r="B69" s="127">
        <v>911</v>
      </c>
      <c r="C69" s="521" t="s">
        <v>493</v>
      </c>
      <c r="D69" s="459">
        <v>0</v>
      </c>
      <c r="E69" s="418">
        <f t="shared" si="0"/>
        <v>5.712253040952902E-2</v>
      </c>
      <c r="F69" s="459">
        <f>D69*E69</f>
        <v>0</v>
      </c>
      <c r="G69" s="130"/>
      <c r="H69" s="459">
        <v>0</v>
      </c>
      <c r="I69" s="418">
        <f t="shared" si="1"/>
        <v>5.712253040952902E-2</v>
      </c>
      <c r="J69" s="404">
        <f>H69*I69</f>
        <v>0</v>
      </c>
    </row>
    <row r="70" spans="1:10">
      <c r="A70" s="117">
        <v>56</v>
      </c>
      <c r="B70" s="127">
        <v>912</v>
      </c>
      <c r="C70" s="521" t="s">
        <v>999</v>
      </c>
      <c r="D70" s="806">
        <v>0</v>
      </c>
      <c r="E70" s="418">
        <f t="shared" si="0"/>
        <v>5.712253040952902E-2</v>
      </c>
      <c r="F70" s="806">
        <f>D70*E70</f>
        <v>0</v>
      </c>
      <c r="G70" s="130"/>
      <c r="H70" s="806">
        <v>0</v>
      </c>
      <c r="I70" s="418">
        <f t="shared" si="1"/>
        <v>5.712253040952902E-2</v>
      </c>
      <c r="J70" s="387">
        <f>H70*I70</f>
        <v>0</v>
      </c>
    </row>
    <row r="71" spans="1:10">
      <c r="A71" s="117">
        <v>57</v>
      </c>
      <c r="B71" s="127">
        <v>913</v>
      </c>
      <c r="C71" s="521" t="s">
        <v>973</v>
      </c>
      <c r="D71" s="806">
        <v>0</v>
      </c>
      <c r="E71" s="418">
        <f t="shared" si="0"/>
        <v>5.712253040952902E-2</v>
      </c>
      <c r="F71" s="806">
        <f>D71*E71</f>
        <v>0</v>
      </c>
      <c r="G71" s="130"/>
      <c r="H71" s="806">
        <v>0</v>
      </c>
      <c r="I71" s="418">
        <f t="shared" si="1"/>
        <v>5.712253040952902E-2</v>
      </c>
      <c r="J71" s="387">
        <f>H71*I71</f>
        <v>0</v>
      </c>
    </row>
    <row r="72" spans="1:10">
      <c r="A72" s="117">
        <v>58</v>
      </c>
      <c r="B72" s="526">
        <v>916</v>
      </c>
      <c r="C72" s="521" t="s">
        <v>974</v>
      </c>
      <c r="D72" s="1135">
        <v>0</v>
      </c>
      <c r="E72" s="418">
        <f t="shared" si="0"/>
        <v>5.712253040952902E-2</v>
      </c>
      <c r="F72" s="1135">
        <f>D72*E72</f>
        <v>0</v>
      </c>
      <c r="G72" s="130"/>
      <c r="H72" s="1135">
        <v>0</v>
      </c>
      <c r="I72" s="418">
        <f t="shared" si="1"/>
        <v>5.712253040952902E-2</v>
      </c>
      <c r="J72" s="390">
        <f>H72*I72</f>
        <v>0</v>
      </c>
    </row>
    <row r="73" spans="1:10">
      <c r="A73" s="117">
        <v>59</v>
      </c>
      <c r="B73" s="119"/>
      <c r="C73" s="527" t="s">
        <v>101</v>
      </c>
      <c r="D73" s="404">
        <f>SUM(D69:D72)</f>
        <v>0</v>
      </c>
      <c r="E73" s="435"/>
      <c r="F73" s="404">
        <f>SUM(F69:F72)</f>
        <v>0</v>
      </c>
      <c r="G73" s="119"/>
      <c r="H73" s="404">
        <f>SUM(H69:H72)</f>
        <v>0</v>
      </c>
      <c r="I73" s="434"/>
      <c r="J73" s="404">
        <f>SUM(J69:J72)</f>
        <v>0</v>
      </c>
    </row>
    <row r="76" spans="1:10">
      <c r="B76" s="835" t="s">
        <v>1105</v>
      </c>
      <c r="C76" s="106"/>
      <c r="D76" s="106"/>
      <c r="E76" s="106"/>
      <c r="F76" s="106"/>
      <c r="G76" s="106"/>
      <c r="H76" s="106"/>
      <c r="I76" s="106"/>
    </row>
    <row r="77" spans="1:10">
      <c r="B77" s="835" t="s">
        <v>1248</v>
      </c>
      <c r="C77" s="106"/>
      <c r="D77" s="106"/>
      <c r="E77" s="106"/>
      <c r="F77" s="106"/>
      <c r="G77" s="106"/>
      <c r="H77" s="106"/>
      <c r="I77" s="106"/>
    </row>
    <row r="79" spans="1:10">
      <c r="C79" s="768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1"/>
  <sheetViews>
    <sheetView view="pageBreakPreview" zoomScale="60" zoomScaleNormal="90" workbookViewId="0">
      <selection sqref="A1:K1"/>
    </sheetView>
  </sheetViews>
  <sheetFormatPr defaultRowHeight="15"/>
  <cols>
    <col min="1" max="1" width="4.109375" customWidth="1"/>
    <col min="2" max="2" width="38.33203125" customWidth="1"/>
    <col min="3" max="6" width="11.6640625" customWidth="1"/>
    <col min="7" max="7" width="10.109375" customWidth="1"/>
    <col min="8" max="8" width="4.109375" customWidth="1"/>
    <col min="9" max="9" width="11.33203125" customWidth="1"/>
    <col min="10" max="10" width="10.77734375" customWidth="1"/>
    <col min="11" max="11" width="12.44140625" bestFit="1" customWidth="1"/>
  </cols>
  <sheetData>
    <row r="1" spans="1:12" ht="15.75">
      <c r="A1" s="1271" t="str">
        <f>'Table of Contents'!A1:C1</f>
        <v>Atmos Energy Corporation, Kentucky/Mid-States Division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19"/>
    </row>
    <row r="2" spans="1:12" ht="15.75">
      <c r="A2" s="1271" t="str">
        <f>'Table of Contents'!A2:C2</f>
        <v>Kentucky Jurisdiction Case No. 2015-00343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19"/>
    </row>
    <row r="3" spans="1:12" ht="15.75">
      <c r="A3" s="1271" t="s">
        <v>1249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768"/>
    </row>
    <row r="4" spans="1:12" ht="15.75">
      <c r="A4" s="1271" t="str">
        <f>'Table of Contents'!A4:C4</f>
        <v>Forecasted Test Period: Twelve Months Ended May 31, 2017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768"/>
    </row>
    <row r="5" spans="1:12" ht="15.75">
      <c r="A5" s="1271"/>
      <c r="B5" s="1271"/>
      <c r="C5" s="1271"/>
      <c r="D5" s="1271"/>
      <c r="E5" s="1271"/>
      <c r="F5" s="1271"/>
      <c r="G5" s="1271"/>
      <c r="H5" s="1271"/>
      <c r="I5" s="1271"/>
      <c r="J5" s="1271"/>
      <c r="K5" s="1271"/>
      <c r="L5" s="119"/>
    </row>
    <row r="6" spans="1:12" ht="15.75">
      <c r="A6" s="12"/>
      <c r="B6" s="12"/>
      <c r="C6" s="119"/>
      <c r="D6" s="119"/>
      <c r="E6" s="769"/>
      <c r="F6" s="119"/>
      <c r="G6" s="119"/>
      <c r="H6" s="119"/>
      <c r="I6" s="119"/>
      <c r="J6" s="119"/>
      <c r="K6" s="119"/>
      <c r="L6" s="119"/>
    </row>
    <row r="7" spans="1:12" ht="15.75">
      <c r="A7" s="12"/>
      <c r="B7" s="12"/>
      <c r="C7" s="119"/>
      <c r="D7" s="119"/>
      <c r="E7" s="119"/>
      <c r="F7" s="119"/>
      <c r="G7" s="119"/>
      <c r="H7" s="119"/>
      <c r="I7" s="119"/>
      <c r="K7" s="119"/>
      <c r="L7" s="119"/>
    </row>
    <row r="8" spans="1:12">
      <c r="A8" s="95" t="s">
        <v>141</v>
      </c>
      <c r="B8" s="119"/>
      <c r="C8" s="119"/>
      <c r="D8" s="119"/>
      <c r="E8" s="119"/>
      <c r="F8" s="119"/>
      <c r="G8" s="119"/>
      <c r="H8" s="119"/>
      <c r="I8" s="119"/>
      <c r="K8" s="488" t="s">
        <v>1504</v>
      </c>
      <c r="L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H9" s="119"/>
      <c r="I9" s="119"/>
      <c r="K9" s="733" t="s">
        <v>1340</v>
      </c>
      <c r="L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119"/>
      <c r="I10" s="119"/>
      <c r="J10" s="81"/>
      <c r="K10" s="734" t="str">
        <f>F.1!$F$9</f>
        <v>Witness: Waller</v>
      </c>
      <c r="L10" s="119"/>
    </row>
    <row r="11" spans="1:12" ht="15.75">
      <c r="A11" s="161"/>
      <c r="B11" s="161"/>
      <c r="C11" s="1272" t="s">
        <v>333</v>
      </c>
      <c r="D11" s="1273"/>
      <c r="E11" s="1273"/>
      <c r="F11" s="1273"/>
      <c r="G11" s="1274"/>
      <c r="H11" s="161"/>
      <c r="I11" s="738"/>
      <c r="J11" s="739" t="s">
        <v>334</v>
      </c>
      <c r="K11" s="740"/>
      <c r="L11" s="119"/>
    </row>
    <row r="12" spans="1:12" ht="15.75">
      <c r="A12" s="120"/>
      <c r="B12" s="120"/>
      <c r="C12" s="528" t="s">
        <v>21</v>
      </c>
      <c r="D12" s="575" t="s">
        <v>1196</v>
      </c>
      <c r="E12" s="120"/>
      <c r="F12" s="582"/>
      <c r="G12" s="120"/>
      <c r="H12" s="120"/>
      <c r="I12" s="528" t="s">
        <v>21</v>
      </c>
      <c r="J12" s="582"/>
      <c r="K12" s="120"/>
      <c r="L12" s="119"/>
    </row>
    <row r="13" spans="1:12">
      <c r="A13" s="127" t="s">
        <v>98</v>
      </c>
      <c r="B13" s="127" t="s">
        <v>587</v>
      </c>
      <c r="C13" s="127" t="s">
        <v>623</v>
      </c>
      <c r="D13" s="164" t="s">
        <v>1197</v>
      </c>
      <c r="E13" s="127" t="s">
        <v>101</v>
      </c>
      <c r="F13" s="76" t="s">
        <v>11</v>
      </c>
      <c r="G13" s="126" t="s">
        <v>12</v>
      </c>
      <c r="H13" s="126"/>
      <c r="I13" s="127" t="s">
        <v>623</v>
      </c>
      <c r="J13" s="126" t="str">
        <f>F13</f>
        <v xml:space="preserve">Kentucky </v>
      </c>
      <c r="K13" s="126" t="s">
        <v>1000</v>
      </c>
      <c r="L13" s="119"/>
    </row>
    <row r="14" spans="1:12">
      <c r="A14" s="128" t="s">
        <v>104</v>
      </c>
      <c r="B14" s="128" t="s">
        <v>1101</v>
      </c>
      <c r="C14" s="538" t="s">
        <v>973</v>
      </c>
      <c r="D14" s="583" t="s">
        <v>973</v>
      </c>
      <c r="E14" s="128" t="s">
        <v>609</v>
      </c>
      <c r="F14" s="84" t="s">
        <v>102</v>
      </c>
      <c r="G14" s="128" t="s">
        <v>109</v>
      </c>
      <c r="H14" s="128"/>
      <c r="I14" s="538" t="s">
        <v>973</v>
      </c>
      <c r="J14" s="128" t="str">
        <f>F14</f>
        <v>Jurisdictional</v>
      </c>
      <c r="K14" s="128" t="s">
        <v>109</v>
      </c>
      <c r="L14" s="119"/>
    </row>
    <row r="15" spans="1: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410"/>
    </row>
    <row r="17" spans="1:16" ht="15.75">
      <c r="A17" s="117">
        <v>1</v>
      </c>
      <c r="B17" s="565" t="s">
        <v>198</v>
      </c>
      <c r="C17" s="489"/>
      <c r="D17" s="489"/>
      <c r="E17" s="489"/>
      <c r="F17" s="100"/>
      <c r="G17" s="493"/>
      <c r="H17" s="100"/>
      <c r="I17" s="489"/>
      <c r="J17" s="100"/>
      <c r="K17" s="493"/>
      <c r="L17" s="363"/>
    </row>
    <row r="18" spans="1:16">
      <c r="A18" s="117">
        <v>2</v>
      </c>
      <c r="B18" s="497" t="s">
        <v>818</v>
      </c>
      <c r="C18" s="424">
        <v>32916.762107525225</v>
      </c>
      <c r="D18" s="424">
        <v>2962.1859884588271</v>
      </c>
      <c r="E18" s="424">
        <f>SUM(C18:D18)</f>
        <v>35878.948095984051</v>
      </c>
      <c r="F18" s="567">
        <v>1</v>
      </c>
      <c r="G18" s="424">
        <f>E18*F18</f>
        <v>35878.948095984051</v>
      </c>
      <c r="H18" s="100"/>
      <c r="I18" s="424">
        <f>C18</f>
        <v>32916.762107525225</v>
      </c>
      <c r="J18" s="567">
        <f>F18</f>
        <v>1</v>
      </c>
      <c r="K18" s="424">
        <f>I18*J18</f>
        <v>32916.762107525225</v>
      </c>
      <c r="L18" s="363"/>
    </row>
    <row r="19" spans="1:16">
      <c r="A19" s="117">
        <v>3</v>
      </c>
      <c r="B19" s="106"/>
      <c r="C19" s="489"/>
      <c r="D19" s="489"/>
      <c r="E19" s="489"/>
      <c r="F19" s="100"/>
      <c r="G19" s="493"/>
      <c r="H19" s="100"/>
      <c r="I19" s="489"/>
      <c r="J19" s="100"/>
      <c r="K19" s="493"/>
      <c r="L19" s="410"/>
      <c r="M19" s="106"/>
      <c r="N19" s="106"/>
      <c r="P19" s="106"/>
    </row>
    <row r="20" spans="1:16" ht="15.75">
      <c r="A20" s="117">
        <v>4</v>
      </c>
      <c r="B20" s="565" t="s">
        <v>83</v>
      </c>
      <c r="C20" s="493"/>
      <c r="D20" s="493"/>
      <c r="E20" s="493"/>
      <c r="F20" s="100"/>
      <c r="G20" s="493"/>
      <c r="H20" s="100"/>
      <c r="I20" s="493"/>
      <c r="J20" s="100"/>
      <c r="K20" s="493"/>
      <c r="L20" s="363"/>
      <c r="M20" s="106"/>
      <c r="N20" s="106"/>
      <c r="O20" s="106"/>
      <c r="P20" s="106"/>
    </row>
    <row r="21" spans="1:16">
      <c r="A21" s="117">
        <v>5</v>
      </c>
      <c r="B21" s="497" t="s">
        <v>818</v>
      </c>
      <c r="C21" s="493">
        <v>15700.460335098405</v>
      </c>
      <c r="D21" s="493">
        <v>316991.9135356411</v>
      </c>
      <c r="E21" s="493">
        <f>SUM(C21:D21)</f>
        <v>332692.37387073948</v>
      </c>
      <c r="F21" s="622">
        <f>Allocation!$I$17</f>
        <v>0.49090457251500325</v>
      </c>
      <c r="G21" s="493">
        <f>E21*F21</f>
        <v>163320.207574017</v>
      </c>
      <c r="H21" s="100"/>
      <c r="I21" s="493">
        <f>C21</f>
        <v>15700.460335098405</v>
      </c>
      <c r="J21" s="555">
        <f>Allocation!$E$17</f>
        <v>0.49090457251500325</v>
      </c>
      <c r="K21" s="493">
        <f>I21*J21</f>
        <v>7707.4277690902472</v>
      </c>
      <c r="L21" s="363"/>
      <c r="M21" s="106"/>
      <c r="N21" s="106"/>
      <c r="P21" s="106"/>
    </row>
    <row r="22" spans="1:16">
      <c r="A22" s="117">
        <v>6</v>
      </c>
      <c r="B22" s="363"/>
      <c r="C22" s="806"/>
      <c r="D22" s="806"/>
      <c r="E22" s="806"/>
      <c r="F22" s="130"/>
      <c r="G22" s="806"/>
      <c r="H22" s="130"/>
      <c r="I22" s="806"/>
      <c r="J22" s="119"/>
      <c r="K22" s="119"/>
      <c r="L22" s="363"/>
    </row>
    <row r="23" spans="1:16" ht="15.75">
      <c r="A23" s="117">
        <v>7</v>
      </c>
      <c r="B23" s="565" t="s">
        <v>81</v>
      </c>
      <c r="C23" s="806"/>
      <c r="D23" s="806"/>
      <c r="E23" s="806"/>
      <c r="F23" s="130"/>
      <c r="G23" s="806"/>
      <c r="H23" s="130"/>
      <c r="I23" s="806"/>
      <c r="J23" s="119"/>
      <c r="K23" s="119"/>
      <c r="L23" s="536"/>
    </row>
    <row r="24" spans="1:16">
      <c r="A24" s="117">
        <v>8</v>
      </c>
      <c r="B24" s="497" t="s">
        <v>818</v>
      </c>
      <c r="C24" s="493">
        <v>95819.997570249965</v>
      </c>
      <c r="D24" s="493">
        <v>0</v>
      </c>
      <c r="E24" s="493">
        <f>SUM(C24:D24)</f>
        <v>95819.997570249965</v>
      </c>
      <c r="F24" s="622">
        <f>Allocation!$I$14</f>
        <v>5.2575879716356848E-2</v>
      </c>
      <c r="G24" s="493">
        <f>E24*F24</f>
        <v>5037.8206666750675</v>
      </c>
      <c r="H24" s="130"/>
      <c r="I24" s="493">
        <f>C24</f>
        <v>95819.997570249965</v>
      </c>
      <c r="J24" s="555">
        <f>Allocation!$E$14</f>
        <v>5.2575879716356848E-2</v>
      </c>
      <c r="K24" s="493">
        <f>I24*J24</f>
        <v>5037.8206666750675</v>
      </c>
      <c r="L24" s="531"/>
    </row>
    <row r="25" spans="1:16">
      <c r="A25" s="117">
        <v>9</v>
      </c>
      <c r="B25" s="536"/>
      <c r="C25" s="806"/>
      <c r="D25" s="806"/>
      <c r="E25" s="806"/>
      <c r="F25" s="130"/>
      <c r="G25" s="806"/>
      <c r="H25" s="130"/>
      <c r="I25" s="806"/>
      <c r="J25" s="119"/>
      <c r="K25" s="119"/>
      <c r="L25" s="119"/>
    </row>
    <row r="26" spans="1:16" ht="15.75">
      <c r="A26" s="117">
        <v>10</v>
      </c>
      <c r="B26" s="565" t="s">
        <v>82</v>
      </c>
      <c r="C26" s="806"/>
      <c r="D26" s="806"/>
      <c r="E26" s="806"/>
      <c r="F26" s="130"/>
      <c r="G26" s="806"/>
      <c r="H26" s="130"/>
      <c r="I26" s="806"/>
      <c r="J26" s="119"/>
      <c r="K26" s="119"/>
      <c r="L26" s="119"/>
    </row>
    <row r="27" spans="1:16">
      <c r="A27" s="117">
        <v>11</v>
      </c>
      <c r="B27" s="497" t="s">
        <v>818</v>
      </c>
      <c r="C27" s="493">
        <v>2343.3900000000003</v>
      </c>
      <c r="D27" s="493">
        <v>0</v>
      </c>
      <c r="E27" s="493">
        <f>SUM(C27:D27)</f>
        <v>2343.3900000000003</v>
      </c>
      <c r="F27" s="622">
        <f>Allocation!$I$15</f>
        <v>5.712253040952902E-2</v>
      </c>
      <c r="G27" s="493">
        <f>E27*F27</f>
        <v>133.86036653638624</v>
      </c>
      <c r="H27" s="130"/>
      <c r="I27" s="493">
        <f>C27</f>
        <v>2343.3900000000003</v>
      </c>
      <c r="J27" s="555">
        <f>Allocation!$E$15</f>
        <v>5.712253040952902E-2</v>
      </c>
      <c r="K27" s="493">
        <f>I27*J27</f>
        <v>133.86036653638624</v>
      </c>
      <c r="L27" s="119"/>
    </row>
    <row r="28" spans="1:16">
      <c r="A28" s="117">
        <v>12</v>
      </c>
      <c r="G28" s="387"/>
    </row>
    <row r="29" spans="1:16" ht="16.5" thickBot="1">
      <c r="A29" s="117">
        <v>13</v>
      </c>
      <c r="B29" s="566" t="s">
        <v>953</v>
      </c>
      <c r="C29" s="422">
        <f>SUM(C18:C27)</f>
        <v>146780.6100128736</v>
      </c>
      <c r="D29" s="422">
        <f>SUM(D18:D27)</f>
        <v>319954.0995240999</v>
      </c>
      <c r="E29" s="422">
        <f>SUM(E18:E27)</f>
        <v>466734.7095369735</v>
      </c>
      <c r="G29" s="422">
        <f>SUM(G18:G27)</f>
        <v>204370.83670321252</v>
      </c>
      <c r="I29" s="422">
        <f>SUM(I18:I27)</f>
        <v>146780.6100128736</v>
      </c>
      <c r="K29" s="422">
        <f>SUM(K18:K27)</f>
        <v>45795.870909826925</v>
      </c>
    </row>
    <row r="30" spans="1:16" ht="15.75" thickTop="1"/>
    <row r="32" spans="1:16">
      <c r="B32" s="561"/>
    </row>
    <row r="33" spans="2:2">
      <c r="B33" s="561"/>
    </row>
    <row r="34" spans="2:2">
      <c r="B34" t="s">
        <v>533</v>
      </c>
    </row>
    <row r="35" spans="2:2">
      <c r="B35" t="s">
        <v>1598</v>
      </c>
    </row>
    <row r="36" spans="2:2">
      <c r="B36" s="106" t="s">
        <v>1594</v>
      </c>
    </row>
    <row r="39" spans="2:2">
      <c r="B39" s="768"/>
    </row>
    <row r="40" spans="2:2">
      <c r="B40" s="768"/>
    </row>
    <row r="41" spans="2:2">
      <c r="B41" s="768"/>
    </row>
  </sheetData>
  <mergeCells count="6">
    <mergeCell ref="C11:G11"/>
    <mergeCell ref="A5:K5"/>
    <mergeCell ref="A1:K1"/>
    <mergeCell ref="A2:K2"/>
    <mergeCell ref="A3:K3"/>
    <mergeCell ref="A4:K4"/>
  </mergeCells>
  <phoneticPr fontId="24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60" zoomScaleNormal="90" workbookViewId="0">
      <selection sqref="A1:I1"/>
    </sheetView>
  </sheetViews>
  <sheetFormatPr defaultRowHeight="15"/>
  <cols>
    <col min="1" max="1" width="5.88671875" customWidth="1"/>
    <col min="2" max="2" width="34.6640625" customWidth="1"/>
    <col min="3" max="3" width="13.5546875" bestFit="1" customWidth="1"/>
    <col min="4" max="4" width="11.109375" customWidth="1"/>
    <col min="5" max="5" width="10.88671875" customWidth="1"/>
    <col min="6" max="6" width="4.21875" customWidth="1"/>
    <col min="7" max="7" width="11" bestFit="1" customWidth="1"/>
    <col min="8" max="8" width="12" customWidth="1"/>
    <col min="9" max="9" width="9.88671875" customWidth="1"/>
  </cols>
  <sheetData>
    <row r="1" spans="1:12" ht="15.75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</row>
    <row r="2" spans="1:12" ht="15.75">
      <c r="A2" s="1269" t="str">
        <f>'Table of Contents'!A2:C2</f>
        <v>Kentucky Jurisdiction Case No. 2015-00343</v>
      </c>
      <c r="B2" s="1269" t="s">
        <v>332</v>
      </c>
      <c r="C2" s="1269"/>
      <c r="D2" s="1269"/>
      <c r="E2" s="1269"/>
      <c r="F2" s="1269"/>
      <c r="G2" s="1269"/>
      <c r="H2" s="1269"/>
      <c r="I2" s="1269"/>
      <c r="J2" s="119"/>
    </row>
    <row r="3" spans="1:12" ht="15.75">
      <c r="A3" s="1269" t="s">
        <v>434</v>
      </c>
      <c r="B3" s="1269"/>
      <c r="C3" s="1269"/>
      <c r="D3" s="1269"/>
      <c r="E3" s="1269"/>
      <c r="F3" s="1269"/>
      <c r="G3" s="1269"/>
      <c r="H3" s="1269"/>
      <c r="I3" s="1269"/>
      <c r="J3" s="119"/>
    </row>
    <row r="4" spans="1:12" ht="15.75">
      <c r="A4" s="1269" t="str">
        <f>'Table of Contents'!A3:C3</f>
        <v>Base Period: Twelve Months Ended February 29, 2016</v>
      </c>
      <c r="B4" s="1269"/>
      <c r="C4" s="1269"/>
      <c r="D4" s="1269"/>
      <c r="E4" s="1269"/>
      <c r="F4" s="1269"/>
      <c r="G4" s="1269"/>
      <c r="H4" s="1269"/>
      <c r="I4" s="1269"/>
      <c r="J4" s="119"/>
    </row>
    <row r="5" spans="1:12" ht="15.75">
      <c r="A5" s="1269" t="str">
        <f>'Table of Contents'!A4:C4</f>
        <v>Forecasted Test Period: Twelve Months Ended May 31, 2017</v>
      </c>
      <c r="B5" s="1269"/>
      <c r="C5" s="1269"/>
      <c r="D5" s="1269"/>
      <c r="E5" s="1269"/>
      <c r="F5" s="1269"/>
      <c r="G5" s="1269"/>
      <c r="H5" s="1269"/>
      <c r="I5" s="1269"/>
      <c r="J5" s="119"/>
    </row>
    <row r="6" spans="1:12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2" ht="15.75">
      <c r="A7" s="95" t="s">
        <v>141</v>
      </c>
      <c r="B7" s="119"/>
      <c r="C7" s="12"/>
      <c r="D7" s="119"/>
      <c r="E7" s="119"/>
      <c r="F7" s="119"/>
      <c r="G7" s="119"/>
      <c r="I7" s="488" t="s">
        <v>1504</v>
      </c>
      <c r="J7" s="119"/>
    </row>
    <row r="8" spans="1:12" ht="15.75">
      <c r="A8" s="95" t="s">
        <v>1144</v>
      </c>
      <c r="B8" s="119"/>
      <c r="C8" s="12"/>
      <c r="D8" s="119"/>
      <c r="E8" s="119"/>
      <c r="F8" s="119"/>
      <c r="G8" s="119"/>
      <c r="I8" s="733" t="s">
        <v>588</v>
      </c>
      <c r="J8" s="119"/>
    </row>
    <row r="9" spans="1:12" ht="15.75">
      <c r="A9" s="95" t="s">
        <v>375</v>
      </c>
      <c r="B9" s="119"/>
      <c r="C9" s="12"/>
      <c r="D9" s="119"/>
      <c r="E9" s="119"/>
      <c r="F9" s="119"/>
      <c r="G9" s="119"/>
      <c r="I9" s="734" t="str">
        <f>F.1!$F$9</f>
        <v>Witness: Waller</v>
      </c>
      <c r="J9" s="119"/>
    </row>
    <row r="10" spans="1:12" ht="15.75">
      <c r="A10" s="161"/>
      <c r="B10" s="161"/>
      <c r="C10" s="738"/>
      <c r="D10" s="739" t="s">
        <v>333</v>
      </c>
      <c r="E10" s="740"/>
      <c r="F10" s="161"/>
      <c r="G10" s="738"/>
      <c r="H10" s="739" t="s">
        <v>334</v>
      </c>
      <c r="I10" s="740"/>
      <c r="J10" s="119"/>
    </row>
    <row r="11" spans="1:12">
      <c r="A11" s="127" t="s">
        <v>98</v>
      </c>
      <c r="B11" s="119"/>
      <c r="C11" s="127" t="s">
        <v>101</v>
      </c>
      <c r="D11" s="76" t="s">
        <v>11</v>
      </c>
      <c r="E11" s="126" t="s">
        <v>12</v>
      </c>
      <c r="F11" s="119"/>
      <c r="G11" s="127" t="s">
        <v>101</v>
      </c>
      <c r="H11" s="126" t="str">
        <f>D11</f>
        <v xml:space="preserve">Kentucky </v>
      </c>
      <c r="I11" s="126" t="s">
        <v>1000</v>
      </c>
      <c r="J11" s="119"/>
    </row>
    <row r="12" spans="1:12">
      <c r="A12" s="128" t="s">
        <v>104</v>
      </c>
      <c r="B12" s="128" t="s">
        <v>1004</v>
      </c>
      <c r="C12" s="128" t="s">
        <v>609</v>
      </c>
      <c r="D12" s="84" t="s">
        <v>102</v>
      </c>
      <c r="E12" s="128" t="s">
        <v>109</v>
      </c>
      <c r="F12" s="124"/>
      <c r="G12" s="128" t="s">
        <v>609</v>
      </c>
      <c r="H12" s="128" t="str">
        <f>D12</f>
        <v>Jurisdictional</v>
      </c>
      <c r="I12" s="128" t="s">
        <v>109</v>
      </c>
      <c r="J12" s="119"/>
    </row>
    <row r="13" spans="1:12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2" ht="15.75">
      <c r="A14" s="126"/>
      <c r="B14" s="927" t="s">
        <v>1256</v>
      </c>
      <c r="C14" s="769"/>
      <c r="D14" s="119"/>
      <c r="E14" s="119"/>
      <c r="F14" s="119"/>
      <c r="G14" s="119"/>
      <c r="H14" s="119"/>
      <c r="I14" s="119"/>
      <c r="J14" s="119"/>
    </row>
    <row r="15" spans="1:12" ht="15.75">
      <c r="A15" s="127">
        <v>1</v>
      </c>
      <c r="B15" s="117"/>
      <c r="C15" s="836"/>
      <c r="D15" s="117"/>
      <c r="E15" s="117"/>
      <c r="F15" s="117"/>
      <c r="G15" s="119"/>
      <c r="H15" s="131"/>
      <c r="I15" s="117"/>
      <c r="J15" s="119"/>
    </row>
    <row r="16" spans="1:12">
      <c r="A16" s="126">
        <f>A15+1</f>
        <v>2</v>
      </c>
      <c r="B16" s="410" t="s">
        <v>198</v>
      </c>
      <c r="D16" s="533"/>
      <c r="F16" s="165"/>
      <c r="G16" s="528"/>
      <c r="H16" s="165"/>
      <c r="I16" s="529"/>
      <c r="L16" s="768"/>
    </row>
    <row r="17" spans="1:10">
      <c r="A17" s="126">
        <f t="shared" ref="A17:A34" si="0">A16+1</f>
        <v>3</v>
      </c>
      <c r="B17" s="363" t="s">
        <v>1001</v>
      </c>
      <c r="C17" s="1175">
        <v>18377.722826864156</v>
      </c>
      <c r="D17" s="1165">
        <v>1</v>
      </c>
      <c r="E17" s="1175">
        <f>C17*D17</f>
        <v>18377.722826864156</v>
      </c>
      <c r="F17" s="529"/>
      <c r="G17" s="1175">
        <v>17040.993071551977</v>
      </c>
      <c r="H17" s="533">
        <f>D17</f>
        <v>1</v>
      </c>
      <c r="I17" s="742">
        <f>G17*H17</f>
        <v>17040.993071551977</v>
      </c>
    </row>
    <row r="18" spans="1:10">
      <c r="A18" s="126">
        <f t="shared" si="0"/>
        <v>4</v>
      </c>
      <c r="B18" s="363" t="s">
        <v>1002</v>
      </c>
      <c r="C18" s="1175">
        <v>183060.42356750253</v>
      </c>
      <c r="D18" s="1165">
        <f>D17</f>
        <v>1</v>
      </c>
      <c r="E18" s="1176">
        <f>C18*D18</f>
        <v>183060.42356750253</v>
      </c>
      <c r="F18" s="529"/>
      <c r="G18" s="1175">
        <v>169745.26382175693</v>
      </c>
      <c r="H18" s="533">
        <f>D18</f>
        <v>1</v>
      </c>
      <c r="I18" s="537">
        <f>G18*H18</f>
        <v>169745.26382175693</v>
      </c>
    </row>
    <row r="19" spans="1:10">
      <c r="A19" s="126">
        <f t="shared" si="0"/>
        <v>5</v>
      </c>
      <c r="B19" s="536" t="s">
        <v>503</v>
      </c>
      <c r="C19" s="1177">
        <f>SUM(C16:C18)</f>
        <v>201438.14639436669</v>
      </c>
      <c r="D19" s="1165"/>
      <c r="E19" s="1175">
        <f>SUM(E16:E18)</f>
        <v>201438.14639436669</v>
      </c>
      <c r="F19" s="529"/>
      <c r="G19" s="1177">
        <f>SUM(G16:G18)</f>
        <v>186786.25689330892</v>
      </c>
      <c r="H19" s="165"/>
      <c r="I19" s="742">
        <f>SUM(I16:I18)</f>
        <v>186786.25689330892</v>
      </c>
    </row>
    <row r="20" spans="1:10">
      <c r="A20" s="126">
        <f t="shared" si="0"/>
        <v>6</v>
      </c>
      <c r="B20" s="531"/>
      <c r="C20" s="1178"/>
      <c r="D20" s="805"/>
      <c r="E20" s="1178"/>
      <c r="F20" s="1076"/>
      <c r="G20" s="1178"/>
      <c r="H20" s="120"/>
      <c r="I20" s="532"/>
      <c r="J20" s="119"/>
    </row>
    <row r="21" spans="1:10">
      <c r="A21" s="126">
        <f t="shared" si="0"/>
        <v>7</v>
      </c>
      <c r="B21" s="410" t="s">
        <v>83</v>
      </c>
      <c r="C21" s="494"/>
      <c r="D21" s="1179"/>
      <c r="E21" s="494"/>
      <c r="F21" s="1168"/>
      <c r="G21" s="494"/>
      <c r="H21" s="530"/>
      <c r="I21" s="495"/>
      <c r="J21" s="119"/>
    </row>
    <row r="22" spans="1:10">
      <c r="A22" s="126">
        <f t="shared" si="0"/>
        <v>8</v>
      </c>
      <c r="B22" s="363" t="s">
        <v>1001</v>
      </c>
      <c r="C22" s="1175">
        <v>15586.007759557455</v>
      </c>
      <c r="D22" s="1179">
        <f>Allocation!$I$17</f>
        <v>0.49090457251500325</v>
      </c>
      <c r="E22" s="1180">
        <f>C22*D22</f>
        <v>7651.2424764210755</v>
      </c>
      <c r="F22" s="1168"/>
      <c r="G22" s="1175">
        <v>17890.419190388129</v>
      </c>
      <c r="H22" s="535">
        <f>Allocation!$E$17</f>
        <v>0.49090457251500325</v>
      </c>
      <c r="I22" s="743">
        <f>G22*H22</f>
        <v>8782.4885847716941</v>
      </c>
      <c r="J22" s="119"/>
    </row>
    <row r="23" spans="1:10">
      <c r="A23" s="126">
        <f t="shared" si="0"/>
        <v>9</v>
      </c>
      <c r="B23" s="363" t="s">
        <v>1002</v>
      </c>
      <c r="C23" s="1175">
        <v>156697.77615030349</v>
      </c>
      <c r="D23" s="1179">
        <f>D22</f>
        <v>0.49090457251500325</v>
      </c>
      <c r="E23" s="1181">
        <f>C23*D23</f>
        <v>76923.654815116402</v>
      </c>
      <c r="F23" s="1168"/>
      <c r="G23" s="1175">
        <v>179865.74527473046</v>
      </c>
      <c r="H23" s="557">
        <f>H22</f>
        <v>0.49090457251500325</v>
      </c>
      <c r="I23" s="539">
        <f>G23*H23</f>
        <v>88296.916794184028</v>
      </c>
      <c r="J23" s="119"/>
    </row>
    <row r="24" spans="1:10">
      <c r="A24" s="126">
        <f t="shared" si="0"/>
        <v>10</v>
      </c>
      <c r="B24" s="536" t="s">
        <v>503</v>
      </c>
      <c r="C24" s="1177">
        <f>SUM(C22:C23)</f>
        <v>172283.78390986094</v>
      </c>
      <c r="D24" s="1179"/>
      <c r="E24" s="1175">
        <f>SUM(E22:E23)</f>
        <v>84574.897291537476</v>
      </c>
      <c r="F24" s="1168"/>
      <c r="G24" s="1177">
        <f>SUM(G22:G23)</f>
        <v>197756.16446511861</v>
      </c>
      <c r="H24" s="576"/>
      <c r="I24" s="742">
        <f>SUM(I22:I23)</f>
        <v>97079.405378955722</v>
      </c>
      <c r="J24" s="119"/>
    </row>
    <row r="25" spans="1:10">
      <c r="A25" s="126">
        <f t="shared" si="0"/>
        <v>11</v>
      </c>
      <c r="B25" s="531"/>
      <c r="C25" s="1178"/>
      <c r="D25" s="1170"/>
      <c r="E25" s="1178"/>
      <c r="F25" s="1076"/>
      <c r="G25" s="1178"/>
      <c r="H25" s="558"/>
      <c r="I25" s="532"/>
      <c r="J25" s="119"/>
    </row>
    <row r="26" spans="1:10">
      <c r="A26" s="126">
        <f t="shared" si="0"/>
        <v>12</v>
      </c>
      <c r="B26" s="531" t="s">
        <v>81</v>
      </c>
      <c r="C26" s="1178"/>
      <c r="D26" s="418"/>
      <c r="E26" s="1178"/>
      <c r="F26" s="130"/>
      <c r="G26" s="1178"/>
      <c r="H26" s="559"/>
      <c r="I26" s="532"/>
      <c r="J26" s="119"/>
    </row>
    <row r="27" spans="1:10">
      <c r="A27" s="126">
        <f t="shared" si="0"/>
        <v>13</v>
      </c>
      <c r="B27" s="363" t="s">
        <v>1001</v>
      </c>
      <c r="C27" s="1175">
        <v>8010804.1813063165</v>
      </c>
      <c r="D27" s="418">
        <f>Allocation!$I$14</f>
        <v>5.2575879716356848E-2</v>
      </c>
      <c r="E27" s="1180">
        <f>C27*D27</f>
        <v>421175.0770676494</v>
      </c>
      <c r="F27" s="130"/>
      <c r="G27" s="1175">
        <v>8679257.4564381838</v>
      </c>
      <c r="H27" s="419">
        <f>Allocation!$E$14</f>
        <v>5.2575879716356848E-2</v>
      </c>
      <c r="I27" s="743">
        <f>G27*H27</f>
        <v>456319.59605698724</v>
      </c>
      <c r="J27" s="119"/>
    </row>
    <row r="28" spans="1:10">
      <c r="A28" s="126">
        <f t="shared" si="0"/>
        <v>14</v>
      </c>
      <c r="B28" s="363" t="s">
        <v>1002</v>
      </c>
      <c r="C28" s="1175">
        <v>65961.364270977749</v>
      </c>
      <c r="D28" s="1170">
        <f>D27</f>
        <v>5.2575879716356848E-2</v>
      </c>
      <c r="E28" s="1182">
        <f>C28*D28</f>
        <v>3467.9767538377241</v>
      </c>
      <c r="F28" s="130"/>
      <c r="G28" s="1175">
        <v>71465.442136467551</v>
      </c>
      <c r="H28" s="557">
        <f>H27</f>
        <v>5.2575879716356848E-2</v>
      </c>
      <c r="I28" s="540">
        <f>G28*H28</f>
        <v>3757.3584896431785</v>
      </c>
      <c r="J28" s="119"/>
    </row>
    <row r="29" spans="1:10">
      <c r="A29" s="126">
        <f t="shared" si="0"/>
        <v>15</v>
      </c>
      <c r="B29" s="536" t="s">
        <v>503</v>
      </c>
      <c r="C29" s="1177">
        <f>SUM(C27:C28)</f>
        <v>8076765.5455772942</v>
      </c>
      <c r="D29" s="418"/>
      <c r="E29" s="1175">
        <f>SUM(E27:E28)</f>
        <v>424643.05382148712</v>
      </c>
      <c r="F29" s="130"/>
      <c r="G29" s="1177">
        <f>SUM(G27:G28)</f>
        <v>8750722.8985746522</v>
      </c>
      <c r="H29" s="559"/>
      <c r="I29" s="742">
        <f>SUM(I27:I28)</f>
        <v>460076.95454663044</v>
      </c>
      <c r="J29" s="119"/>
    </row>
    <row r="30" spans="1:10">
      <c r="A30" s="126">
        <f t="shared" si="0"/>
        <v>16</v>
      </c>
      <c r="B30" s="531"/>
      <c r="C30" s="1178"/>
      <c r="D30" s="418"/>
      <c r="E30" s="1178"/>
      <c r="F30" s="130"/>
      <c r="G30" s="1178"/>
      <c r="H30" s="559"/>
      <c r="I30" s="532"/>
      <c r="J30" s="119"/>
    </row>
    <row r="31" spans="1:10">
      <c r="A31" s="126">
        <f t="shared" si="0"/>
        <v>17</v>
      </c>
      <c r="B31" s="531" t="s">
        <v>82</v>
      </c>
      <c r="C31" s="1178"/>
      <c r="D31" s="418"/>
      <c r="E31" s="1178"/>
      <c r="F31" s="106"/>
      <c r="G31" s="1178"/>
      <c r="H31" s="577"/>
      <c r="I31" s="532"/>
    </row>
    <row r="32" spans="1:10">
      <c r="A32" s="126">
        <f t="shared" si="0"/>
        <v>18</v>
      </c>
      <c r="B32" s="363" t="s">
        <v>1001</v>
      </c>
      <c r="C32" s="459">
        <v>353033.80054670363</v>
      </c>
      <c r="D32" s="418">
        <f>Allocation!$I$15</f>
        <v>5.712253040952902E-2</v>
      </c>
      <c r="E32" s="459">
        <f>C32*D32</f>
        <v>20166.18400732068</v>
      </c>
      <c r="F32" s="106"/>
      <c r="G32" s="459">
        <v>195123.8713091258</v>
      </c>
      <c r="H32" s="419">
        <f>Allocation!$E$15</f>
        <v>5.712253040952902E-2</v>
      </c>
      <c r="I32" s="404">
        <f>G32*H32</f>
        <v>11145.969272480565</v>
      </c>
    </row>
    <row r="33" spans="1:11">
      <c r="A33" s="126">
        <f t="shared" si="0"/>
        <v>19</v>
      </c>
      <c r="B33" s="363" t="s">
        <v>1002</v>
      </c>
      <c r="C33" s="459">
        <v>0</v>
      </c>
      <c r="D33" s="418">
        <f>D32</f>
        <v>5.712253040952902E-2</v>
      </c>
      <c r="E33" s="1183">
        <f>C33*D33</f>
        <v>0</v>
      </c>
      <c r="F33" s="106"/>
      <c r="G33" s="459">
        <v>0</v>
      </c>
      <c r="H33" s="557">
        <f>H32</f>
        <v>5.712253040952902E-2</v>
      </c>
      <c r="I33" s="415">
        <f>G33*H33</f>
        <v>0</v>
      </c>
      <c r="K33" s="1057"/>
    </row>
    <row r="34" spans="1:11">
      <c r="A34" s="126">
        <f t="shared" si="0"/>
        <v>20</v>
      </c>
      <c r="B34" s="536" t="s">
        <v>503</v>
      </c>
      <c r="C34" s="787">
        <f>SUM(C32:C33)</f>
        <v>353033.80054670363</v>
      </c>
      <c r="E34" s="404">
        <f>SUM(E32:E33)</f>
        <v>20166.18400732068</v>
      </c>
      <c r="G34" s="787">
        <f>SUM(G32:G33)</f>
        <v>195123.8713091258</v>
      </c>
      <c r="H34" s="577"/>
      <c r="I34" s="404">
        <f>SUM(I32:I33)</f>
        <v>11145.969272480565</v>
      </c>
    </row>
    <row r="37" spans="1:11">
      <c r="A37" s="89" t="s">
        <v>418</v>
      </c>
    </row>
    <row r="40" spans="1:11" ht="15.75">
      <c r="C40" s="769"/>
    </row>
    <row r="42" spans="1:11">
      <c r="B42" t="s">
        <v>533</v>
      </c>
    </row>
    <row r="43" spans="1:11">
      <c r="B43" t="s">
        <v>1594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N51"/>
  <sheetViews>
    <sheetView view="pageBreakPreview" zoomScale="60" zoomScaleNormal="90" workbookViewId="0">
      <selection sqref="A1:E1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19.109375" customWidth="1"/>
    <col min="12" max="12" width="13.33203125" customWidth="1"/>
    <col min="13" max="13" width="23.109375" customWidth="1"/>
    <col min="14" max="14" width="23.33203125" customWidth="1"/>
  </cols>
  <sheetData>
    <row r="1" spans="1:14" ht="15.75">
      <c r="A1" s="1271" t="str">
        <f>'Table of Contents'!A1:C1</f>
        <v>Atmos Energy Corporation, Kentucky/Mid-States Division</v>
      </c>
      <c r="B1" s="1271"/>
      <c r="C1" s="1271"/>
      <c r="D1" s="1271"/>
      <c r="E1" s="1271"/>
      <c r="F1" s="928"/>
      <c r="G1" s="1"/>
      <c r="H1" s="1"/>
      <c r="I1" s="1"/>
      <c r="J1" s="1"/>
    </row>
    <row r="2" spans="1:14" ht="15.75">
      <c r="A2" s="1271" t="str">
        <f>'Table of Contents'!A2:C2</f>
        <v>Kentucky Jurisdiction Case No. 2015-00343</v>
      </c>
      <c r="B2" s="1271"/>
      <c r="C2" s="1271"/>
      <c r="D2" s="1271"/>
      <c r="E2" s="1271"/>
      <c r="F2" s="998"/>
      <c r="G2" s="107"/>
      <c r="H2" s="107"/>
      <c r="I2" s="107"/>
      <c r="J2" s="1"/>
    </row>
    <row r="3" spans="1:14" ht="15.75">
      <c r="A3" s="1271" t="s">
        <v>225</v>
      </c>
      <c r="B3" s="1271"/>
      <c r="C3" s="1271"/>
      <c r="D3" s="1271"/>
      <c r="E3" s="1271"/>
      <c r="F3" s="928"/>
      <c r="G3" s="1001"/>
      <c r="H3" s="107"/>
      <c r="I3" s="107"/>
      <c r="J3" s="1"/>
    </row>
    <row r="4" spans="1:14" ht="15.75">
      <c r="A4" s="12"/>
      <c r="B4" s="1"/>
      <c r="C4" s="1"/>
      <c r="D4" s="1"/>
      <c r="E4" s="1"/>
      <c r="F4" s="107"/>
      <c r="G4" s="887"/>
      <c r="H4" s="887"/>
      <c r="I4" s="887"/>
      <c r="J4" s="1"/>
    </row>
    <row r="5" spans="1:14" ht="15.75">
      <c r="A5" s="12"/>
      <c r="B5" s="1"/>
      <c r="C5" s="1"/>
      <c r="D5" s="1"/>
      <c r="E5" s="1"/>
      <c r="F5" s="107"/>
      <c r="G5" s="887"/>
      <c r="H5" s="887"/>
      <c r="I5" s="887"/>
    </row>
    <row r="6" spans="1:14" ht="15.75">
      <c r="A6" s="12"/>
      <c r="B6" s="1"/>
      <c r="C6" s="1"/>
      <c r="D6" s="1"/>
      <c r="F6" s="107"/>
      <c r="G6" s="887"/>
      <c r="H6" s="887"/>
      <c r="I6" s="887"/>
    </row>
    <row r="7" spans="1:14">
      <c r="A7" s="95" t="s">
        <v>581</v>
      </c>
      <c r="C7" s="1"/>
      <c r="D7" s="1"/>
      <c r="E7" s="744" t="s">
        <v>1504</v>
      </c>
      <c r="F7" s="1"/>
      <c r="G7" s="768"/>
      <c r="H7" s="768"/>
      <c r="I7" s="768"/>
    </row>
    <row r="8" spans="1:14">
      <c r="A8" s="95" t="s">
        <v>631</v>
      </c>
      <c r="C8" s="1"/>
      <c r="D8" s="1"/>
      <c r="E8" s="645" t="s">
        <v>77</v>
      </c>
      <c r="F8" s="1"/>
      <c r="G8" s="1000"/>
      <c r="H8" s="768"/>
      <c r="I8" s="768"/>
    </row>
    <row r="9" spans="1:14">
      <c r="A9" s="745" t="s">
        <v>440</v>
      </c>
      <c r="B9" s="75"/>
      <c r="C9" s="45"/>
      <c r="D9" s="45"/>
      <c r="E9" s="792" t="str">
        <f>F.1!$F$9</f>
        <v>Witness: Waller</v>
      </c>
      <c r="F9" s="1"/>
      <c r="G9" s="768"/>
      <c r="H9" s="768"/>
      <c r="I9" s="768"/>
      <c r="J9" s="1"/>
    </row>
    <row r="10" spans="1:14" ht="15.75">
      <c r="B10" s="32"/>
      <c r="C10" s="1"/>
      <c r="D10" s="1"/>
      <c r="E10" s="174"/>
      <c r="F10" s="1"/>
      <c r="H10" s="1"/>
      <c r="I10" s="1"/>
      <c r="J10" s="1"/>
    </row>
    <row r="11" spans="1:14">
      <c r="A11" s="127" t="s">
        <v>98</v>
      </c>
      <c r="B11" s="119"/>
      <c r="C11" s="1"/>
      <c r="D11" s="1"/>
      <c r="E11" s="174"/>
      <c r="F11" s="1"/>
      <c r="G11" s="768"/>
      <c r="J11" s="1"/>
    </row>
    <row r="12" spans="1:14" ht="15.75">
      <c r="A12" s="128" t="s">
        <v>104</v>
      </c>
      <c r="B12" s="128" t="s">
        <v>1004</v>
      </c>
      <c r="C12" s="45"/>
      <c r="D12" s="45"/>
      <c r="E12" s="538" t="s">
        <v>109</v>
      </c>
      <c r="F12" s="1"/>
      <c r="H12" s="129" t="s">
        <v>1554</v>
      </c>
      <c r="J12" s="1"/>
      <c r="L12" s="129" t="s">
        <v>1553</v>
      </c>
      <c r="M12" s="1055"/>
      <c r="N12" s="1"/>
    </row>
    <row r="13" spans="1:14">
      <c r="A13" s="528"/>
      <c r="B13" s="528"/>
      <c r="C13" s="1"/>
      <c r="D13" s="1"/>
      <c r="E13" s="1"/>
      <c r="F13" s="1"/>
      <c r="I13" s="1079" t="s">
        <v>1551</v>
      </c>
      <c r="J13" s="1080" t="s">
        <v>1552</v>
      </c>
      <c r="L13" s="1055"/>
      <c r="M13" s="1079" t="s">
        <v>1551</v>
      </c>
      <c r="N13" s="1080" t="s">
        <v>1552</v>
      </c>
    </row>
    <row r="14" spans="1:14" ht="15.75">
      <c r="A14" s="76">
        <v>1</v>
      </c>
      <c r="B14" s="202" t="s">
        <v>226</v>
      </c>
      <c r="H14" s="852" t="s">
        <v>1550</v>
      </c>
      <c r="I14">
        <v>33033.29</v>
      </c>
      <c r="J14" s="1">
        <f>0</f>
        <v>0</v>
      </c>
      <c r="L14" s="852" t="s">
        <v>1550</v>
      </c>
      <c r="M14" s="1055">
        <f>E29</f>
        <v>468909.57</v>
      </c>
      <c r="N14" s="1">
        <f>0</f>
        <v>0</v>
      </c>
    </row>
    <row r="15" spans="1:14">
      <c r="A15" s="76">
        <f t="shared" ref="A15:A31" si="0">A14+1</f>
        <v>2</v>
      </c>
      <c r="B15" s="401" t="s">
        <v>954</v>
      </c>
      <c r="D15" s="199">
        <v>37496</v>
      </c>
      <c r="E15" s="196"/>
      <c r="F15" s="192"/>
      <c r="H15" s="852" t="s">
        <v>1538</v>
      </c>
      <c r="I15">
        <f>I14-J15</f>
        <v>30280.515833333335</v>
      </c>
      <c r="J15" s="1">
        <f t="shared" ref="J15:J26" si="1">$I$14/12</f>
        <v>2752.7741666666666</v>
      </c>
      <c r="L15" s="852" t="s">
        <v>1538</v>
      </c>
      <c r="M15" s="1055">
        <f>M14-N15</f>
        <v>449371.67125000001</v>
      </c>
      <c r="N15" s="1">
        <f t="shared" ref="N15:N26" si="2">$M$14/24</f>
        <v>19537.89875</v>
      </c>
    </row>
    <row r="16" spans="1:14">
      <c r="A16" s="868">
        <f t="shared" si="0"/>
        <v>3</v>
      </c>
      <c r="B16" s="1184" t="s">
        <v>955</v>
      </c>
      <c r="D16" s="197">
        <v>36425.32</v>
      </c>
      <c r="E16" s="196"/>
      <c r="F16" s="192"/>
      <c r="G16" s="119"/>
      <c r="H16" s="852" t="s">
        <v>1539</v>
      </c>
      <c r="I16" s="1055">
        <f t="shared" ref="I16:I26" si="3">I15-J15</f>
        <v>27527.741666666669</v>
      </c>
      <c r="J16" s="1">
        <f t="shared" si="1"/>
        <v>2752.7741666666666</v>
      </c>
      <c r="L16" s="852" t="s">
        <v>1539</v>
      </c>
      <c r="M16" s="1055">
        <f t="shared" ref="M16:M25" si="4">M15-N15</f>
        <v>429833.77250000002</v>
      </c>
      <c r="N16" s="1">
        <f t="shared" si="2"/>
        <v>19537.89875</v>
      </c>
    </row>
    <row r="17" spans="1:14">
      <c r="A17" s="868">
        <f t="shared" si="0"/>
        <v>4</v>
      </c>
      <c r="B17" s="401" t="s">
        <v>1292</v>
      </c>
      <c r="D17" s="200">
        <v>55199.759999999995</v>
      </c>
      <c r="E17" s="196"/>
      <c r="F17" s="191"/>
      <c r="H17" s="852" t="s">
        <v>1540</v>
      </c>
      <c r="I17" s="1055">
        <f t="shared" si="3"/>
        <v>24774.967500000002</v>
      </c>
      <c r="J17" s="1">
        <f t="shared" si="1"/>
        <v>2752.7741666666666</v>
      </c>
      <c r="L17" s="852" t="s">
        <v>1540</v>
      </c>
      <c r="M17" s="1055">
        <f t="shared" si="4"/>
        <v>410295.87375000003</v>
      </c>
      <c r="N17" s="1">
        <f t="shared" si="2"/>
        <v>19537.89875</v>
      </c>
    </row>
    <row r="18" spans="1:14">
      <c r="A18" s="868">
        <f t="shared" si="0"/>
        <v>5</v>
      </c>
      <c r="B18" s="203" t="s">
        <v>414</v>
      </c>
      <c r="D18" s="196"/>
      <c r="E18" s="199">
        <f>SUM(D15:D17)</f>
        <v>129121.08</v>
      </c>
      <c r="G18" s="192"/>
      <c r="H18" s="852" t="s">
        <v>1542</v>
      </c>
      <c r="I18" s="1055">
        <f t="shared" si="3"/>
        <v>22022.193333333336</v>
      </c>
      <c r="J18" s="1">
        <f t="shared" si="1"/>
        <v>2752.7741666666666</v>
      </c>
      <c r="L18" s="852" t="s">
        <v>1542</v>
      </c>
      <c r="M18" s="1055">
        <f t="shared" si="4"/>
        <v>390757.97500000003</v>
      </c>
      <c r="N18" s="1">
        <f t="shared" si="2"/>
        <v>19537.89875</v>
      </c>
    </row>
    <row r="19" spans="1:14">
      <c r="A19" s="868">
        <f t="shared" si="0"/>
        <v>6</v>
      </c>
      <c r="B19" s="203"/>
      <c r="D19" s="196"/>
      <c r="E19" s="196"/>
      <c r="H19" s="852" t="s">
        <v>1541</v>
      </c>
      <c r="I19" s="1055">
        <f t="shared" si="3"/>
        <v>19269.41916666667</v>
      </c>
      <c r="J19" s="1">
        <f t="shared" si="1"/>
        <v>2752.7741666666666</v>
      </c>
      <c r="L19" s="852" t="s">
        <v>1541</v>
      </c>
      <c r="M19" s="1055">
        <f t="shared" si="4"/>
        <v>371220.07625000004</v>
      </c>
      <c r="N19" s="1">
        <f t="shared" si="2"/>
        <v>19537.89875</v>
      </c>
    </row>
    <row r="20" spans="1:14" ht="15.75">
      <c r="A20" s="868">
        <f t="shared" si="0"/>
        <v>7</v>
      </c>
      <c r="B20" s="202" t="s">
        <v>415</v>
      </c>
      <c r="D20" s="196"/>
      <c r="G20" s="191"/>
      <c r="H20" s="852" t="s">
        <v>1543</v>
      </c>
      <c r="I20" s="1055">
        <f t="shared" si="3"/>
        <v>16516.645000000004</v>
      </c>
      <c r="J20" s="1">
        <f t="shared" si="1"/>
        <v>2752.7741666666666</v>
      </c>
      <c r="L20" s="852" t="s">
        <v>1543</v>
      </c>
      <c r="M20" s="1055">
        <f t="shared" si="4"/>
        <v>351682.17750000005</v>
      </c>
      <c r="N20" s="1">
        <f t="shared" si="2"/>
        <v>19537.89875</v>
      </c>
    </row>
    <row r="21" spans="1:14">
      <c r="A21" s="868">
        <f t="shared" si="0"/>
        <v>8</v>
      </c>
      <c r="B21" s="203" t="s">
        <v>416</v>
      </c>
      <c r="D21" s="196"/>
      <c r="E21" s="196">
        <v>246897.26</v>
      </c>
      <c r="G21" s="191"/>
      <c r="H21" s="1078" t="s">
        <v>1544</v>
      </c>
      <c r="I21" s="1055">
        <f t="shared" si="3"/>
        <v>13763.870833333338</v>
      </c>
      <c r="J21" s="1">
        <f t="shared" si="1"/>
        <v>2752.7741666666666</v>
      </c>
      <c r="L21" s="1078" t="s">
        <v>1544</v>
      </c>
      <c r="M21" s="1055">
        <f t="shared" si="4"/>
        <v>332144.27875000006</v>
      </c>
      <c r="N21" s="1">
        <f t="shared" si="2"/>
        <v>19537.89875</v>
      </c>
    </row>
    <row r="22" spans="1:14">
      <c r="A22" s="868">
        <f t="shared" si="0"/>
        <v>9</v>
      </c>
      <c r="B22" s="203" t="s">
        <v>332</v>
      </c>
      <c r="D22" s="196"/>
      <c r="E22" s="196"/>
      <c r="G22" s="191"/>
      <c r="H22" s="852" t="s">
        <v>1545</v>
      </c>
      <c r="I22" s="1055">
        <f t="shared" si="3"/>
        <v>11011.096666666672</v>
      </c>
      <c r="J22" s="1">
        <f t="shared" si="1"/>
        <v>2752.7741666666666</v>
      </c>
      <c r="L22" s="852" t="s">
        <v>1545</v>
      </c>
      <c r="M22" s="1055">
        <f t="shared" si="4"/>
        <v>312606.38000000006</v>
      </c>
      <c r="N22" s="1">
        <f t="shared" si="2"/>
        <v>19537.89875</v>
      </c>
    </row>
    <row r="23" spans="1:14" ht="15.75">
      <c r="A23" s="868">
        <f t="shared" si="0"/>
        <v>10</v>
      </c>
      <c r="B23" s="202" t="s">
        <v>417</v>
      </c>
      <c r="D23" s="196"/>
      <c r="E23" s="196"/>
      <c r="G23" s="191"/>
      <c r="H23" s="852" t="s">
        <v>1546</v>
      </c>
      <c r="I23" s="1055">
        <f t="shared" si="3"/>
        <v>8258.3225000000057</v>
      </c>
      <c r="J23" s="1">
        <f t="shared" si="1"/>
        <v>2752.7741666666666</v>
      </c>
      <c r="L23" s="852" t="s">
        <v>1546</v>
      </c>
      <c r="M23" s="1055">
        <f t="shared" si="4"/>
        <v>293068.48125000007</v>
      </c>
      <c r="N23" s="1">
        <f t="shared" si="2"/>
        <v>19537.89875</v>
      </c>
    </row>
    <row r="24" spans="1:14">
      <c r="A24" s="868">
        <f t="shared" si="0"/>
        <v>11</v>
      </c>
      <c r="B24" s="203" t="s">
        <v>419</v>
      </c>
      <c r="D24" s="196"/>
      <c r="E24" s="197">
        <v>29565.110000000004</v>
      </c>
      <c r="G24" s="194"/>
      <c r="H24" s="852" t="s">
        <v>1547</v>
      </c>
      <c r="I24" s="1055">
        <f t="shared" si="3"/>
        <v>5505.5483333333395</v>
      </c>
      <c r="J24" s="1">
        <f t="shared" si="1"/>
        <v>2752.7741666666666</v>
      </c>
      <c r="L24" s="852" t="s">
        <v>1547</v>
      </c>
      <c r="M24" s="1055">
        <f t="shared" si="4"/>
        <v>273530.58250000008</v>
      </c>
      <c r="N24" s="1">
        <f t="shared" si="2"/>
        <v>19537.89875</v>
      </c>
    </row>
    <row r="25" spans="1:14">
      <c r="A25" s="868">
        <f t="shared" si="0"/>
        <v>12</v>
      </c>
      <c r="B25" s="203"/>
      <c r="D25" s="196"/>
      <c r="E25" s="196"/>
      <c r="H25" s="852" t="s">
        <v>1548</v>
      </c>
      <c r="I25" s="1055">
        <f t="shared" si="3"/>
        <v>2752.774166666673</v>
      </c>
      <c r="J25" s="1">
        <f t="shared" si="1"/>
        <v>2752.7741666666666</v>
      </c>
      <c r="L25" s="852" t="s">
        <v>1548</v>
      </c>
      <c r="M25" s="1055">
        <f t="shared" si="4"/>
        <v>253992.68375000008</v>
      </c>
      <c r="N25" s="1">
        <f t="shared" si="2"/>
        <v>19537.89875</v>
      </c>
    </row>
    <row r="26" spans="1:14" ht="15.75">
      <c r="A26" s="868">
        <f t="shared" si="0"/>
        <v>13</v>
      </c>
      <c r="B26" s="202" t="s">
        <v>420</v>
      </c>
      <c r="D26" s="196"/>
      <c r="E26" s="196"/>
      <c r="H26" s="852" t="s">
        <v>1549</v>
      </c>
      <c r="I26" s="1079">
        <f t="shared" si="3"/>
        <v>6.3664629124104977E-12</v>
      </c>
      <c r="J26" s="1081">
        <f t="shared" si="1"/>
        <v>2752.7741666666666</v>
      </c>
      <c r="L26" s="852" t="s">
        <v>1549</v>
      </c>
      <c r="M26" s="1079">
        <f>M25-N25</f>
        <v>234454.78500000009</v>
      </c>
      <c r="N26" s="1081">
        <f t="shared" si="2"/>
        <v>19537.89875</v>
      </c>
    </row>
    <row r="27" spans="1:14">
      <c r="A27" s="868">
        <f t="shared" si="0"/>
        <v>14</v>
      </c>
      <c r="B27" s="203" t="s">
        <v>421</v>
      </c>
      <c r="D27" s="196"/>
      <c r="E27" s="200">
        <v>63326.12000000001</v>
      </c>
      <c r="G27" s="193"/>
      <c r="I27" s="1082">
        <f>AVERAGE(I14:I26)</f>
        <v>16516.645000000004</v>
      </c>
      <c r="J27" s="1076">
        <f>SUM(J14:J26)</f>
        <v>33033.29</v>
      </c>
      <c r="M27" s="1082">
        <f>AVERAGE(M14:M26)</f>
        <v>351682.17749999999</v>
      </c>
      <c r="N27" s="1076">
        <f>SUM(N14:N26)</f>
        <v>234454.78499999995</v>
      </c>
    </row>
    <row r="28" spans="1:14">
      <c r="A28" s="868">
        <f t="shared" si="0"/>
        <v>15</v>
      </c>
      <c r="B28" s="203"/>
      <c r="D28" s="196"/>
      <c r="E28" s="196"/>
      <c r="I28" t="s">
        <v>1556</v>
      </c>
      <c r="J28" s="1"/>
      <c r="M28" t="s">
        <v>1556</v>
      </c>
    </row>
    <row r="29" spans="1:14" ht="16.5" thickBot="1">
      <c r="A29" s="868">
        <f t="shared" si="0"/>
        <v>16</v>
      </c>
      <c r="B29" s="202" t="s">
        <v>976</v>
      </c>
      <c r="D29" s="196"/>
      <c r="E29" s="201">
        <f>SUM(E14:E27)</f>
        <v>468909.57</v>
      </c>
      <c r="G29" s="195"/>
      <c r="J29" s="1"/>
    </row>
    <row r="30" spans="1:14" ht="15.75" thickTop="1">
      <c r="A30" s="868">
        <f t="shared" si="0"/>
        <v>17</v>
      </c>
      <c r="D30" s="196"/>
      <c r="E30" s="196"/>
      <c r="J30" s="1"/>
    </row>
    <row r="31" spans="1:14" ht="16.5" thickBot="1">
      <c r="A31" s="868">
        <f t="shared" si="0"/>
        <v>18</v>
      </c>
      <c r="B31" s="202" t="s">
        <v>1555</v>
      </c>
      <c r="D31" s="160"/>
      <c r="E31" s="1083">
        <f>E29/2</f>
        <v>234454.785</v>
      </c>
      <c r="J31" s="1"/>
    </row>
    <row r="32" spans="1:14" ht="15.75" thickTop="1">
      <c r="A32" s="198"/>
      <c r="D32" s="160"/>
      <c r="J32" s="1"/>
    </row>
    <row r="33" spans="1:10">
      <c r="A33" s="204"/>
      <c r="H33" s="1"/>
      <c r="I33" s="1"/>
      <c r="J33" s="1"/>
    </row>
    <row r="34" spans="1:10">
      <c r="A34" s="203"/>
      <c r="H34" s="1"/>
      <c r="I34" s="1"/>
      <c r="J34" s="1"/>
    </row>
    <row r="35" spans="1:10">
      <c r="B35" t="s">
        <v>533</v>
      </c>
      <c r="H35" s="1"/>
      <c r="I35" s="1"/>
      <c r="J35" s="1"/>
    </row>
    <row r="36" spans="1:10">
      <c r="B36" t="s">
        <v>1599</v>
      </c>
      <c r="H36" s="1"/>
      <c r="I36" s="1"/>
      <c r="J36" s="1"/>
    </row>
    <row r="37" spans="1:10">
      <c r="H37" s="1"/>
      <c r="I37" s="1"/>
      <c r="J37" s="1"/>
    </row>
    <row r="38" spans="1:10">
      <c r="H38" s="1"/>
      <c r="I38" s="1"/>
      <c r="J38" s="1"/>
    </row>
    <row r="39" spans="1:10">
      <c r="H39" s="1"/>
      <c r="I39" s="1"/>
      <c r="J39" s="1"/>
    </row>
    <row r="40" spans="1:10">
      <c r="B40" s="768"/>
      <c r="H40" s="1"/>
      <c r="I40" s="1"/>
      <c r="J40" s="1"/>
    </row>
    <row r="41" spans="1:10">
      <c r="H41" s="1"/>
      <c r="I41" s="1"/>
      <c r="J41" s="1"/>
    </row>
    <row r="42" spans="1:10">
      <c r="H42" s="1"/>
      <c r="I42" s="1"/>
      <c r="J42" s="1"/>
    </row>
    <row r="43" spans="1:10">
      <c r="A43" s="528"/>
      <c r="B43" s="1115"/>
      <c r="C43" s="107"/>
      <c r="D43" s="107"/>
      <c r="E43" s="107"/>
      <c r="F43" s="1"/>
      <c r="J43" s="1"/>
    </row>
    <row r="44" spans="1:10">
      <c r="A44" s="528"/>
      <c r="B44" s="1116"/>
      <c r="C44" s="107"/>
      <c r="D44" s="107"/>
      <c r="E44" s="107"/>
      <c r="F44" s="1"/>
      <c r="J44" s="1"/>
    </row>
    <row r="45" spans="1:10">
      <c r="A45" s="528"/>
      <c r="B45" s="1117"/>
      <c r="C45" s="107"/>
      <c r="D45" s="107"/>
      <c r="E45" s="106"/>
      <c r="F45" s="1"/>
      <c r="J45" s="1"/>
    </row>
    <row r="46" spans="1:10">
      <c r="A46" s="528"/>
      <c r="B46" s="1117"/>
      <c r="C46" s="107"/>
      <c r="D46" s="107"/>
      <c r="E46" s="106"/>
      <c r="F46" s="1"/>
      <c r="J46" s="1"/>
    </row>
    <row r="47" spans="1:10">
      <c r="A47" s="528"/>
      <c r="B47" s="1117"/>
      <c r="C47" s="107"/>
      <c r="D47" s="107"/>
      <c r="E47" s="106"/>
      <c r="F47" s="1"/>
      <c r="J47" s="1"/>
    </row>
    <row r="48" spans="1:10">
      <c r="A48" s="528"/>
      <c r="B48" s="1117"/>
      <c r="C48" s="107"/>
      <c r="D48" s="107"/>
      <c r="E48" s="100"/>
      <c r="F48" s="1"/>
      <c r="J48" s="1"/>
    </row>
    <row r="49" spans="1:10">
      <c r="A49" s="528"/>
      <c r="B49" s="1117"/>
      <c r="C49" s="107"/>
      <c r="D49" s="106"/>
      <c r="E49" s="100"/>
      <c r="F49" s="1"/>
      <c r="G49" s="768"/>
      <c r="J49" s="1"/>
    </row>
    <row r="50" spans="1:10">
      <c r="A50" s="528"/>
      <c r="B50" s="528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4" type="noConversion"/>
  <printOptions horizontalCentered="1"/>
  <pageMargins left="1" right="0.87" top="1" bottom="1" header="0.5" footer="0.5"/>
  <pageSetup scale="32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80" zoomScaleNormal="100" zoomScaleSheetLayoutView="80" workbookViewId="0"/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229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5">
      <c r="A2" s="229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5">
      <c r="A3" s="43" t="s">
        <v>1131</v>
      </c>
      <c r="B3" s="40"/>
      <c r="C3" s="40"/>
      <c r="D3" s="40"/>
      <c r="E3" s="40"/>
      <c r="F3" s="40"/>
    </row>
    <row r="4" spans="1:15">
      <c r="A4" s="43" t="s">
        <v>1451</v>
      </c>
      <c r="B4" s="40"/>
      <c r="C4" s="40"/>
      <c r="D4" s="40"/>
      <c r="E4" s="40"/>
      <c r="F4" s="40"/>
    </row>
    <row r="6" spans="1:15">
      <c r="A6" s="4" t="s">
        <v>390</v>
      </c>
      <c r="F6" s="1" t="s">
        <v>1511</v>
      </c>
    </row>
    <row r="7" spans="1:15">
      <c r="A7" s="4" t="str">
        <f>A.1!A8</f>
        <v>Type of Filing:___X____Original________Updated ________Revised</v>
      </c>
      <c r="F7" s="4" t="s">
        <v>763</v>
      </c>
    </row>
    <row r="8" spans="1:15">
      <c r="A8" s="5" t="s">
        <v>440</v>
      </c>
      <c r="B8" s="6"/>
      <c r="C8" s="6"/>
      <c r="D8" s="6"/>
      <c r="E8" s="45"/>
      <c r="F8" s="581" t="s">
        <v>1216</v>
      </c>
    </row>
    <row r="9" spans="1:15">
      <c r="F9" s="2"/>
    </row>
    <row r="10" spans="1:15">
      <c r="C10" s="2" t="s">
        <v>1206</v>
      </c>
      <c r="D10" s="2" t="s">
        <v>45</v>
      </c>
      <c r="F10" s="2" t="s">
        <v>45</v>
      </c>
      <c r="I10" s="964"/>
      <c r="J10" s="880"/>
      <c r="K10" s="880"/>
      <c r="L10" s="880"/>
      <c r="M10" s="976"/>
      <c r="N10" s="880"/>
      <c r="O10" s="880"/>
    </row>
    <row r="11" spans="1:15">
      <c r="A11" s="2" t="s">
        <v>98</v>
      </c>
      <c r="C11" s="2" t="s">
        <v>63</v>
      </c>
      <c r="D11" s="46" t="s">
        <v>553</v>
      </c>
      <c r="F11" s="2" t="s">
        <v>553</v>
      </c>
      <c r="I11" s="880"/>
      <c r="J11" s="880"/>
      <c r="K11" s="880"/>
      <c r="L11" s="880"/>
      <c r="M11" s="880"/>
      <c r="N11" s="880"/>
      <c r="O11" s="880"/>
    </row>
    <row r="12" spans="1:15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I12" s="964"/>
      <c r="J12" s="880"/>
      <c r="K12" s="880"/>
      <c r="L12" s="880"/>
      <c r="M12" s="880"/>
      <c r="N12" s="880"/>
      <c r="O12" s="880"/>
    </row>
    <row r="13" spans="1:15">
      <c r="D13" s="2"/>
      <c r="F13" s="2"/>
      <c r="I13" s="964"/>
      <c r="J13" s="880"/>
      <c r="K13" s="880"/>
      <c r="L13" s="880"/>
      <c r="M13" s="880"/>
      <c r="N13" s="880"/>
      <c r="O13" s="880"/>
    </row>
    <row r="14" spans="1:15">
      <c r="I14" s="964"/>
      <c r="J14" s="880"/>
      <c r="K14" s="880"/>
      <c r="L14" s="880"/>
      <c r="M14" s="880"/>
      <c r="N14" s="880"/>
      <c r="O14" s="880"/>
    </row>
    <row r="15" spans="1:15">
      <c r="A15" s="2">
        <v>1</v>
      </c>
      <c r="B15" s="4" t="s">
        <v>172</v>
      </c>
      <c r="C15" s="2" t="s">
        <v>703</v>
      </c>
      <c r="D15" s="383">
        <f>'B.2 B'!I230</f>
        <v>516683026.74570662</v>
      </c>
      <c r="E15" s="99"/>
      <c r="F15" s="383">
        <f>'B.2 B'!N230</f>
        <v>489110378.92843777</v>
      </c>
      <c r="G15" s="107"/>
      <c r="H15" s="107"/>
      <c r="I15" s="964"/>
      <c r="J15" s="880"/>
      <c r="K15" s="880"/>
      <c r="L15" s="880"/>
      <c r="M15" s="880"/>
      <c r="N15" s="880"/>
      <c r="O15" s="880"/>
    </row>
    <row r="16" spans="1:15">
      <c r="A16" s="2">
        <f>A15+1</f>
        <v>2</v>
      </c>
      <c r="B16" s="4" t="s">
        <v>506</v>
      </c>
      <c r="C16" s="2" t="s">
        <v>703</v>
      </c>
      <c r="D16" s="455">
        <f>'B.2 B'!I232</f>
        <v>14905451.46043239</v>
      </c>
      <c r="E16" s="99"/>
      <c r="F16" s="99">
        <f>'B.2 B'!N232</f>
        <v>14481743.506047383</v>
      </c>
      <c r="G16" s="107"/>
      <c r="H16" s="107"/>
      <c r="I16" s="964"/>
      <c r="J16" s="880"/>
      <c r="K16" s="880"/>
      <c r="L16" s="880"/>
      <c r="M16" s="880"/>
      <c r="N16" s="880"/>
      <c r="O16" s="880"/>
    </row>
    <row r="17" spans="1:15">
      <c r="A17" s="2">
        <f>A16+1</f>
        <v>3</v>
      </c>
      <c r="B17" s="4" t="s">
        <v>544</v>
      </c>
      <c r="C17" s="2" t="s">
        <v>704</v>
      </c>
      <c r="D17" s="112">
        <f>-'B.3 B'!I230</f>
        <v>-172025700.90940386</v>
      </c>
      <c r="E17" s="99"/>
      <c r="F17" s="112">
        <f>-'B.3 B'!N230</f>
        <v>-168658168.73709506</v>
      </c>
      <c r="G17" s="107"/>
      <c r="H17" s="107"/>
      <c r="I17" s="964"/>
      <c r="J17" s="880"/>
      <c r="K17" s="880"/>
      <c r="L17" s="880"/>
      <c r="M17" s="880"/>
      <c r="N17" s="880"/>
      <c r="O17" s="880"/>
    </row>
    <row r="18" spans="1:15">
      <c r="A18" s="960"/>
      <c r="B18" s="4"/>
      <c r="C18" s="960"/>
      <c r="D18" s="103"/>
      <c r="E18" s="99"/>
      <c r="F18" s="103"/>
      <c r="G18" s="107"/>
      <c r="H18" s="107"/>
      <c r="I18" s="964"/>
      <c r="J18" s="880"/>
      <c r="K18" s="880"/>
      <c r="L18" s="880"/>
      <c r="M18" s="880"/>
      <c r="N18" s="880"/>
      <c r="O18" s="880"/>
    </row>
    <row r="19" spans="1:15">
      <c r="A19" s="2">
        <f>+A17+1</f>
        <v>4</v>
      </c>
      <c r="B19" s="4" t="s">
        <v>161</v>
      </c>
      <c r="D19" s="383">
        <f>SUM(D15:D17)</f>
        <v>359562777.29673517</v>
      </c>
      <c r="E19" s="99"/>
      <c r="F19" s="383">
        <f>SUM(F15:F17)</f>
        <v>334933953.69739008</v>
      </c>
      <c r="G19" s="107"/>
      <c r="H19" s="107"/>
      <c r="I19" s="964"/>
      <c r="J19" s="880"/>
      <c r="K19" s="880"/>
      <c r="L19" s="880"/>
      <c r="M19" s="880"/>
      <c r="N19" s="880"/>
      <c r="O19" s="880"/>
    </row>
    <row r="20" spans="1:15">
      <c r="A20" s="2"/>
      <c r="B20" s="4"/>
      <c r="D20" s="99"/>
      <c r="E20" s="99"/>
      <c r="F20" s="99"/>
      <c r="G20" s="107"/>
      <c r="H20" s="107"/>
      <c r="I20" s="964"/>
      <c r="J20" s="880"/>
      <c r="K20" s="880"/>
      <c r="L20" s="880"/>
      <c r="M20" s="880"/>
      <c r="N20" s="880"/>
      <c r="O20" s="880"/>
    </row>
    <row r="21" spans="1:15">
      <c r="A21" s="2">
        <f>A19+1</f>
        <v>5</v>
      </c>
      <c r="B21" s="4" t="s">
        <v>803</v>
      </c>
      <c r="C21" s="2" t="s">
        <v>705</v>
      </c>
      <c r="D21" s="383">
        <f>+'B.4 B'!E14</f>
        <v>3330930.5846503121</v>
      </c>
      <c r="E21" s="99"/>
      <c r="F21" s="383">
        <f>+D21</f>
        <v>3330930.5846503121</v>
      </c>
      <c r="G21" s="887"/>
      <c r="H21" s="887"/>
      <c r="I21" s="964"/>
      <c r="J21" s="880"/>
      <c r="K21" s="880"/>
      <c r="L21" s="880"/>
      <c r="M21" s="880"/>
      <c r="N21" s="880"/>
      <c r="O21" s="880"/>
    </row>
    <row r="22" spans="1:15">
      <c r="A22" s="2">
        <f>+A21+1</f>
        <v>6</v>
      </c>
      <c r="B22" s="4" t="s">
        <v>1078</v>
      </c>
      <c r="C22" s="2" t="s">
        <v>706</v>
      </c>
      <c r="D22" s="455">
        <f>+'B.4.1 B'!F37</f>
        <v>1262989.7059746538</v>
      </c>
      <c r="E22" s="99"/>
      <c r="F22" s="455">
        <f>+'B.4.1 B'!K37</f>
        <v>9751925.2921418622</v>
      </c>
      <c r="G22" s="107"/>
      <c r="H22" s="107"/>
      <c r="I22" s="964"/>
      <c r="J22" s="880"/>
      <c r="K22" s="880"/>
      <c r="L22" s="880"/>
      <c r="M22" s="880"/>
      <c r="N22" s="880"/>
      <c r="O22" s="880"/>
    </row>
    <row r="23" spans="1:15">
      <c r="A23" s="2">
        <f>+A22+1</f>
        <v>7</v>
      </c>
      <c r="B23" s="4" t="s">
        <v>649</v>
      </c>
      <c r="C23" s="2" t="s">
        <v>707</v>
      </c>
      <c r="D23" s="99">
        <f>'B.6 B'!G24</f>
        <v>-1767642.4683333335</v>
      </c>
      <c r="E23" s="107"/>
      <c r="F23" s="99">
        <f>'B.6 B'!L24</f>
        <v>-1767922.9961538462</v>
      </c>
      <c r="G23" s="107"/>
      <c r="H23" s="107"/>
      <c r="I23" s="964"/>
      <c r="J23" s="880"/>
      <c r="K23" s="880"/>
      <c r="L23" s="880"/>
      <c r="M23" s="880"/>
      <c r="N23" s="880"/>
      <c r="O23" s="880"/>
    </row>
    <row r="24" spans="1:15">
      <c r="A24" s="1077">
        <f t="shared" ref="A24:A25" si="0">+A23+1</f>
        <v>8</v>
      </c>
      <c r="B24" s="4" t="s">
        <v>1558</v>
      </c>
      <c r="C24" s="1077" t="s">
        <v>1557</v>
      </c>
      <c r="D24" s="99">
        <f>F.6!I14</f>
        <v>33033.29</v>
      </c>
      <c r="E24" s="107"/>
      <c r="F24" s="99">
        <f>F.6!I14</f>
        <v>33033.29</v>
      </c>
      <c r="G24" s="107"/>
      <c r="H24" s="107"/>
      <c r="I24" s="964"/>
      <c r="J24" s="880"/>
      <c r="K24" s="880"/>
      <c r="L24" s="880"/>
      <c r="M24" s="880"/>
      <c r="N24" s="880"/>
      <c r="O24" s="880"/>
    </row>
    <row r="25" spans="1:15">
      <c r="A25" s="1077">
        <f t="shared" si="0"/>
        <v>9</v>
      </c>
      <c r="B25" s="115" t="s">
        <v>1153</v>
      </c>
      <c r="C25" s="159" t="s">
        <v>708</v>
      </c>
      <c r="D25" s="109">
        <f>'B.5 B'!G49</f>
        <v>-59255504.899465494</v>
      </c>
      <c r="E25" s="107"/>
      <c r="F25" s="109">
        <f>'B.5 B'!L49</f>
        <v>-51882850.371284813</v>
      </c>
      <c r="G25" s="107"/>
      <c r="H25" s="107"/>
      <c r="I25" s="964"/>
      <c r="J25" s="880"/>
      <c r="K25" s="880"/>
      <c r="L25" s="880"/>
      <c r="M25" s="880"/>
      <c r="N25" s="880"/>
      <c r="O25" s="880"/>
    </row>
    <row r="26" spans="1:15">
      <c r="A26" s="1077"/>
      <c r="E26" s="107"/>
      <c r="G26" s="107"/>
      <c r="H26" s="107"/>
      <c r="I26" s="964"/>
      <c r="J26" s="880"/>
      <c r="K26" s="880"/>
      <c r="L26" s="880"/>
      <c r="M26" s="880"/>
      <c r="N26" s="880"/>
      <c r="O26" s="880"/>
    </row>
    <row r="27" spans="1:15" ht="15.75" thickBot="1">
      <c r="A27" s="1077">
        <f>+A25+1</f>
        <v>10</v>
      </c>
      <c r="B27" s="4" t="s">
        <v>162</v>
      </c>
      <c r="D27" s="385">
        <f>SUM(D19:D25)</f>
        <v>303166583.50956136</v>
      </c>
      <c r="E27" s="10"/>
      <c r="F27" s="385">
        <f>SUM(F19:F25)</f>
        <v>294399069.49674368</v>
      </c>
      <c r="G27" s="107"/>
      <c r="H27" s="107"/>
      <c r="I27" s="964"/>
      <c r="J27" s="880"/>
      <c r="K27" s="880"/>
      <c r="L27" s="880"/>
      <c r="M27" s="880"/>
      <c r="N27" s="880"/>
      <c r="O27" s="880"/>
    </row>
    <row r="28" spans="1:15" ht="15.75" thickTop="1">
      <c r="A28" s="2"/>
      <c r="D28" s="10"/>
      <c r="E28" s="10"/>
      <c r="F28" s="10"/>
      <c r="G28" s="107"/>
      <c r="H28" s="107"/>
    </row>
    <row r="29" spans="1:15">
      <c r="D29" s="107"/>
      <c r="E29" s="107"/>
      <c r="F29" s="107"/>
      <c r="G29" s="107"/>
      <c r="H29" s="107"/>
    </row>
    <row r="30" spans="1:15">
      <c r="D30" s="99"/>
      <c r="E30" s="107"/>
      <c r="F30" s="99"/>
      <c r="G30" s="107"/>
      <c r="H30" s="107"/>
    </row>
    <row r="31" spans="1:15">
      <c r="D31" s="99"/>
      <c r="E31" s="99"/>
      <c r="F31" s="99"/>
      <c r="G31" s="107"/>
      <c r="H31" s="107"/>
    </row>
  </sheetData>
  <phoneticPr fontId="24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N56"/>
  <sheetViews>
    <sheetView view="pageBreakPreview" zoomScale="60" zoomScaleNormal="90" workbookViewId="0">
      <pane ySplit="13" topLeftCell="A14" activePane="bottomLeft" state="frozen"/>
      <selection activeCell="K21" sqref="K21"/>
      <selection pane="bottomLeft" activeCell="A14" sqref="A14"/>
    </sheetView>
  </sheetViews>
  <sheetFormatPr defaultRowHeight="15"/>
  <cols>
    <col min="1" max="1" width="5.21875" customWidth="1"/>
    <col min="2" max="2" width="24.6640625" customWidth="1"/>
    <col min="3" max="3" width="9.5546875" bestFit="1" customWidth="1"/>
    <col min="4" max="4" width="11.6640625" customWidth="1"/>
    <col min="5" max="5" width="9.44140625" customWidth="1"/>
    <col min="6" max="6" width="4.109375" customWidth="1"/>
    <col min="7" max="7" width="11" customWidth="1"/>
    <col min="8" max="8" width="10.77734375" customWidth="1"/>
    <col min="9" max="9" width="10.109375" customWidth="1"/>
  </cols>
  <sheetData>
    <row r="1" spans="1:12" ht="15.75">
      <c r="A1" s="1271" t="str">
        <f>'Table of Contents'!A1:C1</f>
        <v>Atmos Energy Corporation, Kentucky/Mid-States Division</v>
      </c>
      <c r="B1" s="1271"/>
      <c r="C1" s="1271"/>
      <c r="D1" s="1271"/>
      <c r="E1" s="1271"/>
      <c r="F1" s="1271"/>
      <c r="G1" s="1271"/>
      <c r="H1" s="1271"/>
      <c r="I1" s="1271"/>
      <c r="J1" s="119"/>
    </row>
    <row r="2" spans="1:12" ht="15.75">
      <c r="A2" s="1271" t="str">
        <f>'Table of Contents'!A2:C2</f>
        <v>Kentucky Jurisdiction Case No. 2015-00343</v>
      </c>
      <c r="B2" s="1271"/>
      <c r="C2" s="1271"/>
      <c r="D2" s="1271"/>
      <c r="E2" s="1271"/>
      <c r="F2" s="1271"/>
      <c r="G2" s="1271"/>
      <c r="H2" s="1271"/>
      <c r="I2" s="1271"/>
      <c r="J2" s="119"/>
    </row>
    <row r="3" spans="1:12" ht="15.75">
      <c r="A3" s="1271" t="s">
        <v>41</v>
      </c>
      <c r="B3" s="1271"/>
      <c r="C3" s="1271"/>
      <c r="D3" s="1271"/>
      <c r="E3" s="1271"/>
      <c r="F3" s="1271"/>
      <c r="G3" s="1271"/>
      <c r="H3" s="1271"/>
      <c r="I3" s="1271"/>
      <c r="J3" s="119"/>
    </row>
    <row r="4" spans="1:12" ht="15.75">
      <c r="A4" s="1271" t="str">
        <f>'Table of Contents'!A3:C3</f>
        <v>Base Period: Twelve Months Ended February 29, 2016</v>
      </c>
      <c r="B4" s="1271"/>
      <c r="C4" s="1271"/>
      <c r="D4" s="1271"/>
      <c r="E4" s="1271"/>
      <c r="F4" s="1271"/>
      <c r="G4" s="1271"/>
      <c r="H4" s="1271"/>
      <c r="I4" s="1271"/>
      <c r="J4" s="119"/>
    </row>
    <row r="5" spans="1:12" ht="15.75">
      <c r="A5" s="1271" t="str">
        <f>'Table of Contents'!A4:C4</f>
        <v>Forecasted Test Period: Twelve Months Ended May 31, 2017</v>
      </c>
      <c r="B5" s="1271"/>
      <c r="C5" s="1271"/>
      <c r="D5" s="1271"/>
      <c r="E5" s="1271"/>
      <c r="F5" s="1271"/>
      <c r="G5" s="1271"/>
      <c r="H5" s="1271"/>
      <c r="I5" s="1271"/>
      <c r="J5" s="119"/>
    </row>
    <row r="6" spans="1:12" ht="15.75">
      <c r="A6" s="12"/>
      <c r="B6" s="12"/>
      <c r="C6" s="119"/>
      <c r="D6" s="119"/>
      <c r="E6" s="119"/>
      <c r="F6" s="119"/>
      <c r="G6" s="119"/>
      <c r="H6" s="119"/>
      <c r="I6" s="119"/>
      <c r="J6" s="119"/>
      <c r="L6" s="1057"/>
    </row>
    <row r="7" spans="1:12" ht="15.75">
      <c r="A7" s="12"/>
      <c r="B7" s="12"/>
      <c r="C7" s="119"/>
      <c r="D7" s="769"/>
      <c r="F7" s="119"/>
      <c r="G7" s="119"/>
      <c r="I7" s="119"/>
      <c r="J7" s="119"/>
      <c r="L7" s="1057"/>
    </row>
    <row r="8" spans="1:12">
      <c r="A8" s="95" t="s">
        <v>141</v>
      </c>
      <c r="B8" s="119"/>
      <c r="C8" s="119"/>
      <c r="D8" s="119"/>
      <c r="E8" s="119"/>
      <c r="F8" s="119"/>
      <c r="G8" s="119"/>
      <c r="I8" s="488" t="s">
        <v>1504</v>
      </c>
      <c r="J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I9" s="733" t="s">
        <v>589</v>
      </c>
      <c r="J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81"/>
      <c r="I10" s="734" t="str">
        <f>F.1!$F$9</f>
        <v>Witness: Waller</v>
      </c>
      <c r="J10" s="119"/>
    </row>
    <row r="11" spans="1:12" ht="15.75">
      <c r="A11" s="161"/>
      <c r="B11" s="161"/>
      <c r="C11" s="738"/>
      <c r="D11" s="739" t="s">
        <v>333</v>
      </c>
      <c r="E11" s="740"/>
      <c r="F11" s="161"/>
      <c r="G11" s="738"/>
      <c r="H11" s="739" t="s">
        <v>334</v>
      </c>
      <c r="I11" s="740"/>
      <c r="J11" s="119"/>
      <c r="L11" s="794"/>
    </row>
    <row r="12" spans="1:12">
      <c r="A12" s="127" t="s">
        <v>98</v>
      </c>
      <c r="B12" s="127" t="s">
        <v>587</v>
      </c>
      <c r="C12" s="127" t="s">
        <v>101</v>
      </c>
      <c r="D12" s="76" t="s">
        <v>11</v>
      </c>
      <c r="E12" s="126" t="s">
        <v>12</v>
      </c>
      <c r="F12" s="126"/>
      <c r="G12" s="127" t="s">
        <v>101</v>
      </c>
      <c r="H12" s="126" t="str">
        <f>D12</f>
        <v xml:space="preserve">Kentucky </v>
      </c>
      <c r="I12" s="126" t="s">
        <v>1000</v>
      </c>
      <c r="J12" s="119"/>
    </row>
    <row r="13" spans="1:12">
      <c r="A13" s="128" t="s">
        <v>104</v>
      </c>
      <c r="B13" s="128" t="s">
        <v>1101</v>
      </c>
      <c r="C13" s="128" t="s">
        <v>609</v>
      </c>
      <c r="D13" s="84" t="s">
        <v>102</v>
      </c>
      <c r="E13" s="128" t="s">
        <v>109</v>
      </c>
      <c r="F13" s="128"/>
      <c r="G13" s="128" t="s">
        <v>609</v>
      </c>
      <c r="H13" s="128" t="str">
        <f>D13</f>
        <v>Jurisdictional</v>
      </c>
      <c r="I13" s="128" t="s">
        <v>109</v>
      </c>
      <c r="J13" s="119"/>
      <c r="L13" s="1057"/>
    </row>
    <row r="14" spans="1:12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2" ht="15.75">
      <c r="A15" s="117">
        <v>1</v>
      </c>
      <c r="B15" s="565" t="s">
        <v>198</v>
      </c>
      <c r="C15" s="489"/>
      <c r="D15" s="100"/>
      <c r="E15" s="493"/>
      <c r="F15" s="100"/>
      <c r="G15" s="489"/>
      <c r="H15" s="100"/>
      <c r="I15" s="493"/>
      <c r="J15" s="363"/>
    </row>
    <row r="16" spans="1:12">
      <c r="A16" s="117">
        <v>2</v>
      </c>
      <c r="B16" s="497" t="s">
        <v>590</v>
      </c>
      <c r="C16" s="424">
        <v>0</v>
      </c>
      <c r="D16" s="567">
        <v>1</v>
      </c>
      <c r="E16" s="424">
        <f>C16*D16</f>
        <v>0</v>
      </c>
      <c r="F16" s="100"/>
      <c r="G16" s="424">
        <v>0</v>
      </c>
      <c r="H16" s="567">
        <f>D16</f>
        <v>1</v>
      </c>
      <c r="I16" s="424">
        <f>G16*H16</f>
        <v>0</v>
      </c>
      <c r="J16" s="363"/>
    </row>
    <row r="17" spans="1:14">
      <c r="A17" s="117">
        <v>3</v>
      </c>
      <c r="B17" s="562" t="s">
        <v>591</v>
      </c>
      <c r="C17" s="489">
        <v>0</v>
      </c>
      <c r="D17" s="567">
        <f>$D$16</f>
        <v>1</v>
      </c>
      <c r="E17" s="489">
        <f>C17*D17</f>
        <v>0</v>
      </c>
      <c r="F17" s="100"/>
      <c r="G17" s="489">
        <v>0</v>
      </c>
      <c r="H17" s="567">
        <f>D17</f>
        <v>1</v>
      </c>
      <c r="I17" s="489">
        <f>G17*H17</f>
        <v>0</v>
      </c>
      <c r="J17" s="536"/>
      <c r="K17" s="106"/>
      <c r="L17" s="106"/>
      <c r="N17" s="106"/>
    </row>
    <row r="18" spans="1:14">
      <c r="A18" s="117">
        <v>4</v>
      </c>
      <c r="B18" s="562" t="s">
        <v>679</v>
      </c>
      <c r="C18" s="493">
        <v>49382.03</v>
      </c>
      <c r="D18" s="567">
        <f>$D$16</f>
        <v>1</v>
      </c>
      <c r="E18" s="493">
        <f>C18*D18</f>
        <v>49382.03</v>
      </c>
      <c r="F18" s="100"/>
      <c r="G18" s="493">
        <f>C18</f>
        <v>49382.03</v>
      </c>
      <c r="H18" s="567">
        <f>D18</f>
        <v>1</v>
      </c>
      <c r="I18" s="493">
        <f>G18*H18</f>
        <v>49382.03</v>
      </c>
      <c r="J18" s="531"/>
      <c r="K18" s="106"/>
      <c r="L18" s="106"/>
      <c r="M18" s="106"/>
      <c r="N18" s="106"/>
    </row>
    <row r="19" spans="1:14">
      <c r="A19" s="117">
        <v>5</v>
      </c>
      <c r="B19" s="562" t="s">
        <v>600</v>
      </c>
      <c r="C19" s="564">
        <v>0</v>
      </c>
      <c r="D19" s="567">
        <f>$D$16</f>
        <v>1</v>
      </c>
      <c r="E19" s="564">
        <f>C19*D19</f>
        <v>0</v>
      </c>
      <c r="F19" s="100"/>
      <c r="G19" s="564">
        <v>0</v>
      </c>
      <c r="H19" s="567">
        <f>D19</f>
        <v>1</v>
      </c>
      <c r="I19" s="564">
        <f>G19*H19</f>
        <v>0</v>
      </c>
      <c r="J19" s="410"/>
      <c r="K19" s="106"/>
      <c r="L19" s="106"/>
      <c r="N19" s="106"/>
    </row>
    <row r="20" spans="1:14">
      <c r="A20" s="117">
        <v>6</v>
      </c>
      <c r="B20" s="563" t="s">
        <v>101</v>
      </c>
      <c r="C20" s="657">
        <f>SUM(C16:C19)</f>
        <v>49382.03</v>
      </c>
      <c r="D20" s="100"/>
      <c r="E20" s="657">
        <f>SUM(E16:E19)</f>
        <v>49382.03</v>
      </c>
      <c r="F20" s="100"/>
      <c r="G20" s="657">
        <f>SUM(G16:G19)</f>
        <v>49382.03</v>
      </c>
      <c r="H20" s="100"/>
      <c r="I20" s="657">
        <f>SUM(I16:I19)</f>
        <v>49382.03</v>
      </c>
      <c r="J20" s="410"/>
      <c r="K20" s="106"/>
      <c r="L20" s="106"/>
      <c r="N20" s="106"/>
    </row>
    <row r="21" spans="1:14">
      <c r="A21" s="117">
        <v>7</v>
      </c>
      <c r="B21" s="106"/>
      <c r="C21" s="489"/>
      <c r="D21" s="100"/>
      <c r="E21" s="489"/>
      <c r="F21" s="100"/>
      <c r="G21" s="489"/>
      <c r="H21" s="100"/>
      <c r="I21" s="489"/>
      <c r="J21" s="410"/>
      <c r="K21" s="106"/>
      <c r="L21" s="106"/>
      <c r="N21" s="106"/>
    </row>
    <row r="22" spans="1:14" ht="15.75">
      <c r="A22" s="117">
        <v>8</v>
      </c>
      <c r="B22" s="565" t="s">
        <v>83</v>
      </c>
      <c r="C22" s="493"/>
      <c r="D22" s="100"/>
      <c r="E22" s="493"/>
      <c r="F22" s="100"/>
      <c r="G22" s="493"/>
      <c r="H22" s="100"/>
      <c r="I22" s="493"/>
      <c r="J22" s="363"/>
      <c r="K22" s="106"/>
      <c r="L22" s="106"/>
      <c r="M22" s="106"/>
      <c r="N22" s="106"/>
    </row>
    <row r="23" spans="1:14">
      <c r="A23" s="117">
        <v>9</v>
      </c>
      <c r="B23" s="497" t="s">
        <v>590</v>
      </c>
      <c r="C23" s="424">
        <v>0</v>
      </c>
      <c r="D23" s="568">
        <f>Allocation!$I$17</f>
        <v>0.49090457251500325</v>
      </c>
      <c r="E23" s="424">
        <f>C23*D23</f>
        <v>0</v>
      </c>
      <c r="F23" s="100"/>
      <c r="G23" s="424">
        <v>0</v>
      </c>
      <c r="H23" s="568">
        <f>Allocation!$E$17</f>
        <v>0.49090457251500325</v>
      </c>
      <c r="I23" s="424">
        <f>G23*H23</f>
        <v>0</v>
      </c>
      <c r="J23" s="363"/>
      <c r="K23" s="106"/>
      <c r="L23" s="106"/>
      <c r="N23" s="106"/>
    </row>
    <row r="24" spans="1:14">
      <c r="A24" s="117">
        <v>10</v>
      </c>
      <c r="B24" s="562" t="s">
        <v>591</v>
      </c>
      <c r="C24" s="489">
        <v>0</v>
      </c>
      <c r="D24" s="568">
        <f>$D$23</f>
        <v>0.49090457251500325</v>
      </c>
      <c r="E24" s="489">
        <f>C24*D24</f>
        <v>0</v>
      </c>
      <c r="F24" s="100"/>
      <c r="G24" s="489">
        <v>0</v>
      </c>
      <c r="H24" s="568">
        <f>H23</f>
        <v>0.49090457251500325</v>
      </c>
      <c r="I24" s="489">
        <f>G24*H24</f>
        <v>0</v>
      </c>
      <c r="J24" s="536"/>
      <c r="K24" s="106"/>
      <c r="L24" s="106"/>
      <c r="M24" s="106"/>
      <c r="N24" s="106"/>
    </row>
    <row r="25" spans="1:14">
      <c r="A25" s="117">
        <v>11</v>
      </c>
      <c r="B25" s="562" t="s">
        <v>679</v>
      </c>
      <c r="C25" s="493">
        <v>-4245.2990000000009</v>
      </c>
      <c r="D25" s="568">
        <f>$D$23</f>
        <v>0.49090457251500325</v>
      </c>
      <c r="E25" s="493">
        <f>C25*D25</f>
        <v>-2084.0366907933712</v>
      </c>
      <c r="F25" s="100"/>
      <c r="G25" s="493">
        <f>C25</f>
        <v>-4245.2990000000009</v>
      </c>
      <c r="H25" s="568">
        <f>H23</f>
        <v>0.49090457251500325</v>
      </c>
      <c r="I25" s="493">
        <f>G25*H25</f>
        <v>-2084.0366907933712</v>
      </c>
      <c r="J25" s="531"/>
    </row>
    <row r="26" spans="1:14">
      <c r="A26" s="117">
        <v>12</v>
      </c>
      <c r="B26" s="562" t="s">
        <v>600</v>
      </c>
      <c r="C26" s="564">
        <v>0</v>
      </c>
      <c r="D26" s="568">
        <f>$D$23</f>
        <v>0.49090457251500325</v>
      </c>
      <c r="E26" s="564">
        <f>C26*D26</f>
        <v>0</v>
      </c>
      <c r="F26" s="100"/>
      <c r="G26" s="564">
        <v>0</v>
      </c>
      <c r="H26" s="568">
        <f>H23</f>
        <v>0.49090457251500325</v>
      </c>
      <c r="I26" s="564">
        <f>G26*H26</f>
        <v>0</v>
      </c>
      <c r="J26" s="531"/>
    </row>
    <row r="27" spans="1:14">
      <c r="A27" s="117">
        <v>13</v>
      </c>
      <c r="B27" s="563" t="s">
        <v>101</v>
      </c>
      <c r="C27" s="657">
        <f>SUM(C23:C26)</f>
        <v>-4245.2990000000009</v>
      </c>
      <c r="D27" s="130"/>
      <c r="E27" s="657">
        <f>SUM(E23:E26)</f>
        <v>-2084.0366907933712</v>
      </c>
      <c r="F27" s="130"/>
      <c r="G27" s="657">
        <f>SUM(G23:G26)</f>
        <v>-4245.2990000000009</v>
      </c>
      <c r="H27" s="119"/>
      <c r="I27" s="657">
        <f>SUM(I23:I26)</f>
        <v>-2084.0366907933712</v>
      </c>
      <c r="J27" s="363"/>
    </row>
    <row r="28" spans="1:14">
      <c r="A28" s="117">
        <v>14</v>
      </c>
      <c r="B28" s="363"/>
      <c r="C28" s="130"/>
      <c r="D28" s="130"/>
      <c r="E28" s="130"/>
      <c r="F28" s="130"/>
      <c r="G28" s="130"/>
      <c r="H28" s="119"/>
      <c r="I28" s="130"/>
      <c r="J28" s="363"/>
    </row>
    <row r="29" spans="1:14" ht="15.75">
      <c r="A29" s="117">
        <v>15</v>
      </c>
      <c r="B29" s="565" t="s">
        <v>81</v>
      </c>
      <c r="C29" s="130"/>
      <c r="D29" s="130"/>
      <c r="E29" s="130"/>
      <c r="F29" s="130"/>
      <c r="G29" s="130"/>
      <c r="H29" s="119"/>
      <c r="I29" s="130"/>
      <c r="J29" s="536"/>
    </row>
    <row r="30" spans="1:14">
      <c r="A30" s="117">
        <v>16</v>
      </c>
      <c r="B30" s="497" t="s">
        <v>590</v>
      </c>
      <c r="C30" s="424">
        <v>0</v>
      </c>
      <c r="D30" s="418">
        <f>Allocation!$I$14</f>
        <v>5.2575879716356848E-2</v>
      </c>
      <c r="E30" s="424">
        <f>C30*D30</f>
        <v>0</v>
      </c>
      <c r="F30" s="130"/>
      <c r="G30" s="424">
        <v>0</v>
      </c>
      <c r="H30" s="419">
        <f>Allocation!$E$14</f>
        <v>5.2575879716356848E-2</v>
      </c>
      <c r="I30" s="424">
        <f>G30*H30</f>
        <v>0</v>
      </c>
      <c r="J30" s="531"/>
    </row>
    <row r="31" spans="1:14">
      <c r="A31" s="117">
        <v>17</v>
      </c>
      <c r="B31" s="562" t="s">
        <v>591</v>
      </c>
      <c r="C31" s="489">
        <v>0</v>
      </c>
      <c r="D31" s="418">
        <f>$D$30</f>
        <v>5.2575879716356848E-2</v>
      </c>
      <c r="E31" s="489">
        <f>C31*D31</f>
        <v>0</v>
      </c>
      <c r="F31" s="130"/>
      <c r="G31" s="489">
        <v>0</v>
      </c>
      <c r="H31" s="568">
        <f>D31</f>
        <v>5.2575879716356848E-2</v>
      </c>
      <c r="I31" s="489">
        <f>G31*H31</f>
        <v>0</v>
      </c>
      <c r="J31" s="531"/>
    </row>
    <row r="32" spans="1:14">
      <c r="A32" s="117">
        <v>18</v>
      </c>
      <c r="B32" s="562" t="s">
        <v>679</v>
      </c>
      <c r="C32" s="493">
        <v>521447.54670000012</v>
      </c>
      <c r="D32" s="418">
        <f>$D$30</f>
        <v>5.2575879716356848E-2</v>
      </c>
      <c r="E32" s="493">
        <f>C32*D32</f>
        <v>27415.563493688576</v>
      </c>
      <c r="F32" s="130"/>
      <c r="G32" s="493">
        <f>C32</f>
        <v>521447.54670000012</v>
      </c>
      <c r="H32" s="568">
        <f>D32</f>
        <v>5.2575879716356848E-2</v>
      </c>
      <c r="I32" s="493">
        <f>G32*H32</f>
        <v>27415.563493688576</v>
      </c>
      <c r="J32" s="363"/>
    </row>
    <row r="33" spans="1:10">
      <c r="A33" s="117">
        <v>19</v>
      </c>
      <c r="B33" s="562" t="s">
        <v>600</v>
      </c>
      <c r="C33" s="564">
        <v>0</v>
      </c>
      <c r="D33" s="418">
        <f>$D$30</f>
        <v>5.2575879716356848E-2</v>
      </c>
      <c r="E33" s="564">
        <f>C33*D33</f>
        <v>0</v>
      </c>
      <c r="F33" s="130"/>
      <c r="G33" s="564">
        <v>0</v>
      </c>
      <c r="H33" s="568">
        <f>D33</f>
        <v>5.2575879716356848E-2</v>
      </c>
      <c r="I33" s="564">
        <f>G33*H33</f>
        <v>0</v>
      </c>
      <c r="J33" s="363"/>
    </row>
    <row r="34" spans="1:10">
      <c r="A34" s="117">
        <v>20</v>
      </c>
      <c r="B34" s="563" t="s">
        <v>101</v>
      </c>
      <c r="C34" s="657">
        <f>SUM(C30:C33)</f>
        <v>521447.54670000012</v>
      </c>
      <c r="D34" s="130"/>
      <c r="E34" s="657">
        <f>SUM(E30:E33)</f>
        <v>27415.563493688576</v>
      </c>
      <c r="F34" s="130"/>
      <c r="G34" s="657">
        <f>SUM(G30:G33)</f>
        <v>521447.54670000012</v>
      </c>
      <c r="H34" s="119"/>
      <c r="I34" s="657">
        <f>SUM(I30:I33)</f>
        <v>27415.563493688576</v>
      </c>
      <c r="J34" s="536"/>
    </row>
    <row r="35" spans="1:10">
      <c r="A35" s="117">
        <v>21</v>
      </c>
      <c r="B35" s="536"/>
      <c r="C35" s="130"/>
      <c r="D35" s="130"/>
      <c r="E35" s="130"/>
      <c r="F35" s="130"/>
      <c r="G35" s="130"/>
      <c r="H35" s="119"/>
      <c r="I35" s="130"/>
      <c r="J35" s="119"/>
    </row>
    <row r="36" spans="1:10" ht="15.75">
      <c r="A36" s="117">
        <v>22</v>
      </c>
      <c r="B36" s="565" t="s">
        <v>82</v>
      </c>
      <c r="C36" s="130"/>
      <c r="D36" s="130"/>
      <c r="E36" s="130"/>
      <c r="F36" s="130"/>
      <c r="G36" s="130"/>
      <c r="H36" s="119"/>
      <c r="I36" s="130"/>
      <c r="J36" s="119"/>
    </row>
    <row r="37" spans="1:10">
      <c r="A37" s="117">
        <v>23</v>
      </c>
      <c r="B37" s="497" t="s">
        <v>590</v>
      </c>
      <c r="C37" s="424">
        <v>0</v>
      </c>
      <c r="D37" s="418">
        <f>Allocation!$I$15</f>
        <v>5.712253040952902E-2</v>
      </c>
      <c r="E37" s="424">
        <f>C37*D37</f>
        <v>0</v>
      </c>
      <c r="F37" s="130"/>
      <c r="G37" s="424">
        <v>0</v>
      </c>
      <c r="H37" s="568">
        <f>D37</f>
        <v>5.712253040952902E-2</v>
      </c>
      <c r="I37" s="424">
        <f>G37*H37</f>
        <v>0</v>
      </c>
      <c r="J37" s="119"/>
    </row>
    <row r="38" spans="1:10">
      <c r="A38" s="117">
        <v>24</v>
      </c>
      <c r="B38" s="562" t="s">
        <v>591</v>
      </c>
      <c r="C38" s="489">
        <v>0</v>
      </c>
      <c r="D38" s="418">
        <f>$D$37</f>
        <v>5.712253040952902E-2</v>
      </c>
      <c r="E38" s="489">
        <f>C38*D38</f>
        <v>0</v>
      </c>
      <c r="F38" s="106"/>
      <c r="G38" s="489">
        <v>0</v>
      </c>
      <c r="H38" s="568">
        <f>D38</f>
        <v>5.712253040952902E-2</v>
      </c>
      <c r="I38" s="489">
        <f>G38*H38</f>
        <v>0</v>
      </c>
    </row>
    <row r="39" spans="1:10">
      <c r="A39" s="117">
        <v>25</v>
      </c>
      <c r="B39" s="562" t="s">
        <v>679</v>
      </c>
      <c r="C39" s="493">
        <v>0</v>
      </c>
      <c r="D39" s="418">
        <f>$D$37</f>
        <v>5.712253040952902E-2</v>
      </c>
      <c r="E39" s="493">
        <f>C39*D39</f>
        <v>0</v>
      </c>
      <c r="F39" s="106"/>
      <c r="G39" s="493">
        <f>C39</f>
        <v>0</v>
      </c>
      <c r="H39" s="568">
        <f>D39</f>
        <v>5.712253040952902E-2</v>
      </c>
      <c r="I39" s="493">
        <f>G39*H39</f>
        <v>0</v>
      </c>
    </row>
    <row r="40" spans="1:10">
      <c r="A40" s="117">
        <v>26</v>
      </c>
      <c r="B40" s="562" t="s">
        <v>600</v>
      </c>
      <c r="C40" s="564">
        <v>0</v>
      </c>
      <c r="D40" s="418">
        <f>$D$37</f>
        <v>5.712253040952902E-2</v>
      </c>
      <c r="E40" s="564">
        <f>C40*D40</f>
        <v>0</v>
      </c>
      <c r="F40" s="106"/>
      <c r="G40" s="564">
        <v>0</v>
      </c>
      <c r="H40" s="568">
        <f>D40</f>
        <v>5.712253040952902E-2</v>
      </c>
      <c r="I40" s="564">
        <f>G40*H40</f>
        <v>0</v>
      </c>
    </row>
    <row r="41" spans="1:10">
      <c r="A41" s="117">
        <v>27</v>
      </c>
      <c r="B41" s="563" t="s">
        <v>101</v>
      </c>
      <c r="C41" s="657">
        <f>SUM(C37:C40)</f>
        <v>0</v>
      </c>
      <c r="D41" s="106"/>
      <c r="E41" s="657">
        <f>SUM(E37:E40)</f>
        <v>0</v>
      </c>
      <c r="F41" s="106"/>
      <c r="G41" s="657">
        <f>SUM(G37:G40)</f>
        <v>0</v>
      </c>
      <c r="I41" s="657">
        <f>SUM(I37:I40)</f>
        <v>0</v>
      </c>
    </row>
    <row r="42" spans="1:10">
      <c r="A42" s="117">
        <v>28</v>
      </c>
      <c r="C42" s="106"/>
      <c r="D42" s="106"/>
      <c r="E42" s="106"/>
      <c r="F42" s="106"/>
      <c r="G42" s="106"/>
    </row>
    <row r="43" spans="1:10" ht="16.5" thickBot="1">
      <c r="A43" s="117">
        <v>29</v>
      </c>
      <c r="B43" s="566" t="s">
        <v>953</v>
      </c>
      <c r="C43" s="678">
        <f>C41+C34+C27+C20</f>
        <v>566584.27770000009</v>
      </c>
      <c r="D43" s="106"/>
      <c r="E43" s="678">
        <f>E41+E34+E27+E20</f>
        <v>74713.556802895211</v>
      </c>
      <c r="F43" s="106"/>
      <c r="G43" s="678">
        <f>G41+G34+G27+G20</f>
        <v>566584.27770000009</v>
      </c>
      <c r="I43" s="417">
        <f>I41+I34+I27+I20</f>
        <v>74713.556802895211</v>
      </c>
    </row>
    <row r="44" spans="1:10" ht="15.75" thickTop="1"/>
    <row r="45" spans="1:10">
      <c r="B45" t="s">
        <v>819</v>
      </c>
    </row>
    <row r="46" spans="1:10">
      <c r="B46" s="4" t="s">
        <v>291</v>
      </c>
    </row>
    <row r="47" spans="1:10">
      <c r="B47" s="4" t="s">
        <v>400</v>
      </c>
    </row>
    <row r="48" spans="1:10">
      <c r="B48" s="1"/>
    </row>
    <row r="49" spans="2:2">
      <c r="B49" s="4" t="s">
        <v>439</v>
      </c>
    </row>
    <row r="51" spans="2:2">
      <c r="B51" s="4" t="s">
        <v>783</v>
      </c>
    </row>
    <row r="55" spans="2:2">
      <c r="B55" t="s">
        <v>533</v>
      </c>
    </row>
    <row r="56" spans="2:2">
      <c r="B56" t="s">
        <v>1598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60" zoomScaleNormal="90" workbookViewId="0">
      <selection sqref="A1:I1"/>
    </sheetView>
  </sheetViews>
  <sheetFormatPr defaultRowHeight="15"/>
  <cols>
    <col min="1" max="1" width="5.88671875" customWidth="1"/>
    <col min="2" max="2" width="32.44140625" customWidth="1"/>
    <col min="3" max="3" width="11.33203125" customWidth="1"/>
    <col min="4" max="4" width="11.109375" customWidth="1"/>
    <col min="5" max="5" width="9.6640625" customWidth="1"/>
    <col min="6" max="6" width="4.21875" customWidth="1"/>
    <col min="7" max="7" width="9.5546875" bestFit="1" customWidth="1"/>
    <col min="8" max="8" width="12" customWidth="1"/>
    <col min="9" max="9" width="10.77734375" customWidth="1"/>
  </cols>
  <sheetData>
    <row r="1" spans="1:14" ht="15.75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</row>
    <row r="2" spans="1:14" ht="15.75">
      <c r="A2" s="1269" t="str">
        <f>'Table of Contents'!A2:C2</f>
        <v>Kentucky Jurisdiction Case No. 2015-00343</v>
      </c>
      <c r="B2" s="1269" t="s">
        <v>332</v>
      </c>
      <c r="C2" s="1269"/>
      <c r="D2" s="1269"/>
      <c r="E2" s="1269"/>
      <c r="F2" s="1269"/>
      <c r="G2" s="1269"/>
      <c r="H2" s="1269"/>
      <c r="I2" s="1269"/>
      <c r="J2" s="119"/>
    </row>
    <row r="3" spans="1:14" ht="15.75">
      <c r="A3" s="1269" t="s">
        <v>900</v>
      </c>
      <c r="B3" s="1269"/>
      <c r="C3" s="1269"/>
      <c r="D3" s="1269"/>
      <c r="E3" s="1269"/>
      <c r="F3" s="1269"/>
      <c r="G3" s="1269"/>
      <c r="H3" s="1269"/>
      <c r="I3" s="1269"/>
      <c r="J3" s="119"/>
    </row>
    <row r="4" spans="1:14" ht="15.75">
      <c r="A4" s="1269"/>
      <c r="B4" s="1269"/>
      <c r="C4" s="1269"/>
      <c r="D4" s="1269"/>
      <c r="E4" s="1269"/>
      <c r="F4" s="1269"/>
      <c r="G4" s="1269"/>
      <c r="H4" s="1269"/>
      <c r="I4" s="1269"/>
      <c r="J4" s="119"/>
    </row>
    <row r="5" spans="1:14" ht="15.75">
      <c r="A5" s="1269"/>
      <c r="B5" s="1269"/>
      <c r="C5" s="1269"/>
      <c r="D5" s="1269"/>
      <c r="E5" s="1269"/>
      <c r="F5" s="1269"/>
      <c r="G5" s="1269"/>
      <c r="H5" s="1269"/>
      <c r="I5" s="1269"/>
      <c r="J5" s="119"/>
    </row>
    <row r="6" spans="1:14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4" ht="15.75">
      <c r="A7" s="95" t="s">
        <v>141</v>
      </c>
      <c r="B7" s="119"/>
      <c r="C7" s="12"/>
      <c r="D7" s="119"/>
      <c r="E7" s="119"/>
      <c r="F7" s="119"/>
      <c r="G7" s="119"/>
      <c r="I7" s="488" t="s">
        <v>1504</v>
      </c>
      <c r="J7" s="119"/>
    </row>
    <row r="8" spans="1:14" ht="15.75">
      <c r="A8" s="95" t="s">
        <v>1144</v>
      </c>
      <c r="B8" s="119"/>
      <c r="C8" s="12"/>
      <c r="D8" s="119"/>
      <c r="E8" s="119"/>
      <c r="F8" s="119"/>
      <c r="G8" s="119"/>
      <c r="I8" s="733" t="s">
        <v>732</v>
      </c>
      <c r="J8" s="119"/>
    </row>
    <row r="9" spans="1:14" ht="15.75">
      <c r="A9" s="95" t="s">
        <v>375</v>
      </c>
      <c r="B9" s="119"/>
      <c r="C9" s="12"/>
      <c r="D9" s="119"/>
      <c r="E9" s="119"/>
      <c r="F9" s="119"/>
      <c r="G9" s="119"/>
      <c r="H9" s="75"/>
      <c r="I9" s="734" t="str">
        <f>F.1!$F$9</f>
        <v>Witness: Waller</v>
      </c>
      <c r="J9" s="119"/>
    </row>
    <row r="10" spans="1:14" ht="15.75">
      <c r="A10" s="161"/>
      <c r="B10" s="161"/>
      <c r="C10" s="162"/>
      <c r="D10" s="35" t="s">
        <v>333</v>
      </c>
      <c r="E10" s="162"/>
      <c r="F10" s="161"/>
      <c r="G10" s="162"/>
      <c r="H10" s="735" t="s">
        <v>334</v>
      </c>
      <c r="I10" s="162"/>
      <c r="J10" s="119"/>
      <c r="K10" s="837"/>
    </row>
    <row r="11" spans="1:14">
      <c r="A11" s="127" t="s">
        <v>98</v>
      </c>
      <c r="B11" s="119"/>
      <c r="C11" s="127"/>
      <c r="D11" s="76" t="s">
        <v>11</v>
      </c>
      <c r="E11" s="126" t="s">
        <v>12</v>
      </c>
      <c r="F11" s="119"/>
      <c r="G11" s="127"/>
      <c r="H11" s="126" t="str">
        <f>D11</f>
        <v xml:space="preserve">Kentucky </v>
      </c>
      <c r="I11" s="126" t="s">
        <v>1000</v>
      </c>
      <c r="J11" s="119"/>
      <c r="K11" s="1057"/>
    </row>
    <row r="12" spans="1:14">
      <c r="A12" s="128" t="s">
        <v>104</v>
      </c>
      <c r="B12" s="128" t="s">
        <v>1004</v>
      </c>
      <c r="C12" s="128" t="s">
        <v>109</v>
      </c>
      <c r="D12" s="84" t="s">
        <v>102</v>
      </c>
      <c r="E12" s="128" t="s">
        <v>109</v>
      </c>
      <c r="F12" s="124"/>
      <c r="G12" s="128" t="s">
        <v>109</v>
      </c>
      <c r="H12" s="128" t="str">
        <f>D12</f>
        <v>Jurisdictional</v>
      </c>
      <c r="I12" s="128" t="s">
        <v>109</v>
      </c>
      <c r="J12" s="119"/>
    </row>
    <row r="13" spans="1:14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L13" s="768"/>
      <c r="N13" s="768"/>
    </row>
    <row r="14" spans="1:14" ht="15.75">
      <c r="A14" s="126"/>
      <c r="B14" s="358"/>
      <c r="C14" s="556"/>
      <c r="D14" s="556"/>
      <c r="E14" s="556"/>
      <c r="F14" s="556"/>
      <c r="G14" s="556"/>
      <c r="H14" s="556"/>
      <c r="I14" s="556"/>
      <c r="J14" s="556"/>
      <c r="L14" s="768"/>
      <c r="N14" s="768"/>
    </row>
    <row r="15" spans="1:14">
      <c r="A15" s="127"/>
      <c r="B15" s="117"/>
      <c r="C15" s="117" t="s">
        <v>332</v>
      </c>
      <c r="D15" s="117" t="s">
        <v>332</v>
      </c>
      <c r="E15" s="117" t="s">
        <v>332</v>
      </c>
      <c r="F15" s="117" t="s">
        <v>332</v>
      </c>
      <c r="G15" s="119"/>
      <c r="H15" s="131" t="str">
        <f>F15</f>
        <v xml:space="preserve"> </v>
      </c>
      <c r="I15" s="117" t="s">
        <v>332</v>
      </c>
      <c r="J15" s="119"/>
    </row>
    <row r="16" spans="1:14">
      <c r="A16" s="126">
        <v>1</v>
      </c>
      <c r="B16" s="410" t="s">
        <v>198</v>
      </c>
      <c r="C16" s="459">
        <v>14795.2</v>
      </c>
      <c r="D16" s="535">
        <v>1</v>
      </c>
      <c r="E16" s="404">
        <f>C16*D16</f>
        <v>14795.2</v>
      </c>
      <c r="F16" s="165"/>
      <c r="G16" s="404">
        <f>C16</f>
        <v>14795.2</v>
      </c>
      <c r="H16" s="533">
        <f>D16</f>
        <v>1</v>
      </c>
      <c r="I16" s="404">
        <f>G16*H16</f>
        <v>14795.2</v>
      </c>
      <c r="L16" s="768"/>
      <c r="N16" s="768"/>
    </row>
    <row r="17" spans="1:16">
      <c r="A17" s="127">
        <v>2</v>
      </c>
      <c r="B17" s="531"/>
      <c r="C17" s="496"/>
      <c r="D17" s="553"/>
      <c r="E17" s="552"/>
      <c r="F17" s="120"/>
      <c r="G17" s="552"/>
      <c r="H17" s="120"/>
      <c r="I17" s="552"/>
      <c r="J17" s="119"/>
      <c r="L17" s="768"/>
      <c r="N17" s="768"/>
    </row>
    <row r="18" spans="1:16">
      <c r="A18" s="126">
        <v>3</v>
      </c>
      <c r="B18" s="410" t="s">
        <v>83</v>
      </c>
      <c r="C18" s="494">
        <v>33601.629999999997</v>
      </c>
      <c r="D18" s="557">
        <f>Allocation!$I$17</f>
        <v>0.49090457251500325</v>
      </c>
      <c r="E18" s="495">
        <f>C18*D18</f>
        <v>16495.193810957306</v>
      </c>
      <c r="F18" s="530"/>
      <c r="G18" s="495">
        <f>C18</f>
        <v>33601.629999999997</v>
      </c>
      <c r="H18" s="557">
        <f>Allocation!$E$17</f>
        <v>0.49090457251500325</v>
      </c>
      <c r="I18" s="495">
        <f>G18*H18</f>
        <v>16495.193810957306</v>
      </c>
      <c r="J18" s="119"/>
      <c r="L18" s="768"/>
      <c r="N18" s="768"/>
    </row>
    <row r="19" spans="1:16">
      <c r="A19" s="127">
        <v>4</v>
      </c>
      <c r="B19" s="531"/>
      <c r="C19" s="496"/>
      <c r="D19" s="554"/>
      <c r="E19" s="552"/>
      <c r="F19" s="120"/>
      <c r="G19" s="552"/>
      <c r="H19" s="558"/>
      <c r="I19" s="552"/>
      <c r="J19" s="119"/>
      <c r="L19" s="768"/>
    </row>
    <row r="20" spans="1:16">
      <c r="A20" s="126">
        <v>5</v>
      </c>
      <c r="B20" s="531" t="s">
        <v>81</v>
      </c>
      <c r="C20" s="496">
        <v>277654.75209104118</v>
      </c>
      <c r="D20" s="557">
        <f>Allocation!$I$14</f>
        <v>5.2575879716356848E-2</v>
      </c>
      <c r="E20" s="552">
        <f>C20*D20</f>
        <v>14597.942848613462</v>
      </c>
      <c r="F20" s="119"/>
      <c r="G20" s="552">
        <f>C20</f>
        <v>277654.75209104118</v>
      </c>
      <c r="H20" s="557">
        <f>Allocation!$E$14</f>
        <v>5.2575879716356848E-2</v>
      </c>
      <c r="I20" s="552">
        <f>G20*H20</f>
        <v>14597.942848613462</v>
      </c>
      <c r="L20" s="768"/>
      <c r="N20" s="768"/>
      <c r="P20" s="1057"/>
    </row>
    <row r="21" spans="1:16">
      <c r="A21" s="127">
        <v>6</v>
      </c>
      <c r="B21" s="531"/>
      <c r="C21" s="496"/>
      <c r="D21" s="555"/>
      <c r="E21" s="552"/>
      <c r="F21" s="119"/>
      <c r="G21" s="552"/>
      <c r="H21" s="559"/>
      <c r="I21" s="552"/>
      <c r="J21" s="119"/>
      <c r="L21" s="768"/>
      <c r="P21" s="1057"/>
    </row>
    <row r="22" spans="1:16">
      <c r="A22" s="126">
        <v>7</v>
      </c>
      <c r="B22" s="531" t="s">
        <v>82</v>
      </c>
      <c r="C22" s="1185">
        <v>149360.46172519735</v>
      </c>
      <c r="D22" s="557">
        <f>Allocation!$I$15</f>
        <v>5.712253040952902E-2</v>
      </c>
      <c r="E22" s="560">
        <f>C22*D22</f>
        <v>8531.8475168788809</v>
      </c>
      <c r="G22" s="560">
        <f>C22</f>
        <v>149360.46172519735</v>
      </c>
      <c r="H22" s="557">
        <f>Allocation!$E$15</f>
        <v>5.712253040952902E-2</v>
      </c>
      <c r="I22" s="560">
        <f>G22*H22</f>
        <v>8531.8475168788809</v>
      </c>
      <c r="L22" s="768"/>
      <c r="N22" s="768"/>
    </row>
    <row r="23" spans="1:16">
      <c r="A23" s="126">
        <v>8</v>
      </c>
    </row>
    <row r="24" spans="1:16" ht="15.75" thickBot="1">
      <c r="A24" s="126">
        <v>9</v>
      </c>
      <c r="B24" t="s">
        <v>904</v>
      </c>
      <c r="C24" s="417">
        <f>SUM(C16:C22)</f>
        <v>475412.04381623853</v>
      </c>
      <c r="E24" s="417">
        <f>SUM(E16:E22)</f>
        <v>54420.184176449649</v>
      </c>
      <c r="G24" s="417">
        <f>SUM(G16:G22)</f>
        <v>475412.04381623853</v>
      </c>
      <c r="I24" s="417">
        <f>SUM(I16:I22)</f>
        <v>54420.184176449649</v>
      </c>
    </row>
    <row r="25" spans="1:16" ht="15.75" thickTop="1">
      <c r="C25" s="411"/>
      <c r="E25" s="411"/>
      <c r="G25" s="411"/>
      <c r="I25" s="411"/>
    </row>
    <row r="27" spans="1:16">
      <c r="A27" s="95" t="s">
        <v>1350</v>
      </c>
    </row>
    <row r="31" spans="1:16">
      <c r="B31" t="s">
        <v>901</v>
      </c>
    </row>
    <row r="32" spans="1:16">
      <c r="B32" t="s">
        <v>902</v>
      </c>
    </row>
    <row r="33" spans="2:2">
      <c r="B33" t="s">
        <v>903</v>
      </c>
    </row>
    <row r="34" spans="2:2">
      <c r="B34" t="s">
        <v>1250</v>
      </c>
    </row>
    <row r="39" spans="2:2">
      <c r="B39" s="768"/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" right="0.61" top="1.05" bottom="0.5" header="0.8" footer="0.5"/>
  <pageSetup scale="88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90" workbookViewId="0">
      <selection sqref="A1:G1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</row>
    <row r="2" spans="1:10" ht="15.75">
      <c r="A2" s="1269" t="str">
        <f>'Table of Contents'!A2:C2</f>
        <v>Kentucky Jurisdiction Case No. 2015-00343</v>
      </c>
      <c r="B2" s="1269" t="s">
        <v>332</v>
      </c>
      <c r="C2" s="1269"/>
      <c r="D2" s="1269"/>
      <c r="E2" s="1269"/>
      <c r="F2" s="1269"/>
      <c r="G2" s="1269"/>
      <c r="H2" s="119"/>
    </row>
    <row r="3" spans="1:10" ht="15.75">
      <c r="A3" s="1269" t="s">
        <v>1295</v>
      </c>
      <c r="B3" s="1269"/>
      <c r="C3" s="1269"/>
      <c r="D3" s="1269"/>
      <c r="E3" s="1269"/>
      <c r="F3" s="1269"/>
      <c r="G3" s="1269"/>
      <c r="H3" s="119"/>
    </row>
    <row r="4" spans="1:10" ht="15.75">
      <c r="A4" s="1269"/>
      <c r="B4" s="1269"/>
      <c r="C4" s="1269"/>
      <c r="D4" s="1269"/>
      <c r="E4" s="1269"/>
      <c r="F4" s="1269"/>
      <c r="G4" s="1269"/>
      <c r="H4" s="119"/>
    </row>
    <row r="5" spans="1:10" ht="15.75">
      <c r="A5" s="1269"/>
      <c r="B5" s="1269"/>
      <c r="C5" s="1269"/>
      <c r="D5" s="1269"/>
      <c r="E5" s="1269"/>
      <c r="F5" s="1269"/>
      <c r="G5" s="1269"/>
      <c r="H5" s="119"/>
    </row>
    <row r="6" spans="1:10" ht="15.75">
      <c r="A6" s="119"/>
      <c r="B6" s="12"/>
      <c r="C6" s="12"/>
      <c r="D6" s="12"/>
      <c r="E6" s="12"/>
      <c r="F6" s="119"/>
      <c r="G6" s="119"/>
      <c r="H6" s="119"/>
    </row>
    <row r="7" spans="1:10" ht="15.75">
      <c r="A7" s="95" t="s">
        <v>141</v>
      </c>
      <c r="B7" s="119"/>
      <c r="C7" s="119"/>
      <c r="D7" s="119"/>
      <c r="E7" s="12"/>
      <c r="F7" s="119"/>
      <c r="G7" s="488" t="s">
        <v>1504</v>
      </c>
      <c r="H7" s="119"/>
    </row>
    <row r="8" spans="1:10" ht="15.75">
      <c r="A8" s="95" t="s">
        <v>1144</v>
      </c>
      <c r="B8" s="119"/>
      <c r="C8" s="119"/>
      <c r="D8" s="119"/>
      <c r="E8" s="12"/>
      <c r="F8" s="119"/>
      <c r="G8" s="733" t="s">
        <v>1294</v>
      </c>
      <c r="H8" s="119"/>
    </row>
    <row r="9" spans="1:10" ht="15.75">
      <c r="A9" s="95" t="s">
        <v>375</v>
      </c>
      <c r="B9" s="119"/>
      <c r="C9" s="119"/>
      <c r="D9" s="119"/>
      <c r="E9" s="873"/>
      <c r="F9" s="122"/>
      <c r="G9" s="792" t="str">
        <f>F.1!$F$9</f>
        <v>Witness: Waller</v>
      </c>
      <c r="H9" s="119"/>
    </row>
    <row r="10" spans="1:10">
      <c r="A10" s="161"/>
      <c r="B10" s="161"/>
      <c r="C10" s="161"/>
      <c r="D10" s="161"/>
      <c r="F10">
        <v>-1</v>
      </c>
    </row>
    <row r="11" spans="1:10">
      <c r="A11" s="127" t="s">
        <v>98</v>
      </c>
      <c r="B11" s="119"/>
      <c r="C11" s="119"/>
      <c r="D11" s="119"/>
      <c r="F11" s="884" t="s">
        <v>1306</v>
      </c>
    </row>
    <row r="12" spans="1:10">
      <c r="A12" s="128" t="s">
        <v>104</v>
      </c>
      <c r="B12" s="128" t="s">
        <v>1004</v>
      </c>
      <c r="C12" s="128" t="s">
        <v>1298</v>
      </c>
      <c r="D12" s="128" t="s">
        <v>1299</v>
      </c>
      <c r="E12" s="128" t="s">
        <v>1300</v>
      </c>
      <c r="F12" s="84" t="s">
        <v>1305</v>
      </c>
      <c r="G12" s="84" t="s">
        <v>1301</v>
      </c>
      <c r="H12" s="119"/>
      <c r="I12" s="837"/>
    </row>
    <row r="13" spans="1:10">
      <c r="A13" s="119"/>
      <c r="B13" s="119"/>
      <c r="C13" s="119"/>
      <c r="D13" s="119"/>
      <c r="E13" s="119"/>
      <c r="F13" s="119"/>
      <c r="G13" s="119"/>
      <c r="H13" s="119"/>
    </row>
    <row r="14" spans="1:10" ht="15.75">
      <c r="A14" s="410" t="s">
        <v>1296</v>
      </c>
      <c r="C14" s="410"/>
      <c r="D14" s="410"/>
      <c r="E14" s="556"/>
      <c r="F14" s="556"/>
      <c r="G14" s="556"/>
      <c r="H14" s="556"/>
      <c r="J14" s="768"/>
    </row>
    <row r="15" spans="1:10">
      <c r="A15" s="127"/>
      <c r="B15" s="117"/>
      <c r="C15" s="117"/>
      <c r="D15" s="117"/>
      <c r="E15" s="760" t="s">
        <v>332</v>
      </c>
      <c r="F15" s="760" t="s">
        <v>332</v>
      </c>
      <c r="G15" s="117" t="s">
        <v>332</v>
      </c>
      <c r="H15" s="119"/>
    </row>
    <row r="16" spans="1:10">
      <c r="A16" s="126">
        <v>1</v>
      </c>
      <c r="B16" s="410" t="s">
        <v>1297</v>
      </c>
      <c r="C16" s="878">
        <v>8593.33</v>
      </c>
      <c r="D16" s="358" t="s">
        <v>1497</v>
      </c>
      <c r="E16" s="875">
        <v>8</v>
      </c>
      <c r="F16" s="885">
        <v>0.27785912795156242</v>
      </c>
      <c r="G16" s="459">
        <f>C16*E16*F16</f>
        <v>19101.881440000001</v>
      </c>
      <c r="I16" s="794"/>
      <c r="J16" s="768"/>
    </row>
    <row r="17" spans="1:10">
      <c r="A17" s="127">
        <v>2</v>
      </c>
      <c r="B17" s="531"/>
      <c r="C17" s="459"/>
      <c r="D17" s="459"/>
      <c r="E17" s="874"/>
      <c r="F17" s="885"/>
      <c r="G17" s="553"/>
      <c r="H17" s="119"/>
      <c r="J17" s="768"/>
    </row>
    <row r="18" spans="1:10">
      <c r="A18" s="126">
        <v>3</v>
      </c>
      <c r="B18" s="410" t="s">
        <v>1496</v>
      </c>
      <c r="C18" s="878">
        <v>1166.5</v>
      </c>
      <c r="D18" s="358" t="s">
        <v>1497</v>
      </c>
      <c r="E18" s="875">
        <v>8</v>
      </c>
      <c r="F18" s="885">
        <v>0.39090000000000003</v>
      </c>
      <c r="G18" s="459">
        <f>C18*E18*F18</f>
        <v>3647.8788000000004</v>
      </c>
      <c r="H18" s="119"/>
      <c r="J18" s="768"/>
    </row>
    <row r="19" spans="1:10">
      <c r="A19" s="127">
        <v>4</v>
      </c>
      <c r="E19" s="496"/>
      <c r="F19" s="106"/>
      <c r="G19" s="554"/>
      <c r="H19" s="119"/>
    </row>
    <row r="20" spans="1:10">
      <c r="A20" s="126">
        <v>5</v>
      </c>
      <c r="B20" s="531" t="s">
        <v>1303</v>
      </c>
      <c r="C20" s="531"/>
      <c r="D20" s="531"/>
      <c r="E20" s="496"/>
      <c r="G20" s="877">
        <f>SUM(G16:G18)</f>
        <v>22749.760240000003</v>
      </c>
      <c r="J20" s="768"/>
    </row>
    <row r="21" spans="1:10">
      <c r="A21" s="127">
        <v>6</v>
      </c>
      <c r="B21" s="531"/>
      <c r="C21" s="531"/>
      <c r="D21" s="701"/>
      <c r="E21" s="496"/>
      <c r="G21" s="554"/>
      <c r="H21" s="119"/>
    </row>
    <row r="22" spans="1:10">
      <c r="A22" s="127">
        <v>7</v>
      </c>
      <c r="B22" s="531" t="s">
        <v>1302</v>
      </c>
      <c r="C22" s="531"/>
      <c r="D22" s="701"/>
      <c r="E22" s="496"/>
      <c r="G22" s="876">
        <f>-G20</f>
        <v>-22749.760240000003</v>
      </c>
      <c r="J22" s="768"/>
    </row>
    <row r="23" spans="1:10">
      <c r="A23" s="126"/>
      <c r="E23" s="496"/>
      <c r="F23" s="554"/>
      <c r="G23" s="552"/>
    </row>
    <row r="24" spans="1:10">
      <c r="A24" s="126"/>
      <c r="E24" s="496"/>
      <c r="F24" s="557"/>
      <c r="G24" s="552"/>
    </row>
    <row r="25" spans="1:10">
      <c r="E25" s="411"/>
      <c r="G25" s="411"/>
    </row>
    <row r="27" spans="1:10">
      <c r="A27" s="879" t="s">
        <v>540</v>
      </c>
    </row>
    <row r="29" spans="1:10">
      <c r="A29" s="921">
        <v>-1</v>
      </c>
      <c r="B29" s="106" t="s">
        <v>1498</v>
      </c>
      <c r="C29" s="106"/>
      <c r="D29" s="106"/>
      <c r="E29" s="106"/>
      <c r="F29" s="106"/>
      <c r="G29" s="106"/>
    </row>
    <row r="30" spans="1:10">
      <c r="A30" s="95"/>
    </row>
    <row r="31" spans="1:10">
      <c r="A31" s="95"/>
      <c r="B31" s="1055"/>
      <c r="C31" s="1055"/>
      <c r="D31" s="1055"/>
      <c r="E31" s="1055"/>
      <c r="F31" s="1055"/>
      <c r="G31" s="1055"/>
    </row>
    <row r="32" spans="1:10">
      <c r="A32" s="95"/>
      <c r="B32" s="1055"/>
      <c r="C32" s="1055"/>
      <c r="D32" s="1055"/>
      <c r="E32" s="1055"/>
      <c r="F32" s="1055"/>
      <c r="G32" s="1055"/>
    </row>
    <row r="33" spans="1:7">
      <c r="A33" s="95"/>
      <c r="B33" s="1055"/>
      <c r="C33" s="1055"/>
      <c r="D33" s="1055"/>
      <c r="E33" s="1055"/>
      <c r="F33" s="1055"/>
      <c r="G33" s="1055"/>
    </row>
    <row r="38" spans="1:7">
      <c r="B38" s="768"/>
      <c r="C38" s="768"/>
      <c r="D38" s="768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="80" zoomScaleNormal="90" zoomScaleSheetLayoutView="80" workbookViewId="0">
      <selection sqref="A1:F1"/>
    </sheetView>
  </sheetViews>
  <sheetFormatPr defaultRowHeight="15"/>
  <cols>
    <col min="1" max="1" width="5.88671875" customWidth="1"/>
    <col min="2" max="2" width="7.109375" customWidth="1"/>
    <col min="3" max="3" width="31.109375" bestFit="1" customWidth="1"/>
    <col min="4" max="4" width="11.88671875" customWidth="1"/>
    <col min="5" max="5" width="10.6640625" customWidth="1"/>
    <col min="6" max="6" width="11.44140625" customWidth="1"/>
  </cols>
  <sheetData>
    <row r="1" spans="1:9" ht="15.75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</row>
    <row r="2" spans="1:9" ht="15.75">
      <c r="A2" s="1269" t="str">
        <f>'Table of Contents'!A2:C2</f>
        <v>Kentucky Jurisdiction Case No. 2015-00343</v>
      </c>
      <c r="B2" s="1269" t="s">
        <v>332</v>
      </c>
      <c r="C2" s="1269"/>
      <c r="D2" s="1269"/>
      <c r="E2" s="1269"/>
      <c r="F2" s="1269"/>
      <c r="G2" s="119"/>
    </row>
    <row r="3" spans="1:9" ht="15.75">
      <c r="A3" s="1269" t="s">
        <v>1426</v>
      </c>
      <c r="B3" s="1269"/>
      <c r="C3" s="1269"/>
      <c r="D3" s="1269"/>
      <c r="E3" s="1269"/>
      <c r="F3" s="1269"/>
      <c r="G3" s="119"/>
    </row>
    <row r="4" spans="1:9" ht="15.75">
      <c r="A4" s="1269"/>
      <c r="B4" s="1269"/>
      <c r="C4" s="1269"/>
      <c r="D4" s="1269"/>
      <c r="E4" s="1269"/>
      <c r="F4" s="1269"/>
      <c r="G4" s="119"/>
    </row>
    <row r="5" spans="1:9" ht="15.75">
      <c r="A5" s="119"/>
      <c r="B5" s="12"/>
      <c r="C5" s="12"/>
      <c r="D5" s="12"/>
      <c r="E5" s="12"/>
      <c r="F5" s="119"/>
      <c r="G5" s="119"/>
    </row>
    <row r="6" spans="1:9" ht="15.75">
      <c r="A6" s="95" t="s">
        <v>141</v>
      </c>
      <c r="B6" s="119"/>
      <c r="C6" s="119"/>
      <c r="D6" s="119"/>
      <c r="E6" s="12"/>
      <c r="F6" s="488" t="s">
        <v>1504</v>
      </c>
      <c r="G6" s="119"/>
    </row>
    <row r="7" spans="1:9" ht="15.75">
      <c r="A7" s="95" t="s">
        <v>1144</v>
      </c>
      <c r="B7" s="119"/>
      <c r="C7" s="119"/>
      <c r="D7" s="119"/>
      <c r="E7" s="12"/>
      <c r="F7" s="733" t="s">
        <v>1415</v>
      </c>
      <c r="G7" s="119"/>
    </row>
    <row r="8" spans="1:9" ht="15.75">
      <c r="A8" s="95" t="s">
        <v>375</v>
      </c>
      <c r="B8" s="119"/>
      <c r="C8" s="119"/>
      <c r="D8" s="119"/>
      <c r="E8" s="873"/>
      <c r="F8" s="792" t="str">
        <f>F.1!$F$9</f>
        <v>Witness: Waller</v>
      </c>
      <c r="G8" s="119"/>
    </row>
    <row r="9" spans="1:9">
      <c r="A9" s="161"/>
      <c r="B9" s="161"/>
      <c r="C9" s="161"/>
      <c r="D9" s="161"/>
    </row>
    <row r="10" spans="1:9">
      <c r="A10" s="120"/>
      <c r="B10" s="120"/>
      <c r="C10" s="120"/>
      <c r="D10" s="120"/>
    </row>
    <row r="11" spans="1:9">
      <c r="A11" s="127" t="s">
        <v>98</v>
      </c>
      <c r="B11" s="119"/>
      <c r="C11" s="119"/>
      <c r="D11" s="119"/>
      <c r="E11" s="1007" t="s">
        <v>643</v>
      </c>
      <c r="F11" s="1007" t="s">
        <v>12</v>
      </c>
    </row>
    <row r="12" spans="1:9">
      <c r="A12" s="128" t="s">
        <v>104</v>
      </c>
      <c r="B12" s="128" t="s">
        <v>1416</v>
      </c>
      <c r="C12" s="128" t="s">
        <v>1417</v>
      </c>
      <c r="D12" s="128" t="s">
        <v>101</v>
      </c>
      <c r="E12" s="128" t="s">
        <v>1021</v>
      </c>
      <c r="F12" s="84" t="s">
        <v>1418</v>
      </c>
      <c r="G12" s="119"/>
      <c r="H12" s="837"/>
    </row>
    <row r="13" spans="1:9">
      <c r="A13" s="119"/>
      <c r="B13" s="119"/>
      <c r="C13" s="119"/>
      <c r="D13" s="119"/>
      <c r="E13" s="119"/>
      <c r="F13" s="119"/>
      <c r="G13" s="119"/>
    </row>
    <row r="14" spans="1:9">
      <c r="A14" s="16" t="s">
        <v>1419</v>
      </c>
      <c r="G14" s="130"/>
      <c r="H14" s="106"/>
      <c r="I14" s="887"/>
    </row>
    <row r="15" spans="1:9">
      <c r="A15" s="1011">
        <v>1</v>
      </c>
      <c r="B15" s="1007">
        <v>2</v>
      </c>
      <c r="C15" t="s">
        <v>1420</v>
      </c>
      <c r="D15" s="1186">
        <v>8505422.4188045748</v>
      </c>
      <c r="E15" s="577">
        <f>Allocation!I14</f>
        <v>5.2575879716356848E-2</v>
      </c>
      <c r="F15" s="1012">
        <f>D15*E15</f>
        <v>447180.06602787424</v>
      </c>
      <c r="G15" s="130"/>
      <c r="H15" s="106"/>
      <c r="I15" s="887"/>
    </row>
    <row r="16" spans="1:9">
      <c r="B16" s="1007"/>
      <c r="D16" s="119"/>
      <c r="G16" s="130"/>
      <c r="H16" s="106"/>
      <c r="I16" s="887"/>
    </row>
    <row r="17" spans="1:9">
      <c r="A17" s="1011">
        <f>A15+1</f>
        <v>2</v>
      </c>
      <c r="B17" s="1007">
        <v>12</v>
      </c>
      <c r="C17" t="s">
        <v>1420</v>
      </c>
      <c r="D17" s="1186">
        <v>0</v>
      </c>
      <c r="E17" s="577">
        <f>Allocation!I15</f>
        <v>5.712253040952902E-2</v>
      </c>
      <c r="F17" s="1012">
        <f>D17*E17</f>
        <v>0</v>
      </c>
      <c r="G17" s="130"/>
      <c r="H17" s="106"/>
      <c r="I17" s="887"/>
    </row>
    <row r="18" spans="1:9">
      <c r="A18" s="1011"/>
      <c r="B18" s="1007"/>
      <c r="D18" s="119"/>
      <c r="G18" s="130"/>
      <c r="H18" s="106"/>
      <c r="I18" s="887"/>
    </row>
    <row r="19" spans="1:9">
      <c r="A19" s="1011">
        <f>A17+1</f>
        <v>3</v>
      </c>
      <c r="B19" s="1007">
        <v>91</v>
      </c>
      <c r="C19" t="s">
        <v>1420</v>
      </c>
      <c r="D19" s="1186">
        <v>893599.96359118226</v>
      </c>
      <c r="E19" s="577">
        <f>Allocation!H17</f>
        <v>0.49090457251500325</v>
      </c>
      <c r="F19" s="1012">
        <f>D19*E19</f>
        <v>438672.30812615179</v>
      </c>
      <c r="G19" s="130"/>
      <c r="H19" s="106"/>
      <c r="I19" s="887"/>
    </row>
    <row r="20" spans="1:9">
      <c r="A20" s="1011"/>
      <c r="B20" s="1007"/>
      <c r="D20" s="119"/>
      <c r="G20" s="130"/>
      <c r="H20" s="106"/>
      <c r="I20" s="887"/>
    </row>
    <row r="21" spans="1:9">
      <c r="A21" s="1011">
        <f>A19+1</f>
        <v>4</v>
      </c>
      <c r="B21" s="1007">
        <v>9</v>
      </c>
      <c r="C21" t="s">
        <v>1420</v>
      </c>
      <c r="D21" s="119">
        <v>0</v>
      </c>
      <c r="E21" s="577">
        <v>1</v>
      </c>
      <c r="F21" s="1012">
        <f>D21*E21</f>
        <v>0</v>
      </c>
      <c r="G21" s="130"/>
      <c r="H21" s="106"/>
      <c r="I21" s="887"/>
    </row>
    <row r="22" spans="1:9">
      <c r="A22" s="1011"/>
      <c r="D22" s="119"/>
      <c r="G22" s="130"/>
      <c r="H22" s="106"/>
      <c r="I22" s="887"/>
    </row>
    <row r="23" spans="1:9">
      <c r="A23" s="1011">
        <f>A21+1</f>
        <v>5</v>
      </c>
      <c r="C23" t="s">
        <v>1424</v>
      </c>
      <c r="D23" s="119"/>
      <c r="F23" s="1015">
        <f>SUM(F15:F22)</f>
        <v>885852.37415402604</v>
      </c>
      <c r="G23" s="130"/>
      <c r="H23" s="106"/>
      <c r="I23" s="887"/>
    </row>
    <row r="24" spans="1:9">
      <c r="A24" s="1011"/>
      <c r="D24" s="119"/>
      <c r="F24" s="191"/>
      <c r="G24" s="130"/>
      <c r="H24" s="106"/>
      <c r="I24" s="887"/>
    </row>
    <row r="25" spans="1:9">
      <c r="D25" s="119"/>
      <c r="G25" s="130"/>
      <c r="H25" s="106"/>
      <c r="I25" s="106"/>
    </row>
    <row r="26" spans="1:9">
      <c r="A26" s="16" t="s">
        <v>1421</v>
      </c>
      <c r="D26" s="119"/>
      <c r="G26" s="106"/>
      <c r="H26" s="106"/>
      <c r="I26" s="887"/>
    </row>
    <row r="27" spans="1:9">
      <c r="A27" s="1011">
        <f>A23+1</f>
        <v>6</v>
      </c>
      <c r="B27" s="1007">
        <v>2</v>
      </c>
      <c r="C27" t="s">
        <v>1422</v>
      </c>
      <c r="D27" s="1186">
        <v>3773019.6502132686</v>
      </c>
      <c r="E27" s="1013">
        <f>E15</f>
        <v>5.2575879716356848E-2</v>
      </c>
      <c r="F27" s="1012">
        <f>D27*E27</f>
        <v>198369.8272970636</v>
      </c>
      <c r="G27" s="130"/>
      <c r="H27" s="106"/>
      <c r="I27" s="106"/>
    </row>
    <row r="28" spans="1:9">
      <c r="A28" s="1011">
        <f>A27+1</f>
        <v>7</v>
      </c>
      <c r="B28" s="1007"/>
      <c r="C28" t="s">
        <v>1429</v>
      </c>
      <c r="D28" s="1186">
        <v>5929807.1518043391</v>
      </c>
      <c r="E28" s="577">
        <f>E27</f>
        <v>5.2575879716356848E-2</v>
      </c>
      <c r="F28" s="1012">
        <f>D28*E28</f>
        <v>311764.82755445753</v>
      </c>
      <c r="G28" s="106"/>
      <c r="H28" s="106"/>
      <c r="I28" s="887"/>
    </row>
    <row r="29" spans="1:9">
      <c r="A29" s="1011"/>
      <c r="B29" s="1007"/>
      <c r="D29" s="119"/>
      <c r="G29" s="106"/>
      <c r="H29" s="106"/>
      <c r="I29" s="106"/>
    </row>
    <row r="30" spans="1:9">
      <c r="A30" s="1011">
        <f>A28+1</f>
        <v>8</v>
      </c>
      <c r="B30" s="1007">
        <v>12</v>
      </c>
      <c r="C30" t="s">
        <v>1422</v>
      </c>
      <c r="D30" s="1186">
        <v>112210.07528716989</v>
      </c>
      <c r="E30" s="577">
        <f>E17</f>
        <v>5.712253040952902E-2</v>
      </c>
      <c r="F30" s="1012">
        <f>D30*E30</f>
        <v>6409.7234378469029</v>
      </c>
      <c r="G30" s="106"/>
      <c r="H30" s="106"/>
      <c r="I30" s="106"/>
    </row>
    <row r="31" spans="1:9">
      <c r="A31" s="1011">
        <f>A30+1</f>
        <v>9</v>
      </c>
      <c r="B31" s="1007"/>
      <c r="C31" t="s">
        <v>1429</v>
      </c>
      <c r="D31" s="1186">
        <v>254926.25492709776</v>
      </c>
      <c r="E31" s="577">
        <f>E30</f>
        <v>5.712253040952902E-2</v>
      </c>
      <c r="F31" s="1012">
        <f>D31*E31</f>
        <v>14562.032749260488</v>
      </c>
      <c r="G31" s="106"/>
      <c r="H31" s="106"/>
      <c r="I31" s="106"/>
    </row>
    <row r="32" spans="1:9">
      <c r="A32" s="106"/>
      <c r="B32" s="1007"/>
      <c r="D32" s="119"/>
      <c r="G32" s="106"/>
      <c r="H32" s="106"/>
      <c r="I32" s="106"/>
    </row>
    <row r="33" spans="1:9">
      <c r="A33" s="1011">
        <f>A31+1</f>
        <v>10</v>
      </c>
      <c r="B33" s="1007">
        <v>91</v>
      </c>
      <c r="C33" t="s">
        <v>1422</v>
      </c>
      <c r="D33" s="1186">
        <v>48662.7639237599</v>
      </c>
      <c r="E33" s="577">
        <f>E19</f>
        <v>0.49090457251500325</v>
      </c>
      <c r="F33" s="1012">
        <f>D33*E33</f>
        <v>23888.773321391876</v>
      </c>
      <c r="G33" s="106"/>
      <c r="H33" s="106"/>
      <c r="I33" s="106"/>
    </row>
    <row r="34" spans="1:9">
      <c r="A34" s="1011">
        <f>A33+1</f>
        <v>11</v>
      </c>
      <c r="B34" s="1007"/>
      <c r="C34" t="s">
        <v>1429</v>
      </c>
      <c r="D34" s="1186">
        <v>103080.81141690264</v>
      </c>
      <c r="E34" s="577">
        <f>E33</f>
        <v>0.49090457251500325</v>
      </c>
      <c r="F34" s="1012">
        <f>D34*E34</f>
        <v>50602.841663114254</v>
      </c>
      <c r="G34" s="106"/>
      <c r="H34" s="106"/>
      <c r="I34" s="106"/>
    </row>
    <row r="35" spans="1:9">
      <c r="A35" s="921"/>
      <c r="B35" s="1007"/>
      <c r="D35" s="119"/>
      <c r="G35" s="106"/>
      <c r="H35" s="106"/>
      <c r="I35" s="106"/>
    </row>
    <row r="36" spans="1:9">
      <c r="A36" s="1011">
        <f>A34+1</f>
        <v>12</v>
      </c>
      <c r="B36" s="1007">
        <v>9</v>
      </c>
      <c r="C36" t="s">
        <v>1422</v>
      </c>
      <c r="D36" s="1186">
        <v>8311.6916494825837</v>
      </c>
      <c r="E36" s="577">
        <v>1</v>
      </c>
      <c r="F36" s="1012">
        <f>D36*E36</f>
        <v>8311.6916494825837</v>
      </c>
      <c r="G36" s="106"/>
      <c r="H36" s="106"/>
      <c r="I36" s="106"/>
    </row>
    <row r="37" spans="1:9">
      <c r="A37" s="1011">
        <f>A36+1</f>
        <v>13</v>
      </c>
      <c r="C37" t="s">
        <v>1429</v>
      </c>
      <c r="D37" s="1186">
        <v>21457.213052159059</v>
      </c>
      <c r="E37" s="577">
        <v>1</v>
      </c>
      <c r="F37" s="1012">
        <f>D37*E37</f>
        <v>21457.213052159059</v>
      </c>
      <c r="G37" s="106"/>
      <c r="H37" s="106"/>
      <c r="I37" s="106"/>
    </row>
    <row r="38" spans="1:9">
      <c r="A38" s="106"/>
      <c r="G38" s="106"/>
      <c r="H38" s="106"/>
      <c r="I38" s="106"/>
    </row>
    <row r="39" spans="1:9">
      <c r="A39" s="1011">
        <f>A37+1</f>
        <v>14</v>
      </c>
      <c r="C39" t="s">
        <v>1423</v>
      </c>
      <c r="F39" s="1015">
        <f>SUM(F27:F37)</f>
        <v>635366.93072477635</v>
      </c>
      <c r="G39" s="106"/>
      <c r="H39" s="106"/>
      <c r="I39" s="106"/>
    </row>
    <row r="40" spans="1:9">
      <c r="A40" s="106"/>
      <c r="G40" s="106"/>
      <c r="H40" s="106"/>
      <c r="I40" s="106"/>
    </row>
    <row r="41" spans="1:9" ht="18" customHeight="1" thickBot="1">
      <c r="A41" s="1011">
        <f>A39+1</f>
        <v>15</v>
      </c>
      <c r="C41" t="s">
        <v>1425</v>
      </c>
      <c r="F41" s="1014">
        <f>F23+F39</f>
        <v>1521219.3048788025</v>
      </c>
      <c r="G41" s="106"/>
      <c r="H41" s="106"/>
      <c r="I41" s="106"/>
    </row>
    <row r="42" spans="1:9" ht="15.75" thickTop="1">
      <c r="A42" s="106"/>
      <c r="B42" s="106"/>
      <c r="C42" s="106"/>
      <c r="D42" s="106"/>
      <c r="E42" s="106"/>
      <c r="F42" s="106"/>
      <c r="G42" s="106"/>
      <c r="H42" s="106"/>
      <c r="I42" s="106"/>
    </row>
    <row r="44" spans="1:9">
      <c r="B44" s="768"/>
      <c r="C44" s="768"/>
      <c r="D44" s="768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/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2" style="1" bestFit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4.441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234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>
      <c r="A2" s="234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>
      <c r="A3" s="116" t="s">
        <v>526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3">
      <c r="A4" s="900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>
      <c r="A5" s="900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488" t="s">
        <v>1505</v>
      </c>
    </row>
    <row r="8" spans="1:13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33" t="s">
        <v>858</v>
      </c>
    </row>
    <row r="9" spans="1:13">
      <c r="A9" s="118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734" t="str">
        <f>F.1!$F$9</f>
        <v>Witness: Waller</v>
      </c>
    </row>
    <row r="10" spans="1:13" ht="15.75">
      <c r="A10" s="175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857"/>
    </row>
    <row r="11" spans="1:13">
      <c r="A11" s="119"/>
      <c r="B11" s="119"/>
      <c r="C11" s="119"/>
      <c r="D11" s="120"/>
      <c r="E11" s="120"/>
      <c r="F11" s="120"/>
      <c r="G11" s="120"/>
      <c r="H11" s="528"/>
      <c r="I11" s="120"/>
      <c r="J11" s="120"/>
      <c r="K11" s="120"/>
      <c r="L11" s="120"/>
    </row>
    <row r="12" spans="1:13">
      <c r="A12" s="119"/>
      <c r="B12" s="119"/>
      <c r="C12" s="119"/>
      <c r="D12" s="528" t="s">
        <v>101</v>
      </c>
      <c r="E12" s="120"/>
      <c r="F12" s="120"/>
      <c r="G12" s="120"/>
      <c r="H12" s="528" t="s">
        <v>538</v>
      </c>
      <c r="I12" s="120"/>
      <c r="J12" s="120"/>
      <c r="K12" s="120"/>
      <c r="L12" s="528" t="s">
        <v>334</v>
      </c>
    </row>
    <row r="13" spans="1:13">
      <c r="A13" s="127" t="s">
        <v>98</v>
      </c>
      <c r="B13" s="119"/>
      <c r="C13" s="856" t="s">
        <v>1261</v>
      </c>
      <c r="D13" s="528" t="s">
        <v>107</v>
      </c>
      <c r="E13" s="120"/>
      <c r="F13" s="120"/>
      <c r="G13" s="120"/>
      <c r="H13" s="528" t="s">
        <v>346</v>
      </c>
      <c r="I13" s="120"/>
      <c r="J13" s="120"/>
      <c r="K13" s="120"/>
      <c r="L13" s="528" t="s">
        <v>102</v>
      </c>
    </row>
    <row r="14" spans="1:13">
      <c r="A14" s="128" t="s">
        <v>104</v>
      </c>
      <c r="B14" s="128" t="s">
        <v>1004</v>
      </c>
      <c r="C14" s="538" t="s">
        <v>1259</v>
      </c>
      <c r="D14" s="538" t="s">
        <v>1005</v>
      </c>
      <c r="E14" s="122"/>
      <c r="F14" s="538" t="s">
        <v>346</v>
      </c>
      <c r="G14" s="122"/>
      <c r="H14" s="538" t="s">
        <v>1005</v>
      </c>
      <c r="I14" s="122"/>
      <c r="J14" s="538" t="s">
        <v>1006</v>
      </c>
      <c r="K14" s="122"/>
      <c r="L14" s="538" t="s">
        <v>1100</v>
      </c>
      <c r="M14" s="16"/>
    </row>
    <row r="15" spans="1:13">
      <c r="A15" s="119"/>
      <c r="B15" s="119"/>
      <c r="C15" s="119"/>
      <c r="D15" s="127"/>
      <c r="E15" s="119"/>
      <c r="F15" s="127"/>
      <c r="G15" s="119"/>
      <c r="H15" s="127"/>
      <c r="I15" s="117"/>
      <c r="J15" s="127"/>
      <c r="K15" s="117"/>
      <c r="L15" s="127"/>
    </row>
    <row r="16" spans="1:13">
      <c r="A16" s="127">
        <v>1</v>
      </c>
      <c r="B16" s="17" t="s">
        <v>866</v>
      </c>
      <c r="C16" s="17"/>
      <c r="D16" s="571"/>
      <c r="E16" s="119"/>
      <c r="F16" s="119"/>
      <c r="G16" s="119"/>
      <c r="H16" s="119"/>
      <c r="I16" s="119"/>
      <c r="J16" s="119"/>
      <c r="K16" s="119"/>
      <c r="L16" s="572"/>
    </row>
    <row r="17" spans="1:14">
      <c r="A17" s="127">
        <v>2</v>
      </c>
      <c r="B17" s="117" t="s">
        <v>407</v>
      </c>
      <c r="C17" s="117"/>
      <c r="D17" s="650">
        <f>G.2!M26</f>
        <v>11673907.908954974</v>
      </c>
      <c r="E17" s="119"/>
      <c r="F17" s="176" t="s">
        <v>152</v>
      </c>
      <c r="G17" s="119"/>
      <c r="H17" s="650">
        <f>+D17</f>
        <v>11673907.908954974</v>
      </c>
      <c r="I17" s="119"/>
      <c r="J17" s="650">
        <f>L17-H17</f>
        <v>382580.15194537677</v>
      </c>
      <c r="K17" s="119"/>
      <c r="L17" s="650">
        <f>G.2!O26</f>
        <v>12056488.060900351</v>
      </c>
    </row>
    <row r="18" spans="1:14">
      <c r="A18" s="127">
        <v>3</v>
      </c>
      <c r="B18" s="119"/>
      <c r="C18" s="119"/>
      <c r="D18" s="114"/>
      <c r="E18" s="119"/>
      <c r="F18" s="132"/>
      <c r="G18" s="119"/>
      <c r="H18" s="114"/>
      <c r="I18" s="119"/>
      <c r="J18" s="114"/>
      <c r="K18" s="119"/>
      <c r="L18" s="114"/>
      <c r="N18" s="768"/>
    </row>
    <row r="19" spans="1:14">
      <c r="A19" s="127">
        <v>4</v>
      </c>
      <c r="B19" s="17" t="s">
        <v>633</v>
      </c>
      <c r="C19" s="768"/>
      <c r="D19" s="114"/>
      <c r="E19" s="119"/>
      <c r="F19" s="132"/>
      <c r="G19" s="119"/>
      <c r="H19" s="114"/>
      <c r="I19" s="119"/>
      <c r="J19" s="114"/>
      <c r="K19" s="119"/>
      <c r="L19" s="114"/>
    </row>
    <row r="20" spans="1:14">
      <c r="A20" s="127">
        <v>5</v>
      </c>
      <c r="B20" s="117" t="s">
        <v>1260</v>
      </c>
      <c r="C20" s="869">
        <v>4.1424994185931908E-2</v>
      </c>
      <c r="D20" s="439">
        <f>D$17*C20</f>
        <v>483591.56725556433</v>
      </c>
      <c r="E20" s="244"/>
      <c r="F20" s="176" t="s">
        <v>152</v>
      </c>
      <c r="G20" s="119"/>
      <c r="H20" s="439">
        <f t="shared" ref="H20:H25" si="0">D20</f>
        <v>483591.56725556433</v>
      </c>
      <c r="I20" s="119"/>
      <c r="J20" s="439">
        <f t="shared" ref="J20:J25" si="1">L20-H20</f>
        <v>15848.3805699902</v>
      </c>
      <c r="K20" s="119"/>
      <c r="L20" s="439">
        <f>L$17*C20</f>
        <v>499439.94782555453</v>
      </c>
      <c r="N20" s="1057"/>
    </row>
    <row r="21" spans="1:14">
      <c r="A21" s="127">
        <v>6</v>
      </c>
      <c r="B21" s="117" t="s">
        <v>1108</v>
      </c>
      <c r="C21" s="869">
        <v>5.3628103209498137E-2</v>
      </c>
      <c r="D21" s="113">
        <f>D$17*C21-418902</f>
        <v>207147.53819961392</v>
      </c>
      <c r="E21" s="244"/>
      <c r="F21" s="176" t="s">
        <v>152</v>
      </c>
      <c r="G21" s="119"/>
      <c r="H21" s="113">
        <f t="shared" si="0"/>
        <v>207147.53819961392</v>
      </c>
      <c r="I21" s="119"/>
      <c r="J21" s="113">
        <f t="shared" si="1"/>
        <v>263568.04787443217</v>
      </c>
      <c r="K21" s="119"/>
      <c r="L21" s="113">
        <f>L$17*C21-175851</f>
        <v>470715.58607404609</v>
      </c>
      <c r="M21" s="768"/>
      <c r="N21" s="1057"/>
    </row>
    <row r="22" spans="1:14">
      <c r="A22" s="127">
        <v>7</v>
      </c>
      <c r="B22" s="117" t="s">
        <v>624</v>
      </c>
      <c r="C22" s="869">
        <v>0.19919443185698368</v>
      </c>
      <c r="D22" s="113">
        <f>D$17*C22</f>
        <v>2325377.4534750343</v>
      </c>
      <c r="E22" s="574"/>
      <c r="F22" s="869" t="s">
        <v>152</v>
      </c>
      <c r="G22" s="130"/>
      <c r="H22" s="113">
        <f t="shared" si="0"/>
        <v>2325377.4534750343</v>
      </c>
      <c r="I22" s="130"/>
      <c r="J22" s="113">
        <f t="shared" si="1"/>
        <v>76207.836006517988</v>
      </c>
      <c r="K22" s="130"/>
      <c r="L22" s="113">
        <f>L$17*C22</f>
        <v>2401585.2894815523</v>
      </c>
    </row>
    <row r="23" spans="1:14">
      <c r="A23" s="127">
        <v>8</v>
      </c>
      <c r="B23" s="174" t="s">
        <v>850</v>
      </c>
      <c r="C23" s="869">
        <v>8.7996697417042524E-2</v>
      </c>
      <c r="D23" s="113">
        <f>D$17*C23</f>
        <v>1027265.3419387304</v>
      </c>
      <c r="E23" s="244"/>
      <c r="F23" s="176" t="s">
        <v>152</v>
      </c>
      <c r="G23" s="119"/>
      <c r="H23" s="113">
        <f t="shared" si="0"/>
        <v>1027265.3419387304</v>
      </c>
      <c r="I23" s="119"/>
      <c r="J23" s="113">
        <f t="shared" si="1"/>
        <v>33665.78986850346</v>
      </c>
      <c r="K23" s="119"/>
      <c r="L23" s="113">
        <f>L$17*C23</f>
        <v>1060931.1318072339</v>
      </c>
    </row>
    <row r="24" spans="1:14">
      <c r="A24" s="127">
        <v>9</v>
      </c>
      <c r="B24" s="117"/>
      <c r="C24" s="117"/>
      <c r="D24" s="173"/>
      <c r="E24" s="119"/>
      <c r="F24" s="176" t="s">
        <v>152</v>
      </c>
      <c r="G24" s="119"/>
      <c r="H24" s="173">
        <f t="shared" si="0"/>
        <v>0</v>
      </c>
      <c r="I24" s="119"/>
      <c r="J24" s="173">
        <f t="shared" si="1"/>
        <v>0</v>
      </c>
      <c r="K24" s="119"/>
      <c r="L24" s="173"/>
      <c r="N24" s="768"/>
    </row>
    <row r="25" spans="1:14">
      <c r="A25" s="127">
        <v>10</v>
      </c>
      <c r="B25" s="117" t="s">
        <v>625</v>
      </c>
      <c r="C25" s="117"/>
      <c r="D25" s="439">
        <f>G.2!M35</f>
        <v>4956963.8146209773</v>
      </c>
      <c r="E25" s="244"/>
      <c r="F25" s="132" t="s">
        <v>332</v>
      </c>
      <c r="G25" s="119"/>
      <c r="H25" s="439">
        <f t="shared" si="0"/>
        <v>4956963.8146209773</v>
      </c>
      <c r="I25" s="119"/>
      <c r="J25" s="439">
        <f t="shared" si="1"/>
        <v>217840.25626926776</v>
      </c>
      <c r="K25" s="119"/>
      <c r="L25" s="439">
        <f>G.2!O35</f>
        <v>5174804.070890245</v>
      </c>
    </row>
    <row r="26" spans="1:14">
      <c r="A26" s="127">
        <v>11</v>
      </c>
      <c r="B26" s="119"/>
      <c r="C26" s="119"/>
      <c r="D26" s="113"/>
      <c r="E26" s="119"/>
      <c r="F26" s="177" t="s">
        <v>332</v>
      </c>
      <c r="G26" s="119"/>
      <c r="H26" s="113" t="s">
        <v>332</v>
      </c>
      <c r="I26" s="119"/>
      <c r="J26" s="113"/>
      <c r="K26" s="119"/>
      <c r="L26" s="113"/>
    </row>
    <row r="27" spans="1:14">
      <c r="A27" s="127">
        <v>12</v>
      </c>
      <c r="B27" s="17" t="s">
        <v>815</v>
      </c>
      <c r="C27" s="17"/>
      <c r="D27" s="113"/>
      <c r="E27" s="119"/>
      <c r="F27" s="177" t="s">
        <v>332</v>
      </c>
      <c r="G27" s="119"/>
      <c r="H27" s="113" t="s">
        <v>332</v>
      </c>
      <c r="I27" s="119"/>
      <c r="J27" s="113"/>
      <c r="K27" s="119"/>
      <c r="L27" s="113" t="s">
        <v>697</v>
      </c>
    </row>
    <row r="28" spans="1:14">
      <c r="A28" s="127">
        <v>13</v>
      </c>
      <c r="B28" s="117" t="s">
        <v>554</v>
      </c>
      <c r="C28" s="117"/>
      <c r="D28" s="439">
        <f>'C.2.3 B'!O12</f>
        <v>385832.72007133806</v>
      </c>
      <c r="E28" s="119"/>
      <c r="F28" s="176" t="s">
        <v>152</v>
      </c>
      <c r="G28" s="119"/>
      <c r="H28" s="746">
        <f>D28</f>
        <v>385832.72007133806</v>
      </c>
      <c r="I28" s="119"/>
      <c r="J28" s="439">
        <f>L28-H28</f>
        <v>14615.461571140215</v>
      </c>
      <c r="K28" s="119"/>
      <c r="L28" s="439">
        <f>'C.2.3 F'!O13</f>
        <v>400448.18164247827</v>
      </c>
    </row>
    <row r="29" spans="1:14">
      <c r="A29" s="127">
        <v>14</v>
      </c>
      <c r="B29" s="117" t="s">
        <v>1123</v>
      </c>
      <c r="C29" s="117"/>
      <c r="D29" s="113">
        <f>'C.2.3 B'!O13</f>
        <v>-751.29328233584602</v>
      </c>
      <c r="E29" s="119"/>
      <c r="F29" s="176" t="s">
        <v>152</v>
      </c>
      <c r="G29" s="119"/>
      <c r="H29" s="237">
        <f>D29</f>
        <v>-751.29328233584602</v>
      </c>
      <c r="I29" s="119"/>
      <c r="J29" s="113">
        <f>L29-H29</f>
        <v>-32.033750470075233</v>
      </c>
      <c r="K29" s="119"/>
      <c r="L29" s="113">
        <f>'C.2.3 F'!O14</f>
        <v>-783.32703280592125</v>
      </c>
    </row>
    <row r="30" spans="1:14">
      <c r="A30" s="127">
        <v>15</v>
      </c>
      <c r="B30" s="117" t="s">
        <v>698</v>
      </c>
      <c r="C30" s="117"/>
      <c r="D30" s="113">
        <f>'C.2.3 B'!O14</f>
        <v>2462.8332109976977</v>
      </c>
      <c r="E30" s="119"/>
      <c r="F30" s="176" t="s">
        <v>152</v>
      </c>
      <c r="G30" s="119"/>
      <c r="H30" s="237">
        <f>D30</f>
        <v>2462.8332109976977</v>
      </c>
      <c r="I30" s="119"/>
      <c r="J30" s="113">
        <f>L30-H30</f>
        <v>102.18908732993123</v>
      </c>
      <c r="K30" s="119"/>
      <c r="L30" s="113">
        <f>'C.2.3 F'!O15</f>
        <v>2565.022298327629</v>
      </c>
    </row>
    <row r="31" spans="1:14">
      <c r="A31" s="127">
        <v>16</v>
      </c>
      <c r="B31" s="117" t="s">
        <v>648</v>
      </c>
      <c r="C31" s="117"/>
      <c r="D31" s="747">
        <f>SUM(D28:D30)</f>
        <v>387544.25999999989</v>
      </c>
      <c r="E31" s="119"/>
      <c r="F31" s="132"/>
      <c r="G31" s="119"/>
      <c r="H31" s="747">
        <f>D31</f>
        <v>387544.25999999989</v>
      </c>
      <c r="I31" s="119"/>
      <c r="J31" s="747">
        <f>L31-H31</f>
        <v>14685.616908000084</v>
      </c>
      <c r="K31" s="119"/>
      <c r="L31" s="747">
        <f>SUM(L28:L30)</f>
        <v>402229.87690799998</v>
      </c>
    </row>
    <row r="32" spans="1:14">
      <c r="A32" s="127">
        <v>17</v>
      </c>
      <c r="B32" s="119"/>
      <c r="C32" s="119"/>
      <c r="D32" s="113"/>
      <c r="E32" s="119"/>
      <c r="F32" s="177" t="s">
        <v>332</v>
      </c>
      <c r="G32" s="119"/>
      <c r="H32" s="113" t="s">
        <v>332</v>
      </c>
      <c r="I32" s="119"/>
      <c r="J32" s="113"/>
      <c r="K32" s="119"/>
      <c r="L32" s="113" t="s">
        <v>332</v>
      </c>
    </row>
    <row r="33" spans="1:13" ht="15.75" thickBot="1">
      <c r="A33" s="127">
        <v>18</v>
      </c>
      <c r="B33" s="117" t="s">
        <v>867</v>
      </c>
      <c r="C33" s="117"/>
      <c r="D33" s="748">
        <f>D17+D25+D31</f>
        <v>17018415.983575951</v>
      </c>
      <c r="E33" s="119"/>
      <c r="F33" s="132"/>
      <c r="G33" s="119"/>
      <c r="H33" s="748">
        <f>D33</f>
        <v>17018415.983575951</v>
      </c>
      <c r="I33" s="119"/>
      <c r="J33" s="748">
        <f>J17+J25+J31</f>
        <v>615106.02512264461</v>
      </c>
      <c r="K33" s="119"/>
      <c r="L33" s="748">
        <f>H33+J33</f>
        <v>17633522.008698598</v>
      </c>
    </row>
    <row r="34" spans="1:13" ht="15.75" thickTop="1">
      <c r="A34" s="119"/>
      <c r="B34" s="119"/>
      <c r="C34" s="119"/>
      <c r="D34" s="113"/>
      <c r="E34" s="119"/>
      <c r="F34" s="134"/>
      <c r="G34" s="119"/>
      <c r="H34" s="134"/>
      <c r="I34" s="119"/>
      <c r="J34" s="134"/>
      <c r="K34" s="119"/>
      <c r="L34" s="113"/>
    </row>
    <row r="35" spans="1:13">
      <c r="A35" s="119"/>
      <c r="B35" s="119"/>
      <c r="C35" s="119"/>
      <c r="D35" s="136"/>
      <c r="E35" s="119"/>
      <c r="F35" s="119"/>
      <c r="G35" s="119"/>
      <c r="H35" s="119"/>
      <c r="I35" s="119"/>
      <c r="J35" s="134"/>
      <c r="K35" s="119"/>
      <c r="L35" s="113"/>
    </row>
    <row r="36" spans="1:13">
      <c r="A36" s="119"/>
      <c r="B36" s="119"/>
      <c r="C36" s="119"/>
      <c r="D36" s="134"/>
      <c r="E36" s="119"/>
      <c r="F36" s="119"/>
      <c r="G36" s="119"/>
      <c r="H36" s="119"/>
      <c r="I36" s="119"/>
      <c r="J36" s="134"/>
      <c r="K36" s="119"/>
      <c r="L36" s="134"/>
    </row>
    <row r="37" spans="1:13">
      <c r="A37" s="119"/>
      <c r="B37" s="119"/>
      <c r="C37" s="119"/>
      <c r="D37" s="134"/>
      <c r="E37" s="119"/>
      <c r="F37" s="119"/>
      <c r="G37" s="119"/>
      <c r="H37" s="119"/>
      <c r="I37" s="119"/>
      <c r="J37" s="134"/>
      <c r="K37" s="119"/>
      <c r="L37" s="134"/>
    </row>
    <row r="38" spans="1:13">
      <c r="A38" s="119"/>
      <c r="B38" s="119" t="s">
        <v>701</v>
      </c>
      <c r="C38" s="119"/>
      <c r="D38" s="119"/>
      <c r="E38" s="119"/>
      <c r="F38" s="768"/>
      <c r="G38" s="119"/>
      <c r="H38" s="119"/>
      <c r="I38" s="119"/>
      <c r="J38" s="119"/>
      <c r="K38" s="119"/>
      <c r="L38" s="119"/>
    </row>
    <row r="39" spans="1:13">
      <c r="A39" s="119" t="s">
        <v>332</v>
      </c>
      <c r="B39" s="870" t="s">
        <v>1606</v>
      </c>
      <c r="C39" s="119"/>
      <c r="D39" s="119"/>
      <c r="E39" s="119"/>
      <c r="F39" s="768"/>
      <c r="G39" s="119"/>
      <c r="H39" s="119"/>
      <c r="I39" s="119"/>
      <c r="J39" s="119"/>
      <c r="K39" s="119"/>
      <c r="L39" s="119"/>
    </row>
    <row r="40" spans="1:13">
      <c r="A40" s="119"/>
      <c r="B40" s="119"/>
      <c r="C40" s="119"/>
      <c r="D40" s="119"/>
      <c r="E40" s="119"/>
      <c r="F40" s="768"/>
      <c r="G40" s="119"/>
      <c r="H40" s="119"/>
      <c r="I40" s="119"/>
      <c r="J40" s="119"/>
      <c r="K40" s="119"/>
      <c r="L40" s="119"/>
    </row>
    <row r="41" spans="1:13">
      <c r="A41" s="119"/>
      <c r="B41" s="119"/>
      <c r="C41" s="119"/>
    </row>
    <row r="42" spans="1:13">
      <c r="A42" s="119"/>
      <c r="B42" s="119"/>
      <c r="D42" s="768"/>
      <c r="E42" s="768"/>
      <c r="F42" s="768"/>
      <c r="G42" s="768"/>
      <c r="H42" s="768"/>
      <c r="I42" s="768"/>
      <c r="J42" s="768"/>
      <c r="K42" s="768"/>
      <c r="L42" s="768"/>
      <c r="M42" s="768"/>
    </row>
    <row r="43" spans="1:13">
      <c r="A43" s="119"/>
      <c r="B43" s="119"/>
      <c r="D43" s="768"/>
      <c r="E43" s="768"/>
      <c r="F43" s="768"/>
      <c r="G43" s="768"/>
      <c r="H43" s="768"/>
      <c r="I43" s="768"/>
      <c r="J43" s="768"/>
      <c r="K43" s="768"/>
      <c r="L43" s="768"/>
      <c r="M43" s="768"/>
    </row>
    <row r="44" spans="1:1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3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4" type="noConversion"/>
  <pageMargins left="0.5" right="0.5" top="0.75" bottom="0.5" header="0.5" footer="0.5"/>
  <pageSetup scale="84" orientation="landscape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V99"/>
  <sheetViews>
    <sheetView view="pageBreakPreview" topLeftCell="A2" zoomScale="60" zoomScaleNormal="80" workbookViewId="0">
      <pane xSplit="2" ySplit="12" topLeftCell="C14" activePane="bottomRight" state="frozen"/>
      <selection activeCell="G39" sqref="G39"/>
      <selection pane="topRight" activeCell="G39" sqref="G39"/>
      <selection pane="bottomLeft" activeCell="G39" sqref="G39"/>
      <selection pane="bottomRight" activeCell="C14" sqref="C14"/>
    </sheetView>
  </sheetViews>
  <sheetFormatPr defaultColWidth="7.109375" defaultRowHeight="15"/>
  <cols>
    <col min="1" max="1" width="5.109375" style="1" customWidth="1"/>
    <col min="2" max="2" width="26.88671875" style="1" customWidth="1"/>
    <col min="3" max="15" width="11.33203125" style="1" customWidth="1"/>
    <col min="16" max="16" width="2.109375" style="1" customWidth="1"/>
    <col min="17" max="17" width="6.5546875" style="1" customWidth="1"/>
    <col min="18" max="18" width="7.109375" style="1"/>
    <col min="19" max="19" width="7.88671875" style="1" customWidth="1"/>
    <col min="20" max="21" width="10.44140625" style="1" bestFit="1" customWidth="1"/>
    <col min="22" max="16384" width="7.109375" style="1"/>
  </cols>
  <sheetData>
    <row r="1" spans="1:18">
      <c r="A1" s="373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9"/>
      <c r="Q1"/>
    </row>
    <row r="2" spans="1:18">
      <c r="A2" s="373" t="str">
        <f>'Table of Contents'!A2:C2</f>
        <v>Kentucky Jurisdiction Case No. 2015-00343</v>
      </c>
      <c r="B2" s="178"/>
      <c r="C2" s="125"/>
      <c r="D2" s="125"/>
      <c r="E2" s="125"/>
      <c r="F2" s="125"/>
      <c r="G2" s="125"/>
      <c r="H2" s="125"/>
      <c r="I2" s="125"/>
      <c r="J2" s="125"/>
      <c r="K2" s="179"/>
      <c r="L2" s="125"/>
      <c r="M2" s="125"/>
      <c r="N2" s="125"/>
      <c r="O2" s="125"/>
      <c r="P2" s="119"/>
      <c r="Q2"/>
    </row>
    <row r="3" spans="1:18">
      <c r="A3" s="179" t="s">
        <v>1183</v>
      </c>
      <c r="B3" s="180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9"/>
      <c r="Q3"/>
    </row>
    <row r="4" spans="1:18">
      <c r="A4" s="900" t="str">
        <f>'Table of Contents'!A3:C3</f>
        <v>Base Period: Twelve Months Ended February 29, 2016</v>
      </c>
      <c r="B4" s="179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19"/>
      <c r="Q4"/>
    </row>
    <row r="5" spans="1:18">
      <c r="A5" s="900" t="str">
        <f>'Table of Contents'!A4:C4</f>
        <v>Forecasted Test Period: Twelve Months Ended May 31, 2017</v>
      </c>
      <c r="B5" s="179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19"/>
      <c r="Q5"/>
    </row>
    <row r="6" spans="1:18">
      <c r="A6" s="236"/>
      <c r="B6" s="179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19"/>
      <c r="Q6"/>
    </row>
    <row r="7" spans="1:18">
      <c r="A7" s="117" t="s">
        <v>696</v>
      </c>
      <c r="B7" s="119"/>
      <c r="C7" s="119"/>
      <c r="D7" s="119"/>
      <c r="E7" s="119"/>
      <c r="F7" s="119"/>
      <c r="G7" s="119"/>
      <c r="H7" s="119"/>
      <c r="I7" s="119"/>
      <c r="J7" s="119"/>
      <c r="K7" s="243"/>
      <c r="L7" s="119"/>
      <c r="N7" s="119"/>
      <c r="O7" s="488" t="s">
        <v>1505</v>
      </c>
      <c r="P7" s="119"/>
    </row>
    <row r="8" spans="1:18">
      <c r="A8" s="117" t="s">
        <v>555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N8" s="119"/>
      <c r="O8" s="181" t="s">
        <v>859</v>
      </c>
      <c r="P8" s="119"/>
      <c r="Q8"/>
    </row>
    <row r="9" spans="1:18">
      <c r="A9" s="581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792" t="str">
        <f>F.1!$F$9</f>
        <v>Witness: Waller</v>
      </c>
      <c r="P9" s="124"/>
      <c r="Q9"/>
      <c r="R9" s="1057"/>
    </row>
    <row r="10" spans="1:18">
      <c r="A10" s="119"/>
      <c r="B10" s="119"/>
      <c r="C10" s="119"/>
      <c r="D10" s="119"/>
      <c r="E10" s="119"/>
      <c r="F10" s="119"/>
      <c r="G10" s="59" t="s">
        <v>37</v>
      </c>
      <c r="H10" s="119"/>
      <c r="I10" s="119"/>
      <c r="J10" s="119"/>
      <c r="K10" s="119"/>
      <c r="L10" s="119"/>
      <c r="M10" s="119"/>
      <c r="N10" s="119"/>
      <c r="O10" s="119"/>
      <c r="P10" s="119"/>
      <c r="Q10"/>
    </row>
    <row r="11" spans="1:18">
      <c r="A11" s="183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7" t="s">
        <v>45</v>
      </c>
      <c r="N11" s="119"/>
      <c r="O11" s="127" t="s">
        <v>44</v>
      </c>
      <c r="P11" s="119"/>
      <c r="Q11"/>
    </row>
    <row r="12" spans="1:18">
      <c r="A12" s="182" t="s">
        <v>61</v>
      </c>
      <c r="B12" s="182" t="s">
        <v>1004</v>
      </c>
      <c r="C12" s="1187">
        <v>2010</v>
      </c>
      <c r="D12" s="859" t="s">
        <v>507</v>
      </c>
      <c r="E12" s="1187">
        <v>2011</v>
      </c>
      <c r="F12" s="859" t="s">
        <v>507</v>
      </c>
      <c r="G12" s="1187">
        <v>2012</v>
      </c>
      <c r="H12" s="859" t="s">
        <v>507</v>
      </c>
      <c r="I12" s="1187">
        <v>2013</v>
      </c>
      <c r="J12" s="859" t="s">
        <v>507</v>
      </c>
      <c r="K12" s="1187">
        <v>2014</v>
      </c>
      <c r="L12" s="859" t="s">
        <v>507</v>
      </c>
      <c r="M12" s="859" t="s">
        <v>553</v>
      </c>
      <c r="N12" s="859" t="s">
        <v>507</v>
      </c>
      <c r="O12" s="859" t="s">
        <v>553</v>
      </c>
      <c r="P12" s="124"/>
      <c r="Q12" s="768"/>
    </row>
    <row r="13" spans="1:18">
      <c r="A13" s="119"/>
      <c r="B13" s="11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19"/>
      <c r="Q13" s="768"/>
    </row>
    <row r="14" spans="1:18">
      <c r="A14" s="126">
        <f t="shared" ref="A14:A50" si="0">+A13+1</f>
        <v>1</v>
      </c>
      <c r="B14" s="11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19"/>
    </row>
    <row r="15" spans="1:18">
      <c r="A15" s="126">
        <f t="shared" si="0"/>
        <v>2</v>
      </c>
      <c r="B15" s="119"/>
      <c r="C15" s="169"/>
      <c r="D15" s="130"/>
      <c r="E15" s="169"/>
      <c r="F15" s="169"/>
      <c r="G15" s="169"/>
      <c r="H15" s="130"/>
      <c r="I15" s="169"/>
      <c r="J15" s="130"/>
      <c r="K15" s="169"/>
      <c r="L15" s="130"/>
      <c r="M15" s="169"/>
      <c r="N15" s="130"/>
      <c r="O15" s="169"/>
      <c r="P15" s="119"/>
    </row>
    <row r="16" spans="1:18">
      <c r="A16" s="126">
        <f t="shared" si="0"/>
        <v>3</v>
      </c>
      <c r="B16" s="61" t="s">
        <v>757</v>
      </c>
      <c r="C16" s="184"/>
      <c r="D16" s="130"/>
      <c r="E16" s="184"/>
      <c r="F16" s="184"/>
      <c r="G16" s="184"/>
      <c r="H16" s="130"/>
      <c r="I16" s="184"/>
      <c r="J16" s="130"/>
      <c r="K16" s="184"/>
      <c r="L16" s="130"/>
      <c r="M16" s="184"/>
      <c r="N16" s="130"/>
      <c r="O16" s="184"/>
      <c r="P16" s="119"/>
      <c r="Q16"/>
    </row>
    <row r="17" spans="1:22">
      <c r="A17" s="126">
        <f t="shared" si="0"/>
        <v>4</v>
      </c>
      <c r="B17" s="181" t="s">
        <v>806</v>
      </c>
      <c r="C17" s="184">
        <v>416546</v>
      </c>
      <c r="D17" s="753">
        <f>ROUND((E17-C17)/C17,4)</f>
        <v>-5.9200000000000003E-2</v>
      </c>
      <c r="E17" s="184">
        <v>391871</v>
      </c>
      <c r="F17" s="753">
        <f>ROUND((G17-E17)/E17,4)</f>
        <v>0.1164</v>
      </c>
      <c r="G17" s="184">
        <v>437473</v>
      </c>
      <c r="H17" s="753">
        <f>ROUND((I17-G17)/G17,4)</f>
        <v>-6.0900000000000003E-2</v>
      </c>
      <c r="I17" s="184">
        <v>410825.02</v>
      </c>
      <c r="J17" s="753">
        <f>ROUND((K17-I17)/I17,4)</f>
        <v>-1.6000000000000001E-3</v>
      </c>
      <c r="K17" s="184">
        <v>410170.87</v>
      </c>
      <c r="L17" s="753">
        <f>ROUND((M17-K17)/K17,4)</f>
        <v>0.1055</v>
      </c>
      <c r="M17" s="184">
        <f>M49*52*40</f>
        <v>453440</v>
      </c>
      <c r="N17" s="753">
        <f>ROUND((O17-M17)/M17,4)</f>
        <v>0</v>
      </c>
      <c r="O17" s="184">
        <f>O49*52*40</f>
        <v>453440</v>
      </c>
      <c r="P17" s="119"/>
      <c r="R17" s="768"/>
    </row>
    <row r="18" spans="1:22">
      <c r="A18" s="126">
        <f t="shared" si="0"/>
        <v>5</v>
      </c>
      <c r="B18" s="181" t="s">
        <v>17</v>
      </c>
      <c r="C18" s="855">
        <v>23261</v>
      </c>
      <c r="D18" s="753">
        <f>ROUND((E18-C18)/C18,4)</f>
        <v>2.7799999999999998E-2</v>
      </c>
      <c r="E18" s="855">
        <v>23907</v>
      </c>
      <c r="F18" s="753">
        <f>ROUND((G18-E18)/E18,4)</f>
        <v>-0.24030000000000001</v>
      </c>
      <c r="G18" s="855">
        <v>18161</v>
      </c>
      <c r="H18" s="753">
        <f>ROUND((I18-G18)/G18,4)</f>
        <v>1.72E-2</v>
      </c>
      <c r="I18" s="855">
        <v>18473.259999999998</v>
      </c>
      <c r="J18" s="753">
        <f>ROUND((K18-I18)/I18,4)</f>
        <v>0.15010000000000001</v>
      </c>
      <c r="K18" s="855">
        <v>21245.75</v>
      </c>
      <c r="L18" s="753">
        <f>ROUND((M18-K18)/K18,4)</f>
        <v>3.2500000000000001E-2</v>
      </c>
      <c r="M18" s="855">
        <f>($I$18+$K$18)/($I$17+$K$17)*M17</f>
        <v>21937.001285597176</v>
      </c>
      <c r="N18" s="753">
        <f>ROUND((O18-M18)/M18,4)</f>
        <v>0</v>
      </c>
      <c r="O18" s="855">
        <f>($I$18+$K$18)/($I$17+$K$17)*O17</f>
        <v>21937.001285597176</v>
      </c>
      <c r="P18" s="119"/>
      <c r="Q18"/>
    </row>
    <row r="19" spans="1:22">
      <c r="A19" s="126">
        <f t="shared" si="0"/>
        <v>6</v>
      </c>
      <c r="B19" s="181" t="s">
        <v>992</v>
      </c>
      <c r="C19" s="155">
        <f>(C17+C18)</f>
        <v>439807</v>
      </c>
      <c r="D19" s="753">
        <f>ROUND((E19-C19)/C19,4)</f>
        <v>-5.4600000000000003E-2</v>
      </c>
      <c r="E19" s="155">
        <f>(E17+E18)</f>
        <v>415778</v>
      </c>
      <c r="F19" s="753">
        <f>ROUND((G19-E19)/E19,4)</f>
        <v>9.5899999999999999E-2</v>
      </c>
      <c r="G19" s="155">
        <f>(G17+G18)</f>
        <v>455634</v>
      </c>
      <c r="H19" s="753">
        <f>ROUND((I19-G19)/G19,4)</f>
        <v>-5.7799999999999997E-2</v>
      </c>
      <c r="I19" s="155">
        <f>(I17+I18)</f>
        <v>429298.28</v>
      </c>
      <c r="J19" s="753">
        <f>ROUND((K19-I19)/I19,4)</f>
        <v>4.8999999999999998E-3</v>
      </c>
      <c r="K19" s="155">
        <f>(K17+K18)</f>
        <v>431416.62</v>
      </c>
      <c r="L19" s="753">
        <f>ROUND((M19-K19)/K19,4)</f>
        <v>0.1019</v>
      </c>
      <c r="M19" s="155">
        <f>(M17+M18)</f>
        <v>475377.00128559716</v>
      </c>
      <c r="N19" s="753">
        <f>ROUND((O19-M19)/M19,4)</f>
        <v>0</v>
      </c>
      <c r="O19" s="155">
        <f>(O17+O18)</f>
        <v>475377.00128559716</v>
      </c>
      <c r="P19" s="119"/>
      <c r="Q19"/>
    </row>
    <row r="20" spans="1:22">
      <c r="A20" s="126">
        <f t="shared" si="0"/>
        <v>7</v>
      </c>
      <c r="B20" s="181" t="s">
        <v>18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9"/>
      <c r="Q20"/>
    </row>
    <row r="21" spans="1:22">
      <c r="A21" s="126">
        <f t="shared" si="0"/>
        <v>8</v>
      </c>
      <c r="B21" s="181" t="s">
        <v>65</v>
      </c>
      <c r="C21" s="185">
        <f>ROUND((C18/C17),5)</f>
        <v>5.5840000000000001E-2</v>
      </c>
      <c r="D21" s="130"/>
      <c r="E21" s="185">
        <f>ROUND((E18/E17),5)</f>
        <v>6.1010000000000002E-2</v>
      </c>
      <c r="F21" s="130"/>
      <c r="G21" s="185">
        <f>ROUND((G18/G17),5)</f>
        <v>4.1509999999999998E-2</v>
      </c>
      <c r="H21" s="130"/>
      <c r="I21" s="185">
        <f>ROUND((I18/I17),5)</f>
        <v>4.4970000000000003E-2</v>
      </c>
      <c r="J21" s="130"/>
      <c r="K21" s="185">
        <f>ROUND((K18/K17),5)</f>
        <v>5.1799999999999999E-2</v>
      </c>
      <c r="L21" s="130"/>
      <c r="M21" s="185">
        <f>ROUND((M18/M17),5)</f>
        <v>4.8379999999999999E-2</v>
      </c>
      <c r="N21" s="130"/>
      <c r="O21" s="185">
        <f>ROUND((O18/O17),5)</f>
        <v>4.8379999999999999E-2</v>
      </c>
      <c r="P21" s="119"/>
      <c r="Q21"/>
    </row>
    <row r="22" spans="1:22">
      <c r="A22" s="126">
        <f t="shared" si="0"/>
        <v>9</v>
      </c>
      <c r="B22" s="119"/>
      <c r="C22" s="184"/>
      <c r="D22" s="130"/>
      <c r="E22" s="184"/>
      <c r="F22" s="130"/>
      <c r="G22" s="184"/>
      <c r="H22" s="130"/>
      <c r="I22" s="184"/>
      <c r="J22" s="130"/>
      <c r="K22" s="184"/>
      <c r="L22" s="130"/>
      <c r="M22" s="184"/>
      <c r="N22" s="130"/>
      <c r="O22" s="184"/>
      <c r="P22" s="119"/>
      <c r="Q22"/>
    </row>
    <row r="23" spans="1:22">
      <c r="A23" s="126">
        <f t="shared" si="0"/>
        <v>10</v>
      </c>
      <c r="B23" s="61" t="s">
        <v>758</v>
      </c>
      <c r="C23" s="184"/>
      <c r="D23" s="130"/>
      <c r="E23" s="184"/>
      <c r="F23" s="130"/>
      <c r="G23" s="184"/>
      <c r="H23" s="130"/>
      <c r="I23" s="184"/>
      <c r="J23" s="130"/>
      <c r="K23" s="184"/>
      <c r="L23" s="130"/>
      <c r="M23" s="184"/>
      <c r="N23" s="130"/>
      <c r="O23" s="184"/>
      <c r="P23" s="119"/>
      <c r="Q23"/>
    </row>
    <row r="24" spans="1:22">
      <c r="A24" s="126">
        <f t="shared" si="0"/>
        <v>11</v>
      </c>
      <c r="B24" s="181" t="s">
        <v>759</v>
      </c>
      <c r="C24" s="184">
        <v>9692733</v>
      </c>
      <c r="D24" s="753">
        <f>ROUND((E24-C24)/C24,4)</f>
        <v>4.5999999999999999E-3</v>
      </c>
      <c r="E24" s="184">
        <v>9737325</v>
      </c>
      <c r="F24" s="753">
        <f>ROUND((G24-E24)/E24,4)</f>
        <v>1.29E-2</v>
      </c>
      <c r="G24" s="184">
        <v>9862636</v>
      </c>
      <c r="H24" s="753">
        <f>ROUND((I24-G24)/G24,4)</f>
        <v>6.1100000000000002E-2</v>
      </c>
      <c r="I24" s="184">
        <v>10464861.35</v>
      </c>
      <c r="J24" s="753">
        <f>ROUND((K24-I24)/I24,4)</f>
        <v>1.29E-2</v>
      </c>
      <c r="K24" s="184">
        <v>10599619.02</v>
      </c>
      <c r="L24" s="753">
        <f>ROUND((M24-K24)/K24,4)</f>
        <v>2.7099999999999999E-2</v>
      </c>
      <c r="M24" s="844">
        <f>M26-M25</f>
        <v>10887028.146351865</v>
      </c>
      <c r="N24" s="753">
        <f>ROUND((O24-M24)/M24,4)</f>
        <v>2.75E-2</v>
      </c>
      <c r="O24" s="844">
        <f>O26-O25</f>
        <v>11186913.859507913</v>
      </c>
      <c r="P24" s="119"/>
      <c r="Q24"/>
      <c r="R24" s="768"/>
    </row>
    <row r="25" spans="1:22">
      <c r="A25" s="126">
        <f t="shared" si="0"/>
        <v>12</v>
      </c>
      <c r="B25" s="181" t="s">
        <v>19</v>
      </c>
      <c r="C25" s="855">
        <v>606303</v>
      </c>
      <c r="D25" s="753">
        <f>ROUND((E25-C25)/C25,4)</f>
        <v>7.7499999999999999E-2</v>
      </c>
      <c r="E25" s="855">
        <v>653307</v>
      </c>
      <c r="F25" s="753">
        <f>ROUND((G25-E25)/E25,4)</f>
        <v>-0.1038</v>
      </c>
      <c r="G25" s="855">
        <v>585480</v>
      </c>
      <c r="H25" s="753">
        <f>ROUND((I25-G25)/G25,4)</f>
        <v>0.12330000000000001</v>
      </c>
      <c r="I25" s="855">
        <v>657641.64</v>
      </c>
      <c r="J25" s="753">
        <f>ROUND((K25-I25)/I25,4)</f>
        <v>0.15989999999999999</v>
      </c>
      <c r="K25" s="855">
        <v>762823.65</v>
      </c>
      <c r="L25" s="753">
        <f>ROUND((M25-K25)/K25,4)</f>
        <v>3.15E-2</v>
      </c>
      <c r="M25" s="854">
        <f>AVERAGE(I28,K28)*M26</f>
        <v>786879.76260310994</v>
      </c>
      <c r="N25" s="753">
        <f>ROUND((O25-M25)/M25,4)</f>
        <v>0.1051</v>
      </c>
      <c r="O25" s="854">
        <f>AVERAGE(K28,M28)*O26</f>
        <v>869574.2013924378</v>
      </c>
      <c r="P25" s="119"/>
      <c r="Q25"/>
      <c r="R25" s="768"/>
      <c r="S25" s="768"/>
      <c r="T25" s="768"/>
      <c r="U25" s="768"/>
    </row>
    <row r="26" spans="1:22">
      <c r="A26" s="126">
        <f t="shared" si="0"/>
        <v>13</v>
      </c>
      <c r="B26" s="181" t="s">
        <v>804</v>
      </c>
      <c r="C26" s="155">
        <f>(C24+C25)</f>
        <v>10299036</v>
      </c>
      <c r="D26" s="753">
        <f>ROUND((E26-C26)/C26,4)</f>
        <v>8.8999999999999999E-3</v>
      </c>
      <c r="E26" s="155">
        <f>(E24+E25)</f>
        <v>10390632</v>
      </c>
      <c r="F26" s="753">
        <f>ROUND((G26-E26)/E26,4)</f>
        <v>5.4999999999999997E-3</v>
      </c>
      <c r="G26" s="155">
        <f>(G24+G25)</f>
        <v>10448116</v>
      </c>
      <c r="H26" s="753">
        <f>ROUND((I26-G26)/G26,4)</f>
        <v>6.4500000000000002E-2</v>
      </c>
      <c r="I26" s="155">
        <f>(I24+I25)</f>
        <v>11122502.99</v>
      </c>
      <c r="J26" s="753">
        <f>ROUND((K26-I26)/I26,4)</f>
        <v>2.1600000000000001E-2</v>
      </c>
      <c r="K26" s="155">
        <f>(K24+K25)</f>
        <v>11362442.67</v>
      </c>
      <c r="L26" s="753">
        <f>ROUND((M26-K26)/K26,4)</f>
        <v>2.7400000000000001E-2</v>
      </c>
      <c r="M26" s="844">
        <v>11673907.908954974</v>
      </c>
      <c r="N26" s="753">
        <f>ROUND((O26-M26)/M26,4)</f>
        <v>3.2800000000000003E-2</v>
      </c>
      <c r="O26" s="844">
        <v>12056488.060900351</v>
      </c>
      <c r="P26" s="119"/>
      <c r="R26" s="853"/>
      <c r="S26" s="853"/>
      <c r="T26" s="768"/>
      <c r="U26" s="768"/>
      <c r="V26" s="1057"/>
    </row>
    <row r="27" spans="1:22">
      <c r="A27" s="126">
        <f t="shared" si="0"/>
        <v>14</v>
      </c>
      <c r="B27" s="181" t="s">
        <v>20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9"/>
      <c r="R27" s="768"/>
      <c r="T27" s="768"/>
      <c r="U27" s="768"/>
    </row>
    <row r="28" spans="1:22">
      <c r="A28" s="126">
        <f t="shared" si="0"/>
        <v>15</v>
      </c>
      <c r="B28" s="181" t="s">
        <v>1059</v>
      </c>
      <c r="C28" s="185">
        <f>ROUND((C25/C24),5)</f>
        <v>6.2549999999999994E-2</v>
      </c>
      <c r="D28" s="130"/>
      <c r="E28" s="185">
        <f>ROUND((E25/E24),5)</f>
        <v>6.7089999999999997E-2</v>
      </c>
      <c r="F28" s="130"/>
      <c r="G28" s="185">
        <f>ROUND((G25/G24),5)</f>
        <v>5.9360000000000003E-2</v>
      </c>
      <c r="H28" s="130"/>
      <c r="I28" s="185">
        <f>ROUND((I25/I24),5)</f>
        <v>6.2839999999999993E-2</v>
      </c>
      <c r="J28" s="130"/>
      <c r="K28" s="185">
        <f>ROUND((K25/K24),5)</f>
        <v>7.1970000000000006E-2</v>
      </c>
      <c r="L28" s="130"/>
      <c r="M28" s="185">
        <f>ROUND((M25/M24),5)</f>
        <v>7.2279999999999997E-2</v>
      </c>
      <c r="N28" s="130"/>
      <c r="O28" s="185">
        <f>ROUND((O25/O24),5)</f>
        <v>7.7729999999999994E-2</v>
      </c>
      <c r="P28" s="119"/>
      <c r="Q28"/>
    </row>
    <row r="29" spans="1:22">
      <c r="A29" s="126">
        <f t="shared" si="0"/>
        <v>16</v>
      </c>
      <c r="B29" s="119"/>
      <c r="C29" s="184"/>
      <c r="D29" s="130"/>
      <c r="E29" s="184"/>
      <c r="F29" s="130"/>
      <c r="G29" s="184"/>
      <c r="H29" s="130"/>
      <c r="I29" s="184"/>
      <c r="J29" s="130"/>
      <c r="K29" s="184"/>
      <c r="L29" s="130"/>
      <c r="M29" s="184"/>
      <c r="N29" s="130"/>
      <c r="O29" s="184"/>
      <c r="P29" s="119"/>
      <c r="Q29"/>
    </row>
    <row r="30" spans="1:22">
      <c r="A30" s="126">
        <f t="shared" si="0"/>
        <v>17</v>
      </c>
      <c r="B30" s="181" t="s">
        <v>66</v>
      </c>
      <c r="C30" s="184">
        <v>5692325</v>
      </c>
      <c r="D30" s="753">
        <f>ROUND((E30-C30)/C30,4)</f>
        <v>-2.64E-2</v>
      </c>
      <c r="E30" s="184">
        <v>5541779</v>
      </c>
      <c r="F30" s="753">
        <f>ROUND((G30-E30)/E30,4)</f>
        <v>-0.14680000000000001</v>
      </c>
      <c r="G30" s="184">
        <v>4728247</v>
      </c>
      <c r="H30" s="753">
        <f>ROUND((I30-G30)/G30,4)</f>
        <v>7.7399999999999997E-2</v>
      </c>
      <c r="I30" s="184">
        <v>5094063.0600000005</v>
      </c>
      <c r="J30" s="753">
        <f>ROUND((K30-I30)/I30,4)</f>
        <v>-1.84E-2</v>
      </c>
      <c r="K30" s="184">
        <v>5000231.1099999994</v>
      </c>
      <c r="L30" s="753">
        <f>ROUND((M30-K30)/K30,4)</f>
        <v>-1.41E-2</v>
      </c>
      <c r="M30" s="184">
        <v>4929596.88</v>
      </c>
      <c r="N30" s="753">
        <f>ROUND((O30-M30)/M30,4)</f>
        <v>-4.0000000000000002E-4</v>
      </c>
      <c r="O30" s="184">
        <v>4927623.3196000019</v>
      </c>
      <c r="P30" s="119"/>
      <c r="Q30"/>
      <c r="R30" s="768"/>
    </row>
    <row r="31" spans="1:22">
      <c r="A31" s="126">
        <f t="shared" si="0"/>
        <v>18</v>
      </c>
      <c r="B31" s="181" t="s">
        <v>67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9"/>
      <c r="Q31"/>
    </row>
    <row r="32" spans="1:22">
      <c r="A32" s="126">
        <f t="shared" si="0"/>
        <v>19</v>
      </c>
      <c r="B32" s="181" t="s">
        <v>632</v>
      </c>
      <c r="C32" s="185">
        <f>ROUND((C30/C26),5)</f>
        <v>0.55269999999999997</v>
      </c>
      <c r="D32" s="130"/>
      <c r="E32" s="185">
        <f>ROUND((E30/E26),5)</f>
        <v>0.53334000000000004</v>
      </c>
      <c r="F32" s="130"/>
      <c r="G32" s="185">
        <f>ROUND((G30/G26),5)</f>
        <v>0.45255000000000001</v>
      </c>
      <c r="H32" s="130"/>
      <c r="I32" s="185">
        <f>ROUND((I30/I26),5)</f>
        <v>0.45800000000000002</v>
      </c>
      <c r="J32" s="130"/>
      <c r="K32" s="185">
        <f>ROUND((K30/K26),5)</f>
        <v>0.44007000000000002</v>
      </c>
      <c r="L32" s="130"/>
      <c r="M32" s="185">
        <f>ROUND((M30/M26),5)</f>
        <v>0.42226999999999998</v>
      </c>
      <c r="N32" s="130"/>
      <c r="O32" s="185">
        <f>ROUND((O30/O26),5)</f>
        <v>0.40871000000000002</v>
      </c>
      <c r="P32" s="119"/>
      <c r="Q32"/>
    </row>
    <row r="33" spans="1:17">
      <c r="A33" s="126">
        <f t="shared" si="0"/>
        <v>20</v>
      </c>
      <c r="B33" s="11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9"/>
      <c r="Q33"/>
    </row>
    <row r="34" spans="1:17">
      <c r="A34" s="126">
        <f t="shared" si="0"/>
        <v>21</v>
      </c>
      <c r="B34" s="61" t="s">
        <v>633</v>
      </c>
      <c r="C34" s="184"/>
      <c r="D34" s="130"/>
      <c r="E34" s="184"/>
      <c r="F34" s="130"/>
      <c r="G34" s="184"/>
      <c r="H34" s="130"/>
      <c r="I34" s="184"/>
      <c r="J34" s="130"/>
      <c r="K34" s="184"/>
      <c r="L34" s="130"/>
      <c r="M34" s="184"/>
      <c r="N34" s="130"/>
      <c r="O34" s="184"/>
      <c r="P34" s="119"/>
      <c r="Q34"/>
    </row>
    <row r="35" spans="1:17">
      <c r="A35" s="126">
        <f t="shared" si="0"/>
        <v>22</v>
      </c>
      <c r="B35" s="181" t="s">
        <v>752</v>
      </c>
      <c r="C35" s="136">
        <v>4596969</v>
      </c>
      <c r="D35" s="753">
        <f>ROUND((E35-C35)/C35,4)</f>
        <v>7.4300000000000005E-2</v>
      </c>
      <c r="E35" s="136">
        <v>4938502</v>
      </c>
      <c r="F35" s="753">
        <f>ROUND((G35-E35)/E35,4)</f>
        <v>-9.8100000000000007E-2</v>
      </c>
      <c r="G35" s="136">
        <v>4453878</v>
      </c>
      <c r="H35" s="753">
        <f>ROUND((I35-G35)/G35,4)</f>
        <v>0.36120000000000002</v>
      </c>
      <c r="I35" s="136">
        <v>6062525.1250055488</v>
      </c>
      <c r="J35" s="753">
        <f>ROUND((K35-I35)/I35,4)</f>
        <v>1.4200000000000001E-2</v>
      </c>
      <c r="K35" s="136">
        <v>6148915.5516105723</v>
      </c>
      <c r="L35" s="753">
        <f>ROUND((M35-K35)/K35,4)</f>
        <v>-0.1938</v>
      </c>
      <c r="M35" s="136">
        <f>M36/M32</f>
        <v>4956963.8146209773</v>
      </c>
      <c r="N35" s="753">
        <f>ROUND((O35-M35)/M35,4)</f>
        <v>4.3900000000000002E-2</v>
      </c>
      <c r="O35" s="136">
        <f>O36/O32</f>
        <v>5174804.070890245</v>
      </c>
      <c r="P35" s="134"/>
      <c r="Q35"/>
    </row>
    <row r="36" spans="1:17">
      <c r="A36" s="126">
        <f t="shared" si="0"/>
        <v>23</v>
      </c>
      <c r="B36" s="181" t="s">
        <v>753</v>
      </c>
      <c r="C36" s="184">
        <v>2332011</v>
      </c>
      <c r="D36" s="753">
        <f>ROUND((E36-C36)/C36,4)</f>
        <v>7.2599999999999998E-2</v>
      </c>
      <c r="E36" s="184">
        <v>2501338</v>
      </c>
      <c r="F36" s="753">
        <f>ROUND((G36-E36)/E36,4)</f>
        <v>-0.13730000000000001</v>
      </c>
      <c r="G36" s="184">
        <v>2157841</v>
      </c>
      <c r="H36" s="753">
        <f>ROUND((I36-G36)/G36,4)</f>
        <v>0.3775</v>
      </c>
      <c r="I36" s="184">
        <v>2972341.1200000118</v>
      </c>
      <c r="J36" s="753">
        <f>ROUND((K36-I36)/I36,4)</f>
        <v>-5.5399999999999998E-2</v>
      </c>
      <c r="K36" s="184">
        <v>2807745.5500000049</v>
      </c>
      <c r="L36" s="753">
        <f>ROUND((M36-K36)/K36,4)</f>
        <v>-0.2545</v>
      </c>
      <c r="M36" s="184">
        <v>2093177.1099999999</v>
      </c>
      <c r="N36" s="753">
        <f>ROUND((O36-M36)/M36,4)</f>
        <v>1.04E-2</v>
      </c>
      <c r="O36" s="184">
        <v>2114994.1718135523</v>
      </c>
      <c r="P36" s="134"/>
      <c r="Q36"/>
    </row>
    <row r="37" spans="1:17">
      <c r="A37" s="126">
        <f t="shared" si="0"/>
        <v>24</v>
      </c>
      <c r="B37" s="181" t="s">
        <v>812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9"/>
      <c r="Q37"/>
    </row>
    <row r="38" spans="1:17">
      <c r="A38" s="126">
        <f t="shared" si="0"/>
        <v>25</v>
      </c>
      <c r="B38" s="117" t="s">
        <v>813</v>
      </c>
      <c r="C38" s="570"/>
      <c r="D38" s="130"/>
      <c r="E38" s="570"/>
      <c r="F38" s="130"/>
      <c r="G38" s="570"/>
      <c r="H38" s="130"/>
      <c r="I38" s="570"/>
      <c r="J38" s="130"/>
      <c r="K38" s="570"/>
      <c r="L38" s="130"/>
      <c r="M38" s="130"/>
      <c r="N38" s="130"/>
      <c r="O38" s="130"/>
      <c r="P38" s="119"/>
      <c r="Q38"/>
    </row>
    <row r="39" spans="1:17">
      <c r="A39" s="126">
        <f t="shared" si="0"/>
        <v>26</v>
      </c>
      <c r="B39" s="181" t="s">
        <v>814</v>
      </c>
      <c r="C39" s="185">
        <f>ROUND((C36/C35),5)</f>
        <v>0.50729000000000002</v>
      </c>
      <c r="D39" s="130"/>
      <c r="E39" s="185">
        <f>ROUND((E36/E35),5)</f>
        <v>0.50649999999999995</v>
      </c>
      <c r="F39" s="130"/>
      <c r="G39" s="185">
        <f>ROUND((G36/G35),5)</f>
        <v>0.48448999999999998</v>
      </c>
      <c r="H39" s="130"/>
      <c r="I39" s="185">
        <f>ROUND((I36/I35),5)</f>
        <v>0.49027999999999999</v>
      </c>
      <c r="J39" s="130"/>
      <c r="K39" s="185">
        <f>ROUND((K36/K35),5)</f>
        <v>0.45662000000000003</v>
      </c>
      <c r="L39" s="130"/>
      <c r="M39" s="185">
        <f>ROUND((M36/M35),5)</f>
        <v>0.42226999999999998</v>
      </c>
      <c r="N39" s="130"/>
      <c r="O39" s="185">
        <f>ROUND((O36/O35),5)</f>
        <v>0.40871000000000002</v>
      </c>
      <c r="P39" s="119"/>
      <c r="Q39"/>
    </row>
    <row r="40" spans="1:17">
      <c r="A40" s="126">
        <f t="shared" si="0"/>
        <v>27</v>
      </c>
      <c r="B40" s="11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9"/>
      <c r="Q40"/>
    </row>
    <row r="41" spans="1:17">
      <c r="A41" s="126">
        <f t="shared" si="0"/>
        <v>28</v>
      </c>
      <c r="B41" s="17" t="s">
        <v>815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9"/>
      <c r="Q41"/>
    </row>
    <row r="42" spans="1:17">
      <c r="A42" s="126">
        <f t="shared" si="0"/>
        <v>29</v>
      </c>
      <c r="B42" s="181" t="s">
        <v>648</v>
      </c>
      <c r="C42" s="136">
        <v>950698</v>
      </c>
      <c r="D42" s="753">
        <f>ROUND((E42-C42)/C42,4)</f>
        <v>-1.46E-2</v>
      </c>
      <c r="E42" s="136">
        <v>936794</v>
      </c>
      <c r="F42" s="753">
        <f>ROUND((G42-E42)/E42,4)</f>
        <v>-5.0700000000000002E-2</v>
      </c>
      <c r="G42" s="136">
        <v>889257</v>
      </c>
      <c r="H42" s="753">
        <f>ROUND((I42-G42)/G42,4)</f>
        <v>-5.21E-2</v>
      </c>
      <c r="I42" s="136">
        <v>842967.71</v>
      </c>
      <c r="J42" s="753">
        <f>ROUND((K42-I42)/I42,4)</f>
        <v>0.3266</v>
      </c>
      <c r="K42" s="136">
        <v>1118267.5799999991</v>
      </c>
      <c r="L42" s="753">
        <f>ROUND((M42-K42)/K42,4)</f>
        <v>-0.17929999999999999</v>
      </c>
      <c r="M42" s="136">
        <f>M43/M32</f>
        <v>917764.13195348927</v>
      </c>
      <c r="N42" s="753">
        <f>ROUND((O42-M42)/M42,4)</f>
        <v>7.2300000000000003E-2</v>
      </c>
      <c r="O42" s="136">
        <f>O43/O32</f>
        <v>984144.93628244952</v>
      </c>
      <c r="P42" s="134"/>
      <c r="Q42"/>
    </row>
    <row r="43" spans="1:17">
      <c r="A43" s="126">
        <f t="shared" si="0"/>
        <v>30</v>
      </c>
      <c r="B43" s="181" t="s">
        <v>1124</v>
      </c>
      <c r="C43" s="184">
        <v>357768</v>
      </c>
      <c r="D43" s="753">
        <f>ROUND((E43-C43)/C43,4)</f>
        <v>6.3100000000000003E-2</v>
      </c>
      <c r="E43" s="184">
        <v>380339</v>
      </c>
      <c r="F43" s="753">
        <f>ROUND((G43-E43)/E43,4)</f>
        <v>-0.1105</v>
      </c>
      <c r="G43" s="184">
        <v>338313</v>
      </c>
      <c r="H43" s="753">
        <f>ROUND((I43-G43)/G43,4)</f>
        <v>-9.7000000000000003E-3</v>
      </c>
      <c r="I43" s="184">
        <v>335033.08</v>
      </c>
      <c r="J43" s="753">
        <f>ROUND((K43-I43)/I43,4)</f>
        <v>8.0000000000000004E-4</v>
      </c>
      <c r="K43" s="184">
        <v>335294.49000000005</v>
      </c>
      <c r="L43" s="753">
        <f>ROUND((M43-K43)/K43,4)</f>
        <v>0.15579999999999999</v>
      </c>
      <c r="M43" s="136">
        <f>G.1!D31</f>
        <v>387544.25999999989</v>
      </c>
      <c r="N43" s="753">
        <f>ROUND((O43-M43)/M43,4)</f>
        <v>3.7900000000000003E-2</v>
      </c>
      <c r="O43" s="136">
        <f>G.1!L31</f>
        <v>402229.87690799998</v>
      </c>
      <c r="P43" s="134"/>
      <c r="Q43"/>
    </row>
    <row r="44" spans="1:17">
      <c r="A44" s="126">
        <f t="shared" si="0"/>
        <v>31</v>
      </c>
      <c r="B44" s="181" t="s">
        <v>645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9"/>
      <c r="Q44"/>
    </row>
    <row r="45" spans="1:17">
      <c r="A45" s="126">
        <f t="shared" si="0"/>
        <v>32</v>
      </c>
      <c r="B45" s="181" t="s">
        <v>646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9"/>
      <c r="Q45"/>
    </row>
    <row r="46" spans="1:17">
      <c r="A46" s="126">
        <f t="shared" si="0"/>
        <v>33</v>
      </c>
      <c r="B46" s="117" t="s">
        <v>650</v>
      </c>
      <c r="C46" s="185">
        <f>ROUND((C43/C42),5)</f>
        <v>0.37631999999999999</v>
      </c>
      <c r="D46" s="130"/>
      <c r="E46" s="185">
        <f>ROUND((E43/E42),5)</f>
        <v>0.40600000000000003</v>
      </c>
      <c r="F46" s="185"/>
      <c r="G46" s="185">
        <f>ROUND((G43/G42),5)</f>
        <v>0.38044</v>
      </c>
      <c r="H46" s="130"/>
      <c r="I46" s="185">
        <f>ROUND((I43/I42),5)</f>
        <v>0.39744000000000002</v>
      </c>
      <c r="J46" s="130"/>
      <c r="K46" s="185">
        <f>ROUND((K43/K42),5)</f>
        <v>0.29982999999999999</v>
      </c>
      <c r="L46" s="130"/>
      <c r="M46" s="185">
        <f>ROUND((M43/M42),5)</f>
        <v>0.42226999999999998</v>
      </c>
      <c r="N46" s="130"/>
      <c r="O46" s="185">
        <f>ROUND((O43/O42),5)</f>
        <v>0.40871000000000002</v>
      </c>
      <c r="P46" s="119"/>
      <c r="Q46"/>
    </row>
    <row r="47" spans="1:17">
      <c r="A47" s="126">
        <f t="shared" si="0"/>
        <v>34</v>
      </c>
      <c r="B47" s="11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9"/>
      <c r="Q47"/>
    </row>
    <row r="48" spans="1:17">
      <c r="A48" s="126">
        <f t="shared" si="0"/>
        <v>35</v>
      </c>
      <c r="B48" s="61" t="s">
        <v>1179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9"/>
      <c r="Q48" s="768"/>
    </row>
    <row r="49" spans="1:19">
      <c r="A49" s="126">
        <f t="shared" si="0"/>
        <v>36</v>
      </c>
      <c r="B49" s="181" t="s">
        <v>1180</v>
      </c>
      <c r="C49" s="130">
        <v>219</v>
      </c>
      <c r="D49" s="753">
        <f>ROUND((E49-C49)/C49,4)</f>
        <v>-3.6499999999999998E-2</v>
      </c>
      <c r="E49" s="130">
        <v>211</v>
      </c>
      <c r="F49" s="186">
        <f>ROUND((G49-E49)/E49,4)</f>
        <v>-9.4999999999999998E-3</v>
      </c>
      <c r="G49" s="130">
        <v>209</v>
      </c>
      <c r="H49" s="753">
        <f>ROUND((I49-G49)/G49,4)</f>
        <v>9.5999999999999992E-3</v>
      </c>
      <c r="I49" s="130">
        <v>211</v>
      </c>
      <c r="J49" s="753">
        <f>ROUND((K49-I49)/I49,4)</f>
        <v>1.9E-2</v>
      </c>
      <c r="K49" s="130">
        <v>215</v>
      </c>
      <c r="L49" s="753">
        <f>ROUND((M49-K49)/K49,4)</f>
        <v>1.4E-2</v>
      </c>
      <c r="M49" s="1188">
        <f>M50</f>
        <v>218</v>
      </c>
      <c r="N49" s="753">
        <f>ROUND((O49-M49)/M49,4)</f>
        <v>0</v>
      </c>
      <c r="O49" s="1188">
        <f>O50</f>
        <v>218</v>
      </c>
      <c r="P49" s="119"/>
      <c r="Q49" s="768"/>
    </row>
    <row r="50" spans="1:19">
      <c r="A50" s="126">
        <f t="shared" si="0"/>
        <v>37</v>
      </c>
      <c r="B50" s="181" t="s">
        <v>1181</v>
      </c>
      <c r="C50" s="186">
        <v>217</v>
      </c>
      <c r="D50" s="753">
        <f>ROUND((E50-C50)/C50,4)</f>
        <v>-4.6100000000000002E-2</v>
      </c>
      <c r="E50" s="186">
        <v>207</v>
      </c>
      <c r="F50" s="186">
        <f>ROUND((G50-E50)/E50,4)</f>
        <v>9.7000000000000003E-3</v>
      </c>
      <c r="G50" s="186">
        <v>209</v>
      </c>
      <c r="H50" s="753">
        <f>ROUND((I50-G50)/G50,4)</f>
        <v>1.9099999999999999E-2</v>
      </c>
      <c r="I50" s="186">
        <v>213</v>
      </c>
      <c r="J50" s="753">
        <f>ROUND((K50-I50)/I50,4)</f>
        <v>2.35E-2</v>
      </c>
      <c r="K50" s="186">
        <v>218</v>
      </c>
      <c r="L50" s="753">
        <f>ROUND((M50-K50)/K50,4)</f>
        <v>0</v>
      </c>
      <c r="M50" s="1188">
        <v>218</v>
      </c>
      <c r="N50" s="753">
        <f>ROUND((O50-M50)/M50,4)</f>
        <v>0</v>
      </c>
      <c r="O50" s="1188">
        <v>218</v>
      </c>
      <c r="P50" s="119"/>
      <c r="Q50"/>
    </row>
    <row r="51" spans="1:19">
      <c r="A51" s="119"/>
      <c r="B51" s="11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9"/>
      <c r="Q51"/>
    </row>
    <row r="52" spans="1:19">
      <c r="A52" s="119"/>
      <c r="B52" s="119"/>
      <c r="C52" s="130"/>
      <c r="D52" s="768"/>
      <c r="E52" s="13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/>
      <c r="R52" s="10"/>
    </row>
    <row r="53" spans="1:19">
      <c r="A53" s="119"/>
      <c r="B53" s="119"/>
      <c r="C53" s="119"/>
      <c r="D53" s="76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/>
      <c r="R53" s="10"/>
    </row>
    <row r="54" spans="1:19">
      <c r="A54" s="119"/>
      <c r="B54" s="870" t="s">
        <v>244</v>
      </c>
      <c r="C54" s="130"/>
      <c r="D54" s="130"/>
      <c r="E54" s="130"/>
      <c r="F54" s="130"/>
      <c r="G54" s="130"/>
      <c r="H54" s="130"/>
      <c r="I54" s="130"/>
      <c r="J54" s="119"/>
      <c r="K54" s="119"/>
      <c r="L54" s="119"/>
      <c r="M54" s="119"/>
      <c r="N54" s="119"/>
      <c r="O54" s="119"/>
      <c r="P54" s="119"/>
      <c r="Q54"/>
    </row>
    <row r="55" spans="1:19">
      <c r="A55" s="119"/>
      <c r="B55" s="870" t="s">
        <v>1461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/>
    </row>
    <row r="56" spans="1:19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/>
    </row>
    <row r="57" spans="1:19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/>
    </row>
    <row r="58" spans="1:19">
      <c r="A58" s="119"/>
      <c r="B58" s="119" t="s">
        <v>1257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/>
      <c r="R58" s="10"/>
      <c r="S58" s="10"/>
    </row>
    <row r="59" spans="1:19">
      <c r="A59" s="119"/>
      <c r="B59" s="870" t="s">
        <v>1346</v>
      </c>
      <c r="C59" s="130"/>
      <c r="D59" s="130"/>
      <c r="E59" s="130"/>
      <c r="F59" s="119"/>
      <c r="G59" s="768"/>
      <c r="H59" s="119"/>
      <c r="I59" s="119"/>
      <c r="J59" s="119"/>
      <c r="K59" s="119"/>
      <c r="L59" s="119"/>
      <c r="M59" s="768"/>
      <c r="N59" s="119"/>
      <c r="O59" s="119"/>
      <c r="P59" s="119"/>
      <c r="Q59"/>
      <c r="R59" s="10"/>
      <c r="S59" s="10"/>
    </row>
    <row r="60" spans="1:19">
      <c r="A60" s="119"/>
      <c r="B60" s="130" t="s">
        <v>1441</v>
      </c>
      <c r="C60" s="130"/>
      <c r="D60" s="119"/>
      <c r="E60" s="119"/>
      <c r="F60" s="119"/>
      <c r="G60" s="768"/>
      <c r="H60" s="119"/>
      <c r="I60" s="119"/>
      <c r="J60" s="119"/>
      <c r="K60" s="119"/>
      <c r="L60" s="119"/>
      <c r="M60" s="119"/>
      <c r="N60" s="119"/>
      <c r="O60" s="119"/>
      <c r="P60" s="119"/>
      <c r="Q60"/>
    </row>
    <row r="61" spans="1:19">
      <c r="A61" s="119"/>
      <c r="B61" s="119" t="s">
        <v>1594</v>
      </c>
      <c r="C61" s="119"/>
      <c r="D61" s="119"/>
      <c r="E61" s="119"/>
      <c r="F61" s="119"/>
      <c r="G61" s="768"/>
      <c r="H61" s="119"/>
      <c r="I61" s="119"/>
      <c r="J61" s="119"/>
      <c r="K61" s="119"/>
      <c r="L61" s="119"/>
      <c r="M61" s="119"/>
      <c r="N61" s="119"/>
      <c r="O61" s="119"/>
      <c r="P61" s="119"/>
      <c r="Q61"/>
    </row>
    <row r="62" spans="1:19">
      <c r="A62" s="119"/>
      <c r="C62" s="119"/>
      <c r="D62" s="119"/>
      <c r="E62" s="119"/>
      <c r="F62" s="119"/>
      <c r="H62" s="119"/>
      <c r="I62" s="119"/>
      <c r="J62" s="119"/>
      <c r="K62" s="119"/>
      <c r="L62" s="119"/>
      <c r="M62" s="119"/>
      <c r="N62" s="119"/>
      <c r="O62" s="119"/>
      <c r="P62" s="119"/>
      <c r="Q62"/>
    </row>
    <row r="63" spans="1:19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/>
    </row>
    <row r="64" spans="1:19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/>
    </row>
    <row r="65" spans="1:17">
      <c r="A65" s="119"/>
      <c r="B65" s="119"/>
      <c r="C65" s="119"/>
      <c r="D65" s="119"/>
      <c r="E65" s="119"/>
      <c r="F65" s="119"/>
      <c r="G65" s="768"/>
      <c r="H65" s="119"/>
      <c r="I65" s="119"/>
      <c r="J65" s="119"/>
      <c r="K65" s="119"/>
      <c r="L65" s="119"/>
      <c r="M65" s="119"/>
      <c r="N65" s="119"/>
      <c r="O65" s="119"/>
      <c r="P65" s="119"/>
      <c r="Q65"/>
    </row>
    <row r="66" spans="1:17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/>
    </row>
    <row r="67" spans="1:17">
      <c r="A67" s="183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/>
    </row>
    <row r="68" spans="1:17">
      <c r="A68" s="183"/>
      <c r="B68" s="183"/>
      <c r="C68" s="119"/>
      <c r="D68" s="119"/>
      <c r="E68" s="119"/>
      <c r="F68" s="119"/>
      <c r="G68" s="187"/>
      <c r="H68" s="119"/>
      <c r="I68" s="187"/>
      <c r="J68" s="119"/>
      <c r="K68" s="187"/>
      <c r="L68" s="119"/>
      <c r="M68" s="187"/>
      <c r="N68" s="119"/>
      <c r="O68" s="187"/>
      <c r="P68" s="119"/>
      <c r="Q68"/>
    </row>
    <row r="69" spans="1:17">
      <c r="A69" s="119"/>
      <c r="B69" s="119"/>
      <c r="C69" s="119"/>
      <c r="D69" s="119"/>
      <c r="E69" s="119"/>
      <c r="F69" s="119"/>
      <c r="G69" s="188"/>
      <c r="H69" s="119"/>
      <c r="I69" s="119"/>
      <c r="J69" s="119"/>
      <c r="K69" s="119"/>
      <c r="L69" s="119"/>
      <c r="M69" s="119"/>
      <c r="N69" s="119"/>
      <c r="O69" s="119"/>
      <c r="P69" s="119"/>
      <c r="Q69"/>
    </row>
    <row r="70" spans="1:17">
      <c r="A70" s="183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/>
    </row>
    <row r="71" spans="1:17">
      <c r="A71" s="183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>
      <c r="G95" s="74"/>
      <c r="I95" s="74"/>
      <c r="K95" s="74"/>
      <c r="M95" s="74"/>
      <c r="O95" s="74"/>
      <c r="Q95" s="74"/>
    </row>
    <row r="96" spans="1:17">
      <c r="G96" s="74"/>
      <c r="I96" s="74"/>
      <c r="K96" s="74"/>
      <c r="M96" s="74"/>
      <c r="O96" s="74"/>
      <c r="Q96" s="74"/>
    </row>
    <row r="97" spans="7:17">
      <c r="G97" s="74"/>
      <c r="I97" s="74"/>
      <c r="K97" s="74"/>
      <c r="M97" s="74"/>
      <c r="O97" s="74"/>
      <c r="Q97" s="74"/>
    </row>
    <row r="98" spans="7:17">
      <c r="G98" s="74"/>
      <c r="I98" s="74"/>
      <c r="K98" s="74"/>
      <c r="M98" s="74"/>
      <c r="O98" s="74"/>
      <c r="Q98" s="74"/>
    </row>
    <row r="99" spans="7:17">
      <c r="G99" s="74"/>
      <c r="I99" s="74"/>
      <c r="K99" s="74"/>
      <c r="M99" s="74"/>
      <c r="O99" s="74"/>
      <c r="Q99" s="74"/>
    </row>
  </sheetData>
  <phoneticPr fontId="24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66"/>
  <sheetViews>
    <sheetView view="pageBreakPreview" zoomScale="60" zoomScaleNormal="90" workbookViewId="0"/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6" width="9.88671875" style="1" customWidth="1"/>
    <col min="7" max="7" width="14.88671875" style="1" bestFit="1" customWidth="1"/>
    <col min="8" max="8" width="6" style="1" bestFit="1" customWidth="1"/>
    <col min="9" max="9" width="11.88671875" style="1" customWidth="1"/>
    <col min="10" max="10" width="3.77734375" style="1" customWidth="1"/>
    <col min="11" max="11" width="15.77734375" style="1" customWidth="1"/>
    <col min="12" max="13" width="9.33203125" style="1" customWidth="1"/>
    <col min="14" max="14" width="8.6640625" style="1" customWidth="1"/>
    <col min="15" max="15" width="8" style="1" customWidth="1"/>
    <col min="16" max="16" width="10.77734375" style="1" customWidth="1"/>
    <col min="17" max="17" width="10.21875" style="1" customWidth="1"/>
    <col min="18" max="16384" width="8.44140625" style="1"/>
  </cols>
  <sheetData>
    <row r="1" spans="1:15">
      <c r="A1" s="234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>
      <c r="A2" s="234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/>
      <c r="O2"/>
    </row>
    <row r="3" spans="1:15">
      <c r="A3" s="116" t="s">
        <v>508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/>
      <c r="O3"/>
    </row>
    <row r="4" spans="1:15">
      <c r="A4" s="116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/>
      <c r="O4"/>
    </row>
    <row r="5" spans="1:15">
      <c r="A5" s="116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/>
      <c r="O5"/>
    </row>
    <row r="6" spans="1:15">
      <c r="A6" s="236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/>
      <c r="O6"/>
    </row>
    <row r="7" spans="1:15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488" t="s">
        <v>1505</v>
      </c>
      <c r="L7" s="119"/>
      <c r="M7" s="119"/>
      <c r="N7"/>
      <c r="O7"/>
    </row>
    <row r="8" spans="1:15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733" t="s">
        <v>641</v>
      </c>
      <c r="L8" s="119"/>
      <c r="M8" s="119"/>
      <c r="N8"/>
      <c r="O8"/>
    </row>
    <row r="9" spans="1:15">
      <c r="A9" s="118" t="s">
        <v>375</v>
      </c>
      <c r="B9" s="124"/>
      <c r="C9" s="124"/>
      <c r="D9" s="124"/>
      <c r="E9" s="124"/>
      <c r="F9" s="124"/>
      <c r="G9" s="124"/>
      <c r="H9" s="124"/>
      <c r="I9" s="124"/>
      <c r="J9" s="124"/>
      <c r="K9" s="792" t="str">
        <f>F.1!$F$9</f>
        <v>Witness: Waller</v>
      </c>
      <c r="L9" s="120"/>
      <c r="M9" s="1068"/>
      <c r="N9"/>
      <c r="O9"/>
    </row>
    <row r="10" spans="1:15" ht="15.75">
      <c r="A10" s="119"/>
      <c r="B10" s="119"/>
      <c r="C10" s="157"/>
      <c r="D10" s="119"/>
      <c r="E10" s="119"/>
      <c r="F10" s="119"/>
      <c r="G10" s="119"/>
      <c r="H10" s="119"/>
      <c r="I10" s="119"/>
      <c r="J10" s="119"/>
      <c r="K10" s="119"/>
      <c r="L10" s="120"/>
      <c r="M10" s="120"/>
      <c r="N10"/>
      <c r="O10"/>
    </row>
    <row r="11" spans="1:15">
      <c r="A11" s="119"/>
      <c r="B11" s="119"/>
      <c r="C11" s="119"/>
      <c r="D11" s="119"/>
      <c r="E11" s="119"/>
      <c r="F11" s="119"/>
      <c r="G11" s="528" t="s">
        <v>333</v>
      </c>
      <c r="H11" s="120"/>
      <c r="I11" s="120"/>
      <c r="J11" s="120"/>
      <c r="K11" s="528" t="s">
        <v>334</v>
      </c>
      <c r="L11" s="120"/>
      <c r="M11" s="120"/>
      <c r="N11"/>
      <c r="O11"/>
    </row>
    <row r="12" spans="1:15">
      <c r="A12" s="127" t="s">
        <v>98</v>
      </c>
      <c r="B12" s="119"/>
      <c r="C12" s="119"/>
      <c r="D12" s="856"/>
      <c r="E12" s="856" t="s">
        <v>1261</v>
      </c>
      <c r="F12" s="856"/>
      <c r="G12" s="528" t="s">
        <v>107</v>
      </c>
      <c r="H12" s="120"/>
      <c r="I12" s="120"/>
      <c r="J12" s="120"/>
      <c r="K12" s="528" t="s">
        <v>107</v>
      </c>
      <c r="L12" s="119"/>
      <c r="M12" s="119"/>
      <c r="N12"/>
      <c r="O12"/>
    </row>
    <row r="13" spans="1:15">
      <c r="A13" s="128" t="s">
        <v>104</v>
      </c>
      <c r="B13" s="119"/>
      <c r="C13" s="128" t="s">
        <v>1004</v>
      </c>
      <c r="D13" s="528"/>
      <c r="E13" s="538" t="s">
        <v>1259</v>
      </c>
      <c r="F13" s="528"/>
      <c r="G13" s="128" t="s">
        <v>476</v>
      </c>
      <c r="H13" s="119"/>
      <c r="I13" s="128" t="s">
        <v>1006</v>
      </c>
      <c r="J13" s="119"/>
      <c r="K13" s="128" t="s">
        <v>476</v>
      </c>
      <c r="L13" s="119"/>
      <c r="M13" s="119"/>
      <c r="N13"/>
      <c r="O13"/>
    </row>
    <row r="14" spans="1:15">
      <c r="A14" s="119"/>
      <c r="B14" s="119"/>
      <c r="C14" s="119"/>
      <c r="D14" s="119"/>
      <c r="E14" s="119"/>
      <c r="F14" s="119"/>
      <c r="G14" s="127"/>
      <c r="H14" s="119"/>
      <c r="I14" s="127"/>
      <c r="J14" s="117"/>
      <c r="K14" s="127"/>
      <c r="L14" s="119"/>
      <c r="M14" s="119"/>
      <c r="N14"/>
      <c r="O14"/>
    </row>
    <row r="15" spans="1:15">
      <c r="A15" s="127" t="s">
        <v>376</v>
      </c>
      <c r="B15" s="119"/>
      <c r="C15" s="17" t="s">
        <v>1631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/>
      <c r="O15"/>
    </row>
    <row r="16" spans="1:15">
      <c r="A16" s="119"/>
      <c r="B16" s="119"/>
      <c r="C16" s="119"/>
      <c r="D16" s="119"/>
      <c r="E16" s="119"/>
      <c r="F16" s="119"/>
      <c r="G16" s="130"/>
      <c r="H16" s="119"/>
      <c r="I16" s="119"/>
      <c r="J16" s="119"/>
      <c r="K16" s="130"/>
      <c r="L16" s="119"/>
      <c r="M16" s="119"/>
      <c r="N16"/>
      <c r="O16"/>
    </row>
    <row r="17" spans="1:16">
      <c r="A17" s="127" t="s">
        <v>378</v>
      </c>
      <c r="B17" s="119"/>
      <c r="C17" s="17" t="s">
        <v>431</v>
      </c>
      <c r="D17" s="119"/>
      <c r="E17" s="119"/>
      <c r="F17" s="119"/>
      <c r="G17" s="574"/>
      <c r="H17" s="119"/>
      <c r="I17" s="119"/>
      <c r="J17" s="119"/>
      <c r="K17" s="130"/>
      <c r="L17" s="119"/>
      <c r="M17" s="119"/>
      <c r="N17"/>
      <c r="O17"/>
    </row>
    <row r="18" spans="1:16">
      <c r="A18" s="127" t="s">
        <v>380</v>
      </c>
      <c r="B18" s="119"/>
      <c r="C18" s="117" t="s">
        <v>1117</v>
      </c>
      <c r="D18" s="119"/>
      <c r="E18" s="119"/>
      <c r="F18" s="119"/>
      <c r="G18" s="749">
        <v>2503302.46</v>
      </c>
      <c r="H18" s="130"/>
      <c r="I18" s="749">
        <f>K18-G18</f>
        <v>100132.09840000002</v>
      </c>
      <c r="J18" s="130"/>
      <c r="K18" s="749">
        <f>G18*1.04</f>
        <v>2603434.5584</v>
      </c>
      <c r="L18" s="78"/>
      <c r="M18" s="78"/>
      <c r="N18"/>
      <c r="O18" s="768"/>
      <c r="P18" s="768"/>
    </row>
    <row r="19" spans="1:16">
      <c r="A19" s="127" t="s">
        <v>381</v>
      </c>
      <c r="B19" s="119"/>
      <c r="C19" s="117" t="s">
        <v>1118</v>
      </c>
      <c r="D19" s="119"/>
      <c r="E19" s="119"/>
      <c r="F19" s="119"/>
      <c r="G19" s="136">
        <v>7609109.4328147694</v>
      </c>
      <c r="H19" s="130"/>
      <c r="I19" s="138">
        <f>K19-G19</f>
        <v>304364.3773125913</v>
      </c>
      <c r="J19" s="130"/>
      <c r="K19" s="749">
        <f>G19*1.04</f>
        <v>7913473.8101273607</v>
      </c>
      <c r="L19" s="117"/>
      <c r="M19" s="117"/>
      <c r="N19"/>
      <c r="O19" s="853"/>
      <c r="P19" s="853"/>
    </row>
    <row r="20" spans="1:16">
      <c r="A20" s="127" t="s">
        <v>382</v>
      </c>
      <c r="B20" s="119"/>
      <c r="C20" s="117" t="s">
        <v>1119</v>
      </c>
      <c r="D20" s="119"/>
      <c r="E20" s="119"/>
      <c r="F20" s="119"/>
      <c r="G20" s="932">
        <f>SUM(G18:G19)</f>
        <v>10112411.89281477</v>
      </c>
      <c r="H20" s="130"/>
      <c r="I20" s="749">
        <f>SUM(I18:I19)</f>
        <v>404496.47571259132</v>
      </c>
      <c r="J20" s="130"/>
      <c r="K20" s="932">
        <f>SUM(K18:K19)</f>
        <v>10516908.36852736</v>
      </c>
      <c r="L20" s="119"/>
      <c r="N20"/>
      <c r="O20" s="853"/>
      <c r="P20" s="853"/>
    </row>
    <row r="21" spans="1:16">
      <c r="A21" s="119"/>
      <c r="B21" s="119"/>
      <c r="C21" s="119"/>
      <c r="D21" s="119"/>
      <c r="E21" s="119"/>
      <c r="F21" s="119"/>
      <c r="G21" s="136"/>
      <c r="H21" s="130"/>
      <c r="I21" s="136"/>
      <c r="J21" s="130"/>
      <c r="K21" s="136"/>
      <c r="L21" s="119"/>
      <c r="N21"/>
      <c r="O21" s="853"/>
      <c r="P21" s="853"/>
    </row>
    <row r="22" spans="1:16">
      <c r="A22" s="127" t="s">
        <v>383</v>
      </c>
      <c r="B22" s="119"/>
      <c r="C22" s="17" t="s">
        <v>633</v>
      </c>
      <c r="D22" s="768"/>
      <c r="E22" s="119" t="s">
        <v>1645</v>
      </c>
      <c r="F22" s="119" t="s">
        <v>1646</v>
      </c>
      <c r="G22" s="130"/>
      <c r="H22" s="130"/>
      <c r="I22" s="130"/>
      <c r="J22" s="130"/>
      <c r="K22" s="130"/>
      <c r="L22" s="119"/>
    </row>
    <row r="23" spans="1:16">
      <c r="A23" s="127" t="s">
        <v>384</v>
      </c>
      <c r="B23" s="119"/>
      <c r="C23" s="117" t="s">
        <v>1120</v>
      </c>
      <c r="D23" s="853"/>
      <c r="E23" s="78">
        <v>0.08</v>
      </c>
      <c r="F23" s="78">
        <v>7.3999999999999996E-2</v>
      </c>
      <c r="G23" s="749">
        <f>G$18*E23</f>
        <v>200264.19680000001</v>
      </c>
      <c r="H23" s="130"/>
      <c r="I23" s="749">
        <f>K23-G23</f>
        <v>-7610.0394784000237</v>
      </c>
      <c r="J23" s="130"/>
      <c r="K23" s="749">
        <f>K$18*F23</f>
        <v>192654.15732159998</v>
      </c>
      <c r="L23" s="119"/>
      <c r="O23" s="853"/>
      <c r="P23" s="853"/>
    </row>
    <row r="24" spans="1:16">
      <c r="A24" s="127" t="s">
        <v>386</v>
      </c>
      <c r="B24" s="119"/>
      <c r="C24" s="117" t="s">
        <v>1121</v>
      </c>
      <c r="D24" s="853"/>
      <c r="E24" s="78">
        <v>0.28699999999999998</v>
      </c>
      <c r="F24" s="78">
        <v>0.27750000000000002</v>
      </c>
      <c r="G24" s="138">
        <f>G$18*E24</f>
        <v>718447.8060199999</v>
      </c>
      <c r="H24" s="130"/>
      <c r="I24" s="138">
        <f>K24-G24</f>
        <v>4005.2839360001963</v>
      </c>
      <c r="J24" s="130"/>
      <c r="K24" s="138">
        <f>K$18*F24</f>
        <v>722453.0899560001</v>
      </c>
      <c r="L24" s="119"/>
      <c r="O24" s="853"/>
    </row>
    <row r="25" spans="1:16">
      <c r="A25" s="127" t="s">
        <v>387</v>
      </c>
      <c r="B25" s="119"/>
      <c r="C25" s="117" t="s">
        <v>1122</v>
      </c>
      <c r="D25" s="119"/>
      <c r="E25" s="119"/>
      <c r="F25" s="119"/>
      <c r="G25" s="749">
        <f>SUM(G23:G24)</f>
        <v>918712.00281999994</v>
      </c>
      <c r="H25" s="130"/>
      <c r="I25" s="749">
        <f>SUM(I23:I24)</f>
        <v>-3604.7555423998274</v>
      </c>
      <c r="J25" s="130"/>
      <c r="K25" s="749">
        <f>SUM(K23:K24)</f>
        <v>915107.24727760011</v>
      </c>
      <c r="L25" s="119"/>
      <c r="N25"/>
      <c r="O25"/>
    </row>
    <row r="26" spans="1:16">
      <c r="A26" s="119"/>
      <c r="B26" s="119"/>
      <c r="C26" s="119"/>
      <c r="D26" s="119"/>
      <c r="E26" s="119"/>
      <c r="F26" s="119"/>
      <c r="G26" s="130"/>
      <c r="H26" s="130"/>
      <c r="I26" s="130"/>
      <c r="J26" s="130"/>
      <c r="K26" s="130"/>
      <c r="L26" s="119"/>
      <c r="N26"/>
      <c r="O26"/>
    </row>
    <row r="27" spans="1:16">
      <c r="A27" s="127" t="s">
        <v>388</v>
      </c>
      <c r="B27" s="119"/>
      <c r="C27" s="17" t="s">
        <v>815</v>
      </c>
      <c r="D27" s="119"/>
      <c r="E27" s="119"/>
      <c r="F27" s="119"/>
      <c r="G27" s="136"/>
      <c r="H27" s="570"/>
      <c r="I27" s="136"/>
      <c r="J27" s="130"/>
      <c r="K27" s="136" t="s">
        <v>332</v>
      </c>
      <c r="L27" s="119"/>
      <c r="M27" s="853"/>
      <c r="N27"/>
      <c r="O27"/>
    </row>
    <row r="28" spans="1:16">
      <c r="A28" s="127" t="s">
        <v>389</v>
      </c>
      <c r="B28" s="119"/>
      <c r="C28" s="117" t="s">
        <v>554</v>
      </c>
      <c r="D28" s="119"/>
      <c r="E28" s="119"/>
      <c r="F28" s="119"/>
      <c r="G28" s="749">
        <v>220651.12</v>
      </c>
      <c r="H28" s="570"/>
      <c r="I28" s="749">
        <f>K28-G28</f>
        <v>8826.0448000000033</v>
      </c>
      <c r="J28" s="130"/>
      <c r="K28" s="749">
        <v>229477.1648</v>
      </c>
      <c r="L28" s="119"/>
      <c r="M28" s="853"/>
      <c r="N28"/>
      <c r="O28"/>
    </row>
    <row r="29" spans="1:16">
      <c r="A29" s="127" t="s">
        <v>55</v>
      </c>
      <c r="B29" s="119"/>
      <c r="C29" s="117" t="s">
        <v>1123</v>
      </c>
      <c r="D29" s="119"/>
      <c r="E29" s="119"/>
      <c r="F29" s="119"/>
      <c r="G29" s="1118">
        <v>210</v>
      </c>
      <c r="H29" s="130"/>
      <c r="I29" s="136">
        <f>K29-G29</f>
        <v>8.4000000000000057</v>
      </c>
      <c r="J29" s="130"/>
      <c r="K29" s="749">
        <v>218.4</v>
      </c>
      <c r="L29" s="119"/>
      <c r="M29" s="119"/>
      <c r="N29"/>
      <c r="O29"/>
    </row>
    <row r="30" spans="1:16">
      <c r="A30" s="127" t="s">
        <v>56</v>
      </c>
      <c r="B30" s="119"/>
      <c r="C30" s="117" t="s">
        <v>698</v>
      </c>
      <c r="D30" s="119"/>
      <c r="E30" s="119"/>
      <c r="F30" s="119"/>
      <c r="G30" s="1118">
        <v>535.5</v>
      </c>
      <c r="H30" s="130"/>
      <c r="I30" s="573">
        <f>K30-G30</f>
        <v>21.420000000000073</v>
      </c>
      <c r="J30" s="130"/>
      <c r="K30" s="749">
        <v>556.92000000000007</v>
      </c>
      <c r="L30" s="119"/>
      <c r="M30" s="119"/>
      <c r="N30"/>
      <c r="O30"/>
    </row>
    <row r="31" spans="1:16">
      <c r="A31" s="127" t="s">
        <v>57</v>
      </c>
      <c r="B31" s="119"/>
      <c r="C31" s="117" t="s">
        <v>699</v>
      </c>
      <c r="D31" s="119"/>
      <c r="E31" s="119"/>
      <c r="F31" s="119"/>
      <c r="G31" s="932">
        <f>SUM(G28:G30)</f>
        <v>221396.62</v>
      </c>
      <c r="H31" s="119"/>
      <c r="I31" s="749">
        <f>SUM(I28:I30)</f>
        <v>8855.864800000003</v>
      </c>
      <c r="J31" s="119"/>
      <c r="K31" s="932">
        <f>SUM(K28:K30)</f>
        <v>230252.48480000001</v>
      </c>
      <c r="L31" s="119"/>
      <c r="M31" s="119"/>
      <c r="N31"/>
      <c r="O31"/>
    </row>
    <row r="32" spans="1:16">
      <c r="A32" s="119"/>
      <c r="B32" s="119"/>
      <c r="C32" s="119"/>
      <c r="D32" s="119"/>
      <c r="E32" s="119"/>
      <c r="F32" s="119"/>
      <c r="G32" s="136"/>
      <c r="H32" s="119"/>
      <c r="I32" s="136"/>
      <c r="J32" s="119"/>
      <c r="K32" s="136" t="s">
        <v>332</v>
      </c>
      <c r="L32" s="119"/>
      <c r="M32" s="119"/>
      <c r="N32"/>
      <c r="O32"/>
    </row>
    <row r="33" spans="1:15" ht="15.75" thickBot="1">
      <c r="A33" s="127" t="s">
        <v>58</v>
      </c>
      <c r="B33" s="119"/>
      <c r="C33" s="117" t="s">
        <v>700</v>
      </c>
      <c r="D33" s="119"/>
      <c r="E33" s="119"/>
      <c r="F33" s="119"/>
      <c r="G33" s="934">
        <f>(+G20+G25+G31)</f>
        <v>11252520.51563477</v>
      </c>
      <c r="H33" s="119"/>
      <c r="I33" s="934">
        <f>(+I20+I25+I31)</f>
        <v>409747.58497019147</v>
      </c>
      <c r="J33" s="119"/>
      <c r="K33" s="934">
        <f>(+K20+K25+K31)</f>
        <v>11662268.100604961</v>
      </c>
      <c r="L33" s="119"/>
      <c r="M33" s="119"/>
      <c r="N33"/>
      <c r="O33"/>
    </row>
    <row r="34" spans="1:15" ht="15.75" thickTop="1">
      <c r="A34" s="119"/>
      <c r="B34" s="119"/>
      <c r="C34" s="119"/>
      <c r="D34" s="119"/>
      <c r="E34" s="119"/>
      <c r="F34" s="119"/>
      <c r="G34" s="134"/>
      <c r="H34" s="119"/>
      <c r="I34" s="134"/>
      <c r="J34" s="119"/>
      <c r="K34" s="189" t="s">
        <v>332</v>
      </c>
      <c r="L34" s="119"/>
      <c r="M34" s="119"/>
      <c r="N34"/>
      <c r="O34"/>
    </row>
    <row r="35" spans="1:15">
      <c r="A35" t="s">
        <v>851</v>
      </c>
      <c r="B35" s="117"/>
      <c r="C35" s="119"/>
      <c r="D35" s="119"/>
      <c r="E35" s="119"/>
      <c r="F35" s="119"/>
      <c r="G35" s="134"/>
      <c r="H35" s="119"/>
      <c r="I35" s="134"/>
      <c r="J35" s="119"/>
      <c r="K35" s="134"/>
      <c r="L35" s="119"/>
      <c r="M35" s="119"/>
      <c r="N35"/>
      <c r="O35"/>
    </row>
    <row r="36" spans="1:15">
      <c r="B36" s="117"/>
      <c r="C36" s="119"/>
      <c r="D36" s="119"/>
      <c r="E36" s="119"/>
      <c r="F36" s="119"/>
      <c r="G36" s="134"/>
      <c r="H36" s="119"/>
      <c r="I36" s="134"/>
      <c r="J36" s="119"/>
      <c r="K36" s="134"/>
      <c r="L36" s="119"/>
      <c r="M36" s="119"/>
      <c r="N36"/>
      <c r="O36"/>
    </row>
    <row r="37" spans="1:15">
      <c r="A37" s="858" t="s">
        <v>403</v>
      </c>
      <c r="C37" s="117"/>
      <c r="D37" s="119"/>
      <c r="E37" s="768"/>
      <c r="F37" s="119"/>
      <c r="G37" s="136"/>
      <c r="H37" s="119"/>
      <c r="I37" s="136"/>
      <c r="J37" s="119"/>
      <c r="K37" s="136"/>
      <c r="L37" s="119"/>
      <c r="M37" s="119"/>
      <c r="N37"/>
      <c r="O37"/>
    </row>
    <row r="38" spans="1:15">
      <c r="A38" s="119" t="s">
        <v>1352</v>
      </c>
      <c r="C38" s="119"/>
      <c r="D38" s="119"/>
      <c r="E38" s="119"/>
      <c r="F38" s="119"/>
      <c r="G38" s="134"/>
      <c r="H38" s="119"/>
      <c r="I38" s="134"/>
      <c r="J38" s="119"/>
      <c r="K38" s="134"/>
      <c r="L38" s="119"/>
      <c r="M38" s="119"/>
      <c r="N38"/>
      <c r="O38"/>
    </row>
    <row r="39" spans="1:15">
      <c r="A39" s="119" t="s">
        <v>405</v>
      </c>
      <c r="C39" s="119"/>
      <c r="D39" s="119"/>
      <c r="E39" s="119"/>
      <c r="F39" s="119"/>
      <c r="G39" s="134"/>
      <c r="H39" s="119"/>
      <c r="I39" s="134"/>
      <c r="J39" s="119"/>
      <c r="K39" s="134"/>
      <c r="L39" s="119"/>
      <c r="M39" s="119"/>
      <c r="N39"/>
      <c r="O39"/>
    </row>
    <row r="40" spans="1:15">
      <c r="A40" s="119" t="s">
        <v>477</v>
      </c>
      <c r="C40" s="119"/>
      <c r="D40" s="119"/>
      <c r="E40" s="119"/>
      <c r="F40" s="119"/>
      <c r="G40" s="119"/>
      <c r="H40" s="78"/>
      <c r="I40" s="119"/>
      <c r="J40" s="119"/>
      <c r="K40" s="119"/>
      <c r="L40" s="119"/>
      <c r="M40" s="119"/>
      <c r="N40"/>
      <c r="O40"/>
    </row>
    <row r="41" spans="1:15">
      <c r="A41" s="119" t="s">
        <v>323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/>
      <c r="O41"/>
    </row>
    <row r="42" spans="1:15">
      <c r="A42" s="119" t="s">
        <v>404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/>
      <c r="O42"/>
    </row>
    <row r="43" spans="1:15">
      <c r="A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/>
      <c r="O43"/>
    </row>
    <row r="44" spans="1:15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/>
      <c r="O44"/>
    </row>
    <row r="45" spans="1:15">
      <c r="A45" s="310" t="s">
        <v>406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/>
      <c r="O45"/>
    </row>
    <row r="46" spans="1: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 t="s">
        <v>1258</v>
      </c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 s="933" t="s">
        <v>1600</v>
      </c>
      <c r="B49" s="106"/>
      <c r="C49" s="107"/>
      <c r="D49" s="106"/>
      <c r="E49" s="106"/>
      <c r="F49" s="106"/>
      <c r="G49" s="106"/>
      <c r="H49"/>
      <c r="I49"/>
      <c r="J49"/>
      <c r="K49" s="768"/>
      <c r="L49"/>
      <c r="M49"/>
      <c r="N49"/>
      <c r="O49"/>
    </row>
    <row r="50" spans="1:15">
      <c r="A50"/>
      <c r="B50"/>
      <c r="C50" s="852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phoneticPr fontId="24" type="noConversion"/>
  <printOptions horizontalCentered="1"/>
  <pageMargins left="0.5" right="0.5" top="0.75" bottom="0.52" header="0.25" footer="0.25"/>
  <pageSetup scale="76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60" zoomScaleNormal="100" workbookViewId="0">
      <selection sqref="A1:E1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63" t="str">
        <f>'Table of Contents'!A1:C1</f>
        <v>Atmos Energy Corporation, Kentucky/Mid-States Division</v>
      </c>
      <c r="B1" s="1263"/>
      <c r="C1" s="1263"/>
      <c r="D1" s="1263"/>
      <c r="E1" s="1263"/>
    </row>
    <row r="2" spans="1:7">
      <c r="A2" s="1263" t="str">
        <f>'Table of Contents'!A2:C2</f>
        <v>Kentucky Jurisdiction Case No. 2015-00343</v>
      </c>
      <c r="B2" s="1263"/>
      <c r="C2" s="1263"/>
      <c r="D2" s="1263"/>
      <c r="E2" s="1263"/>
    </row>
    <row r="3" spans="1:7">
      <c r="A3" s="1263" t="s">
        <v>627</v>
      </c>
      <c r="B3" s="1263"/>
      <c r="C3" s="1263"/>
      <c r="D3" s="1263"/>
      <c r="E3" s="1263"/>
    </row>
    <row r="4" spans="1:7">
      <c r="A4" s="1263" t="str">
        <f>'Table of Contents'!A3:C3</f>
        <v>Base Period: Twelve Months Ended February 29, 2016</v>
      </c>
      <c r="B4" s="1263"/>
      <c r="C4" s="1263"/>
      <c r="D4" s="1263"/>
      <c r="E4" s="1263"/>
    </row>
    <row r="5" spans="1:7">
      <c r="A5" s="1263" t="str">
        <f>'Table of Contents'!A4:C4</f>
        <v>Forecasted Test Period: Twelve Months Ended May 31, 2017</v>
      </c>
      <c r="B5" s="1263"/>
      <c r="C5" s="1263"/>
      <c r="D5" s="1263"/>
      <c r="E5" s="1263"/>
    </row>
    <row r="6" spans="1:7">
      <c r="A6" s="231"/>
      <c r="B6" s="231"/>
      <c r="C6" s="231"/>
      <c r="D6" s="231"/>
      <c r="E6" s="231"/>
      <c r="G6" s="1057"/>
    </row>
    <row r="8" spans="1:7">
      <c r="A8" s="4" t="s">
        <v>203</v>
      </c>
      <c r="E8" s="488" t="s">
        <v>1506</v>
      </c>
    </row>
    <row r="9" spans="1:7">
      <c r="A9" s="95" t="s">
        <v>631</v>
      </c>
      <c r="E9" s="645" t="s">
        <v>36</v>
      </c>
    </row>
    <row r="10" spans="1:7">
      <c r="A10" s="5" t="s">
        <v>440</v>
      </c>
      <c r="B10" s="6"/>
      <c r="C10" s="6"/>
      <c r="D10" s="6"/>
      <c r="E10" s="723" t="s">
        <v>1349</v>
      </c>
    </row>
    <row r="12" spans="1:7" ht="15.75">
      <c r="D12" s="375" t="s">
        <v>1148</v>
      </c>
      <c r="E12" s="375" t="s">
        <v>133</v>
      </c>
    </row>
    <row r="13" spans="1:7">
      <c r="D13" s="2" t="s">
        <v>912</v>
      </c>
      <c r="E13" s="2" t="s">
        <v>912</v>
      </c>
    </row>
    <row r="14" spans="1:7">
      <c r="A14" s="2" t="s">
        <v>98</v>
      </c>
      <c r="D14" s="2" t="s">
        <v>913</v>
      </c>
      <c r="E14" s="2" t="s">
        <v>913</v>
      </c>
    </row>
    <row r="15" spans="1:7">
      <c r="A15" s="44" t="s">
        <v>104</v>
      </c>
      <c r="B15" s="550" t="s">
        <v>1004</v>
      </c>
      <c r="C15" s="45"/>
      <c r="D15" s="44" t="s">
        <v>130</v>
      </c>
      <c r="E15" s="44" t="s">
        <v>130</v>
      </c>
    </row>
    <row r="17" spans="1:7">
      <c r="A17" s="2" t="s">
        <v>376</v>
      </c>
      <c r="B17" s="4" t="s">
        <v>755</v>
      </c>
      <c r="D17" s="28">
        <v>1</v>
      </c>
      <c r="E17" s="28">
        <v>1</v>
      </c>
    </row>
    <row r="19" spans="1:7">
      <c r="A19" s="2" t="s">
        <v>378</v>
      </c>
      <c r="B19" s="4" t="s">
        <v>914</v>
      </c>
      <c r="C19" s="119"/>
      <c r="D19" s="1189">
        <v>5.0000000000000001E-3</v>
      </c>
      <c r="E19" s="1189">
        <v>5.0000000000000001E-3</v>
      </c>
    </row>
    <row r="20" spans="1:7">
      <c r="C20" s="119"/>
      <c r="D20" s="119"/>
      <c r="E20" s="119"/>
    </row>
    <row r="21" spans="1:7">
      <c r="A21" s="2" t="s">
        <v>380</v>
      </c>
      <c r="B21" s="4" t="s">
        <v>915</v>
      </c>
      <c r="C21" s="119"/>
      <c r="D21" s="1190">
        <v>1.952E-3</v>
      </c>
      <c r="E21" s="1190">
        <v>1.9009999999999999E-3</v>
      </c>
      <c r="G21" s="1057"/>
    </row>
    <row r="22" spans="1:7">
      <c r="C22" s="119"/>
      <c r="D22" s="119"/>
      <c r="E22" s="119"/>
    </row>
    <row r="23" spans="1:7">
      <c r="A23" s="2" t="s">
        <v>381</v>
      </c>
      <c r="B23" s="4" t="s">
        <v>916</v>
      </c>
      <c r="C23" s="119"/>
      <c r="D23" s="1191">
        <f>D17-D19-D21</f>
        <v>0.99304800000000004</v>
      </c>
      <c r="E23" s="1191">
        <f>E17-E19-E21</f>
        <v>0.99309899999999995</v>
      </c>
    </row>
    <row r="24" spans="1:7">
      <c r="C24" s="119"/>
      <c r="D24" s="119"/>
      <c r="E24" s="119"/>
    </row>
    <row r="25" spans="1:7">
      <c r="A25" s="2" t="s">
        <v>382</v>
      </c>
      <c r="B25" s="4" t="s">
        <v>259</v>
      </c>
      <c r="C25" s="132">
        <v>0.06</v>
      </c>
      <c r="D25" s="1192">
        <f>ROUND(D23*C25,8)</f>
        <v>5.9582879999999998E-2</v>
      </c>
      <c r="E25" s="1192">
        <f>ROUND(E23*C25,8)</f>
        <v>5.9585939999999997E-2</v>
      </c>
    </row>
    <row r="26" spans="1:7">
      <c r="C26" s="119"/>
      <c r="D26" s="119"/>
      <c r="E26" s="119"/>
    </row>
    <row r="27" spans="1:7">
      <c r="A27" s="2" t="s">
        <v>383</v>
      </c>
      <c r="B27" s="4" t="s">
        <v>917</v>
      </c>
      <c r="C27" s="119"/>
      <c r="D27" s="1191">
        <f>(D23-D25)</f>
        <v>0.93346512000000004</v>
      </c>
      <c r="E27" s="1191">
        <f>(E23-E25)</f>
        <v>0.93351306000000001</v>
      </c>
    </row>
    <row r="28" spans="1:7">
      <c r="C28" s="119"/>
      <c r="D28" s="119"/>
      <c r="E28" s="119"/>
    </row>
    <row r="29" spans="1:7">
      <c r="A29" s="2" t="s">
        <v>384</v>
      </c>
      <c r="B29" s="95" t="s">
        <v>174</v>
      </c>
      <c r="C29" s="244">
        <v>0.35</v>
      </c>
      <c r="D29" s="1192">
        <f>ROUND(D27*C29,6)</f>
        <v>0.32671299999999998</v>
      </c>
      <c r="E29" s="1192">
        <f>ROUND(E27*C29,6)</f>
        <v>0.32673000000000002</v>
      </c>
    </row>
    <row r="30" spans="1:7">
      <c r="C30" s="119"/>
      <c r="D30" s="119"/>
      <c r="E30" s="119"/>
    </row>
    <row r="31" spans="1:7">
      <c r="A31" s="2" t="s">
        <v>386</v>
      </c>
      <c r="B31" s="4" t="s">
        <v>397</v>
      </c>
      <c r="C31" s="119"/>
      <c r="D31" s="1191">
        <f>D27-D29</f>
        <v>0.60675212000000012</v>
      </c>
      <c r="E31" s="1191">
        <f>E27-E29</f>
        <v>0.60678305999999993</v>
      </c>
    </row>
    <row r="32" spans="1:7">
      <c r="C32" s="119"/>
      <c r="D32" s="119"/>
      <c r="E32" s="119"/>
    </row>
    <row r="33" spans="1:5">
      <c r="A33" s="2" t="s">
        <v>387</v>
      </c>
      <c r="B33" s="4" t="s">
        <v>131</v>
      </c>
    </row>
    <row r="34" spans="1:5">
      <c r="A34" s="2" t="s">
        <v>388</v>
      </c>
      <c r="B34" s="4" t="s">
        <v>918</v>
      </c>
      <c r="D34" s="551">
        <f>ROUND(1/$D$31,6)</f>
        <v>1.6481189999999999</v>
      </c>
      <c r="E34" s="551">
        <f>ROUND(1/$E$31,6)</f>
        <v>1.6480349999999999</v>
      </c>
    </row>
    <row r="37" spans="1:5">
      <c r="B37" s="4"/>
    </row>
    <row r="44" spans="1:5">
      <c r="A44" s="4" t="s">
        <v>579</v>
      </c>
    </row>
  </sheetData>
  <mergeCells count="5">
    <mergeCell ref="A5:E5"/>
    <mergeCell ref="A1:E1"/>
    <mergeCell ref="A2:E2"/>
    <mergeCell ref="A3:E3"/>
    <mergeCell ref="A4:E4"/>
  </mergeCells>
  <phoneticPr fontId="24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97"/>
  <sheetViews>
    <sheetView view="pageBreakPreview" zoomScale="60" zoomScaleNormal="90" workbookViewId="0">
      <pane xSplit="3" ySplit="13" topLeftCell="D14" activePane="bottomRight" state="frozen"/>
      <selection activeCell="G39" sqref="G39"/>
      <selection pane="topRight" activeCell="G39" sqref="G39"/>
      <selection pane="bottomLeft" activeCell="G39" sqref="G39"/>
      <selection pane="bottomRight" activeCell="D14" sqref="D14"/>
    </sheetView>
  </sheetViews>
  <sheetFormatPr defaultColWidth="7.109375" defaultRowHeight="15"/>
  <cols>
    <col min="1" max="1" width="5.109375" style="48" customWidth="1"/>
    <col min="2" max="2" width="18.109375" style="48" customWidth="1"/>
    <col min="3" max="3" width="5" style="48" customWidth="1"/>
    <col min="4" max="6" width="10.33203125" style="48" customWidth="1"/>
    <col min="7" max="7" width="11.44140625" style="48" bestFit="1" customWidth="1"/>
    <col min="8" max="8" width="10.44140625" style="48" customWidth="1"/>
    <col min="9" max="9" width="1.6640625" style="48" customWidth="1"/>
    <col min="10" max="10" width="10.6640625" style="110" bestFit="1" customWidth="1"/>
    <col min="11" max="11" width="1.109375" style="110" customWidth="1"/>
    <col min="12" max="12" width="10.21875" style="110" customWidth="1"/>
    <col min="13" max="13" width="1.6640625" style="48" customWidth="1"/>
    <col min="14" max="14" width="10.44140625" style="48" bestFit="1" customWidth="1"/>
    <col min="15" max="15" width="8.21875" style="48" customWidth="1"/>
    <col min="16" max="16" width="8.77734375" style="48" customWidth="1"/>
    <col min="17" max="17" width="8.88671875" style="48" bestFit="1" customWidth="1"/>
    <col min="18" max="19" width="8" style="48" bestFit="1" customWidth="1"/>
    <col min="20" max="16384" width="7.109375" style="48"/>
  </cols>
  <sheetData>
    <row r="1" spans="1:21">
      <c r="A1" s="1276" t="str">
        <f>'Table of Contents'!A1:C1</f>
        <v>Atmos Energy Corporation, Kentucky/Mid-States Division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</row>
    <row r="2" spans="1:21">
      <c r="A2" s="1276" t="str">
        <f>'Table of Contents'!A2:C2</f>
        <v>Kentucky Jurisdiction Case No. 2015-00343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</row>
    <row r="3" spans="1:21">
      <c r="A3" s="1276" t="s">
        <v>628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</row>
    <row r="4" spans="1:21">
      <c r="A4" s="1276" t="str">
        <f>'Table of Contents'!A3:C3</f>
        <v>Base Period: Twelve Months Ended February 29, 2016</v>
      </c>
      <c r="B4" s="1276"/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</row>
    <row r="5" spans="1:21">
      <c r="A5" s="1276" t="str">
        <f>'Table of Contents'!A4:C4</f>
        <v>Forecasted Test Period: Twelve Months Ended May 31, 2017</v>
      </c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</row>
    <row r="6" spans="1:21">
      <c r="A6" s="587"/>
      <c r="B6" s="587"/>
      <c r="C6" s="587"/>
      <c r="D6" s="587"/>
      <c r="E6" s="587"/>
      <c r="F6" s="587"/>
      <c r="G6" s="587"/>
      <c r="H6" s="973"/>
      <c r="I6" s="587"/>
      <c r="J6" s="587"/>
      <c r="K6" s="587"/>
      <c r="L6" s="587"/>
      <c r="M6" s="587"/>
      <c r="N6" s="587"/>
      <c r="O6" s="973"/>
      <c r="P6" s="587"/>
    </row>
    <row r="7" spans="1:21">
      <c r="A7" s="49" t="s">
        <v>696</v>
      </c>
      <c r="P7" s="938" t="s">
        <v>1533</v>
      </c>
    </row>
    <row r="8" spans="1:21">
      <c r="A8" s="95" t="s">
        <v>631</v>
      </c>
      <c r="P8" s="919" t="s">
        <v>1157</v>
      </c>
    </row>
    <row r="9" spans="1:21">
      <c r="A9" s="50" t="s">
        <v>375</v>
      </c>
      <c r="B9" s="51"/>
      <c r="C9" s="51"/>
      <c r="D9" s="51"/>
      <c r="E9" s="51"/>
      <c r="F9" s="51"/>
      <c r="G9" s="51"/>
      <c r="H9" s="51"/>
      <c r="I9" s="51"/>
      <c r="J9" s="252"/>
      <c r="K9" s="252"/>
      <c r="L9" s="252"/>
      <c r="M9" s="52"/>
      <c r="N9" s="87"/>
      <c r="O9" s="87"/>
      <c r="P9" s="920" t="s">
        <v>1394</v>
      </c>
    </row>
    <row r="10" spans="1:21">
      <c r="D10" s="1275" t="s">
        <v>1182</v>
      </c>
      <c r="E10" s="1275"/>
      <c r="F10" s="1275"/>
      <c r="G10" s="1275"/>
      <c r="H10" s="1275"/>
      <c r="I10"/>
      <c r="J10" s="896" t="s">
        <v>1148</v>
      </c>
      <c r="K10" s="239"/>
      <c r="L10" s="896" t="s">
        <v>133</v>
      </c>
      <c r="M10"/>
      <c r="N10" s="224"/>
      <c r="O10" s="224"/>
      <c r="P10" s="224"/>
    </row>
    <row r="11" spans="1:21">
      <c r="A11"/>
      <c r="B11"/>
      <c r="C11"/>
      <c r="D11" s="119"/>
      <c r="E11" s="119"/>
      <c r="F11" s="119"/>
      <c r="G11" s="119"/>
      <c r="H11" s="119"/>
      <c r="I11"/>
      <c r="J11" s="106"/>
      <c r="K11" s="106"/>
      <c r="L11" s="106"/>
      <c r="M11"/>
    </row>
    <row r="12" spans="1:21">
      <c r="A12"/>
      <c r="B12" s="106"/>
      <c r="C12" s="106"/>
      <c r="D12" s="841"/>
      <c r="E12" s="841"/>
      <c r="F12" s="841"/>
      <c r="G12" s="841"/>
      <c r="H12" s="841"/>
      <c r="I12" s="106"/>
      <c r="J12" s="839"/>
      <c r="K12" s="838"/>
      <c r="L12" s="839"/>
      <c r="M12" s="106"/>
      <c r="N12" s="110"/>
      <c r="O12" s="110"/>
      <c r="P12" s="110"/>
    </row>
    <row r="13" spans="1:21">
      <c r="A13" s="221"/>
      <c r="B13" s="828"/>
      <c r="C13" s="828"/>
      <c r="D13" s="842" t="s">
        <v>1457</v>
      </c>
      <c r="E13" s="842" t="s">
        <v>1458</v>
      </c>
      <c r="F13" s="842" t="s">
        <v>1459</v>
      </c>
      <c r="G13" s="842" t="s">
        <v>1403</v>
      </c>
      <c r="H13" s="842" t="s">
        <v>1460</v>
      </c>
      <c r="I13" s="106"/>
      <c r="J13" s="847">
        <v>42429</v>
      </c>
      <c r="K13" s="848"/>
      <c r="L13" s="847">
        <v>42886</v>
      </c>
      <c r="M13" s="106"/>
      <c r="N13" s="829">
        <v>2017</v>
      </c>
      <c r="O13" s="830" t="s">
        <v>1448</v>
      </c>
      <c r="P13" s="830" t="s">
        <v>1495</v>
      </c>
      <c r="Q13" s="222"/>
      <c r="R13" s="222"/>
      <c r="S13" s="222"/>
      <c r="T13" s="222"/>
      <c r="U13" s="222"/>
    </row>
    <row r="14" spans="1:21">
      <c r="A14" t="s">
        <v>613</v>
      </c>
      <c r="B14"/>
      <c r="C14"/>
      <c r="D14" s="126" t="s">
        <v>151</v>
      </c>
      <c r="E14" s="126" t="s">
        <v>151</v>
      </c>
      <c r="F14" s="126" t="s">
        <v>151</v>
      </c>
      <c r="G14" s="126" t="s">
        <v>151</v>
      </c>
      <c r="H14" s="126"/>
      <c r="I14" s="106"/>
      <c r="J14" s="239" t="s">
        <v>151</v>
      </c>
      <c r="K14" s="106"/>
      <c r="L14" s="239" t="s">
        <v>151</v>
      </c>
      <c r="M14" s="106"/>
      <c r="N14" s="76" t="s">
        <v>151</v>
      </c>
      <c r="O14" s="970" t="s">
        <v>151</v>
      </c>
      <c r="P14" s="76" t="s">
        <v>151</v>
      </c>
    </row>
    <row r="15" spans="1:21">
      <c r="A15" t="s">
        <v>614</v>
      </c>
      <c r="B15"/>
      <c r="C15"/>
      <c r="D15" s="119"/>
      <c r="E15" s="119"/>
      <c r="F15" s="119"/>
      <c r="G15" s="119"/>
      <c r="H15" s="119"/>
      <c r="I15" s="106"/>
      <c r="J15" s="106"/>
      <c r="K15" s="106"/>
      <c r="L15" s="106"/>
      <c r="M15" s="106"/>
    </row>
    <row r="16" spans="1:21">
      <c r="A16"/>
      <c r="B16" t="s">
        <v>615</v>
      </c>
      <c r="C16"/>
      <c r="D16" s="843">
        <v>144566.17382</v>
      </c>
      <c r="E16" s="843">
        <v>136918.76372000002</v>
      </c>
      <c r="F16" s="843">
        <v>121689.04076999999</v>
      </c>
      <c r="G16" s="843">
        <v>148864.67317000002</v>
      </c>
      <c r="H16" s="843">
        <v>180147.32215999995</v>
      </c>
      <c r="I16" s="843"/>
      <c r="J16" s="843">
        <f>'C.2.1 B'!D23/1000</f>
        <v>141659.07535926119</v>
      </c>
      <c r="K16" s="843"/>
      <c r="L16" s="843">
        <f>'C.2.1 F'!D19/1000</f>
        <v>147755.61132977463</v>
      </c>
      <c r="M16" s="843"/>
      <c r="N16" s="843">
        <v>148201.69762508123</v>
      </c>
      <c r="O16" s="843">
        <v>151063.8947550146</v>
      </c>
      <c r="P16" s="843">
        <v>152887.77556054486</v>
      </c>
      <c r="Q16" s="840"/>
    </row>
    <row r="17" spans="1:22">
      <c r="A17"/>
      <c r="B17" t="s">
        <v>185</v>
      </c>
      <c r="C17"/>
      <c r="D17" s="843">
        <v>10267.069140000001</v>
      </c>
      <c r="E17" s="843">
        <v>10853.642250000001</v>
      </c>
      <c r="F17" s="843">
        <v>11315.066649999999</v>
      </c>
      <c r="G17" s="843">
        <v>12586.588680000003</v>
      </c>
      <c r="H17" s="843">
        <v>14310.851760000001</v>
      </c>
      <c r="I17" s="843"/>
      <c r="J17" s="843">
        <f>('C.2.1 B'!D28)/1000</f>
        <v>14819.845186750001</v>
      </c>
      <c r="K17" s="843"/>
      <c r="L17" s="843">
        <f>('C.2.1 F'!D24)/1000</f>
        <v>14493.60390615</v>
      </c>
      <c r="M17" s="843"/>
      <c r="N17" s="843">
        <v>14493.60390615</v>
      </c>
      <c r="O17" s="843">
        <v>14493.60390615</v>
      </c>
      <c r="P17" s="843">
        <v>14493.60390615</v>
      </c>
      <c r="Q17" s="840"/>
      <c r="R17" s="942"/>
      <c r="S17" s="880"/>
    </row>
    <row r="18" spans="1:22">
      <c r="A18"/>
      <c r="B18" t="s">
        <v>616</v>
      </c>
      <c r="C18"/>
      <c r="D18" s="854">
        <v>1982.5036100000002</v>
      </c>
      <c r="E18" s="854">
        <v>1889.40831</v>
      </c>
      <c r="F18" s="854">
        <v>1773.7464400000003</v>
      </c>
      <c r="G18" s="854">
        <v>1517.1913500000001</v>
      </c>
      <c r="H18" s="854">
        <v>2423.5631400000002</v>
      </c>
      <c r="I18" s="854"/>
      <c r="J18" s="854">
        <f>('C.2.1 B'!D26+'C.2.1 B'!D27+'C.2.1 B'!D29)/1000</f>
        <v>3392.9791060251737</v>
      </c>
      <c r="K18" s="854"/>
      <c r="L18" s="854">
        <f>('C.2.1 F'!D22+'C.2.1 F'!D23+'C.2.1 F'!D25)/1000</f>
        <v>4555.4402364956741</v>
      </c>
      <c r="M18" s="854"/>
      <c r="N18" s="854">
        <f t="shared" ref="N18:P18" si="0">N19-N16-N17</f>
        <v>4559.5243952574729</v>
      </c>
      <c r="O18" s="854">
        <f t="shared" si="0"/>
        <v>4581.8314897852306</v>
      </c>
      <c r="P18" s="854">
        <f t="shared" si="0"/>
        <v>4595.6846049505166</v>
      </c>
      <c r="Q18" s="840"/>
      <c r="R18" s="880"/>
      <c r="S18" s="880"/>
    </row>
    <row r="19" spans="1:22">
      <c r="A19" t="s">
        <v>617</v>
      </c>
      <c r="B19"/>
      <c r="C19"/>
      <c r="D19" s="843">
        <f>SUM(D16:D18)</f>
        <v>156815.74657000002</v>
      </c>
      <c r="E19" s="843">
        <f>SUM(E16:E18)</f>
        <v>149661.81428000002</v>
      </c>
      <c r="F19" s="843">
        <f>SUM(F16:F18)</f>
        <v>134777.85385999997</v>
      </c>
      <c r="G19" s="843">
        <f>SUM(G16:G18)</f>
        <v>162968.45320000005</v>
      </c>
      <c r="H19" s="843">
        <f>SUM(H16:H18)</f>
        <v>196881.73705999996</v>
      </c>
      <c r="I19" s="843"/>
      <c r="J19" s="843">
        <f>SUM(J16:J18)</f>
        <v>159871.89965203637</v>
      </c>
      <c r="K19" s="843"/>
      <c r="L19" s="843">
        <f>SUM(L16:L18)</f>
        <v>166804.6554724203</v>
      </c>
      <c r="M19" s="843"/>
      <c r="N19" s="843">
        <v>167254.8259264887</v>
      </c>
      <c r="O19" s="843">
        <v>170139.33015094983</v>
      </c>
      <c r="P19" s="843">
        <v>171977.06407164538</v>
      </c>
      <c r="Q19" s="840"/>
      <c r="R19" s="880"/>
      <c r="S19" s="880"/>
    </row>
    <row r="20" spans="1:22">
      <c r="A20"/>
      <c r="B20"/>
      <c r="C20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0"/>
      <c r="R20" s="880"/>
      <c r="S20" s="880"/>
    </row>
    <row r="21" spans="1:22">
      <c r="A21" t="s">
        <v>618</v>
      </c>
      <c r="B21"/>
      <c r="C21"/>
      <c r="D21" s="843">
        <v>98777.117979999995</v>
      </c>
      <c r="E21" s="843">
        <v>87028.120800000004</v>
      </c>
      <c r="F21" s="843">
        <v>70662.981899999999</v>
      </c>
      <c r="G21" s="843">
        <v>94656.999469999981</v>
      </c>
      <c r="H21" s="843">
        <v>118107.39396</v>
      </c>
      <c r="I21" s="854"/>
      <c r="J21" s="854">
        <f>'C.2.1 B'!D104/1000</f>
        <v>77033.02086938516</v>
      </c>
      <c r="K21" s="854"/>
      <c r="L21" s="854">
        <f>'C.2.1 F'!D100/1000</f>
        <v>79378.176690454668</v>
      </c>
      <c r="M21" s="854"/>
      <c r="N21" s="843">
        <v>79791.951291824647</v>
      </c>
      <c r="O21" s="843">
        <v>82529.745449445574</v>
      </c>
      <c r="P21" s="843">
        <v>84229.223926242834</v>
      </c>
      <c r="Q21" s="840"/>
    </row>
    <row r="22" spans="1:22">
      <c r="A22" t="s">
        <v>118</v>
      </c>
      <c r="B22"/>
      <c r="C22"/>
      <c r="D22" s="844">
        <f>+D19-D21</f>
        <v>58038.628590000022</v>
      </c>
      <c r="E22" s="844">
        <f>+E19-E21</f>
        <v>62633.693480000016</v>
      </c>
      <c r="F22" s="844">
        <f>+F19-F21</f>
        <v>64114.871959999975</v>
      </c>
      <c r="G22" s="844">
        <f>+G19-G21</f>
        <v>68311.453730000067</v>
      </c>
      <c r="H22" s="844">
        <f>+H19-H21</f>
        <v>78774.343099999955</v>
      </c>
      <c r="I22" s="843"/>
      <c r="J22" s="843">
        <f>+J19-J21</f>
        <v>82838.878782651213</v>
      </c>
      <c r="K22" s="843"/>
      <c r="L22" s="843">
        <f>+L19-L21</f>
        <v>87426.478781965634</v>
      </c>
      <c r="M22" s="843"/>
      <c r="N22" s="844">
        <f>+N19-N21</f>
        <v>87462.874634664055</v>
      </c>
      <c r="O22" s="844">
        <f>+O19-O21</f>
        <v>87609.584701504253</v>
      </c>
      <c r="P22" s="844">
        <f>+P19-P21</f>
        <v>87747.840145402544</v>
      </c>
      <c r="Q22" s="840"/>
    </row>
    <row r="23" spans="1:22">
      <c r="A23"/>
      <c r="B23"/>
      <c r="C2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0"/>
    </row>
    <row r="24" spans="1:22">
      <c r="A24" t="s">
        <v>1009</v>
      </c>
      <c r="B24"/>
      <c r="C24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0"/>
    </row>
    <row r="25" spans="1:22">
      <c r="A25"/>
      <c r="B25" t="s">
        <v>119</v>
      </c>
      <c r="C25"/>
      <c r="D25" s="843">
        <v>11225.6656</v>
      </c>
      <c r="E25" s="843">
        <v>13366.362140000003</v>
      </c>
      <c r="F25" s="843">
        <v>12979.823540000001</v>
      </c>
      <c r="G25" s="843">
        <v>14376.623550000002</v>
      </c>
      <c r="H25" s="843">
        <v>14815.001260000003</v>
      </c>
      <c r="I25" s="843"/>
      <c r="J25" s="843">
        <f>(SUM('C.2.2 B 09'!P46:P108)-'C.2.2 B 09'!P99)/1000</f>
        <v>13577.128050712014</v>
      </c>
      <c r="K25" s="843"/>
      <c r="L25" s="843">
        <f>C.1!F19/1000-I.1!L26</f>
        <v>11581.675456631312</v>
      </c>
      <c r="M25" s="843"/>
      <c r="N25" s="1232">
        <v>11602</v>
      </c>
      <c r="O25" s="1232">
        <v>12043</v>
      </c>
      <c r="P25" s="1232">
        <v>12500</v>
      </c>
      <c r="Q25" s="840"/>
      <c r="V25" s="253"/>
    </row>
    <row r="26" spans="1:22">
      <c r="A26"/>
      <c r="B26" t="s">
        <v>577</v>
      </c>
      <c r="C26"/>
      <c r="D26" s="843">
        <v>9668.2314099999985</v>
      </c>
      <c r="E26" s="843">
        <v>9411.669100000001</v>
      </c>
      <c r="F26" s="843">
        <v>10085.67484</v>
      </c>
      <c r="G26" s="843">
        <v>11534.019540000001</v>
      </c>
      <c r="H26" s="843">
        <v>12035.970230000001</v>
      </c>
      <c r="I26" s="843"/>
      <c r="J26" s="843">
        <f>'C.2.2 B 09'!P99/1000</f>
        <v>13070.219117788245</v>
      </c>
      <c r="K26" s="843"/>
      <c r="L26" s="843">
        <f>'C.2.2-F 09'!P99/1000</f>
        <v>14025.277326675854</v>
      </c>
      <c r="M26" s="843"/>
      <c r="N26" s="1232">
        <v>14212</v>
      </c>
      <c r="O26" s="1232">
        <v>14752</v>
      </c>
      <c r="P26" s="1232">
        <v>15313</v>
      </c>
      <c r="Q26" s="840"/>
    </row>
    <row r="27" spans="1:22">
      <c r="A27"/>
      <c r="B27" t="s">
        <v>120</v>
      </c>
      <c r="C27"/>
      <c r="D27" s="843">
        <v>12908.531209999997</v>
      </c>
      <c r="E27" s="843">
        <v>13430.852279999999</v>
      </c>
      <c r="F27" s="843">
        <v>13981.399549999998</v>
      </c>
      <c r="G27" s="843">
        <v>14919.020950000002</v>
      </c>
      <c r="H27" s="843">
        <v>16845.712130000004</v>
      </c>
      <c r="I27" s="843"/>
      <c r="J27" s="843">
        <f>'C.2.1 B'!D175/1000</f>
        <v>18252.729938099386</v>
      </c>
      <c r="K27" s="843"/>
      <c r="L27" s="843">
        <f>C.2!K26/1000</f>
        <v>19425.053445990987</v>
      </c>
      <c r="M27" s="843"/>
      <c r="N27" s="1232">
        <v>21765</v>
      </c>
      <c r="O27" s="1232">
        <v>22867</v>
      </c>
      <c r="P27" s="1232">
        <v>25604</v>
      </c>
      <c r="Q27" s="840"/>
    </row>
    <row r="28" spans="1:22">
      <c r="A28"/>
      <c r="B28" t="s">
        <v>121</v>
      </c>
      <c r="C28"/>
      <c r="D28" s="843">
        <v>4069.52711</v>
      </c>
      <c r="E28" s="843">
        <v>2981.8731400000001</v>
      </c>
      <c r="F28" s="843">
        <v>4317.3126800000009</v>
      </c>
      <c r="G28" s="843">
        <v>3871.4445599999999</v>
      </c>
      <c r="H28" s="843">
        <v>4647.8072000000011</v>
      </c>
      <c r="I28" s="854"/>
      <c r="J28" s="854">
        <f>'C.2.1 B'!D176/1000</f>
        <v>6437.5447243131657</v>
      </c>
      <c r="K28" s="854"/>
      <c r="L28" s="854">
        <f>'C.2.1 F'!D172/1000</f>
        <v>6100.2201526932758</v>
      </c>
      <c r="M28" s="854"/>
      <c r="N28" s="1233">
        <v>6966</v>
      </c>
      <c r="O28" s="1233">
        <v>7800</v>
      </c>
      <c r="P28" s="1233">
        <v>8709</v>
      </c>
      <c r="Q28" s="840"/>
    </row>
    <row r="29" spans="1:22">
      <c r="A29" t="s">
        <v>1141</v>
      </c>
      <c r="B29"/>
      <c r="C29"/>
      <c r="D29" s="844">
        <f>SUM(D25:D28)</f>
        <v>37871.955330000004</v>
      </c>
      <c r="E29" s="844">
        <f>SUM(E25:E28)</f>
        <v>39190.756660000006</v>
      </c>
      <c r="F29" s="844">
        <f>SUM(F25:F28)</f>
        <v>41364.210610000002</v>
      </c>
      <c r="G29" s="844">
        <f>SUM(G25:G28)</f>
        <v>44701.108600000007</v>
      </c>
      <c r="H29" s="844">
        <f>SUM(H25:H28)</f>
        <v>48344.490820000014</v>
      </c>
      <c r="I29" s="843"/>
      <c r="J29" s="843">
        <f>SUM(J25:J28)</f>
        <v>51337.621830912809</v>
      </c>
      <c r="K29" s="843"/>
      <c r="L29" s="843">
        <f>SUM(L25:L28)</f>
        <v>51132.22638199143</v>
      </c>
      <c r="M29" s="843"/>
      <c r="N29" s="843">
        <f>SUM(N25:N28)</f>
        <v>54545</v>
      </c>
      <c r="O29" s="843">
        <f>SUM(O25:O28)</f>
        <v>57462</v>
      </c>
      <c r="P29" s="843">
        <f>SUM(P25:P28)</f>
        <v>62126</v>
      </c>
      <c r="Q29" s="209"/>
    </row>
    <row r="30" spans="1:22">
      <c r="A30"/>
      <c r="B30"/>
      <c r="C30"/>
      <c r="D30" s="854"/>
      <c r="E30" s="854"/>
      <c r="F30" s="854"/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209"/>
    </row>
    <row r="31" spans="1:22">
      <c r="A31" t="s">
        <v>597</v>
      </c>
      <c r="B31"/>
      <c r="C31"/>
      <c r="D31" s="843">
        <f>+D22-D29</f>
        <v>20166.673260000018</v>
      </c>
      <c r="E31" s="843">
        <f>+E22-E29</f>
        <v>23442.93682000001</v>
      </c>
      <c r="F31" s="843">
        <f>+F22-F29</f>
        <v>22750.661349999973</v>
      </c>
      <c r="G31" s="843">
        <f>+G22-G29</f>
        <v>23610.34513000006</v>
      </c>
      <c r="H31" s="843">
        <f>+H22-H29</f>
        <v>30429.852279999941</v>
      </c>
      <c r="I31" s="843"/>
      <c r="J31" s="843">
        <f>+J22-J29</f>
        <v>31501.256951738404</v>
      </c>
      <c r="K31" s="843"/>
      <c r="L31" s="843">
        <f>+L22-L29</f>
        <v>36294.252399974204</v>
      </c>
      <c r="M31" s="843"/>
      <c r="N31" s="843">
        <f>+N22-N29</f>
        <v>32917.874634664055</v>
      </c>
      <c r="O31" s="843">
        <f>+O22-O29</f>
        <v>30147.584701504253</v>
      </c>
      <c r="P31" s="843">
        <f>+P22-P29</f>
        <v>25621.840145402544</v>
      </c>
      <c r="Q31" s="209"/>
    </row>
    <row r="32" spans="1:22">
      <c r="A32"/>
      <c r="B32"/>
      <c r="C32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209"/>
    </row>
    <row r="33" spans="1:18">
      <c r="A33" t="s">
        <v>598</v>
      </c>
      <c r="B33"/>
      <c r="C3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209"/>
    </row>
    <row r="34" spans="1:18">
      <c r="A34"/>
      <c r="B34" t="s">
        <v>816</v>
      </c>
      <c r="C34"/>
      <c r="D34" s="843">
        <v>153.46370999999999</v>
      </c>
      <c r="E34" s="843">
        <v>1.6809999999999999E-2</v>
      </c>
      <c r="F34" s="843">
        <v>63.590940000000003</v>
      </c>
      <c r="G34" s="843">
        <v>82.738509999999991</v>
      </c>
      <c r="H34" s="843">
        <v>69.150829999999999</v>
      </c>
      <c r="I34" s="843"/>
      <c r="J34" s="843">
        <v>75</v>
      </c>
      <c r="K34" s="843"/>
      <c r="L34" s="843">
        <v>85</v>
      </c>
      <c r="M34" s="843"/>
      <c r="N34" s="1234">
        <v>31</v>
      </c>
      <c r="O34" s="1234">
        <v>34</v>
      </c>
      <c r="P34" s="1234">
        <v>21</v>
      </c>
      <c r="Q34" s="840"/>
    </row>
    <row r="35" spans="1:18">
      <c r="A35"/>
      <c r="B35" t="s">
        <v>51</v>
      </c>
      <c r="C35"/>
      <c r="D35" s="843">
        <v>2069.88627</v>
      </c>
      <c r="E35" s="843">
        <v>2165.6452200000003</v>
      </c>
      <c r="F35" s="843">
        <v>2702.1011899999999</v>
      </c>
      <c r="G35" s="843">
        <v>2658.6314700000003</v>
      </c>
      <c r="H35" s="843">
        <v>2704.8019899999999</v>
      </c>
      <c r="I35" s="843"/>
      <c r="J35" s="843">
        <v>2500</v>
      </c>
      <c r="K35" s="843"/>
      <c r="L35" s="843">
        <v>2500</v>
      </c>
      <c r="M35" s="843"/>
      <c r="N35" s="1234">
        <v>2500</v>
      </c>
      <c r="O35" s="1234">
        <v>2500</v>
      </c>
      <c r="P35" s="1234">
        <v>2500</v>
      </c>
      <c r="R35" s="840"/>
    </row>
    <row r="36" spans="1:18">
      <c r="A36"/>
      <c r="B36" t="s">
        <v>599</v>
      </c>
      <c r="C36"/>
      <c r="D36" s="843">
        <v>172.25878</v>
      </c>
      <c r="E36" s="843">
        <v>1119.96189</v>
      </c>
      <c r="F36" s="843">
        <v>45.767440000000001</v>
      </c>
      <c r="G36" s="843">
        <v>71.223429999999993</v>
      </c>
      <c r="H36" s="843">
        <v>60.73415</v>
      </c>
      <c r="I36" s="854"/>
      <c r="J36" s="854">
        <f>H36</f>
        <v>60.73415</v>
      </c>
      <c r="K36" s="854"/>
      <c r="L36" s="854">
        <f>J36</f>
        <v>60.73415</v>
      </c>
      <c r="M36" s="854"/>
      <c r="N36" s="1235">
        <v>61</v>
      </c>
      <c r="O36" s="1235">
        <v>61</v>
      </c>
      <c r="P36" s="1235">
        <v>61</v>
      </c>
      <c r="Q36" s="840"/>
    </row>
    <row r="37" spans="1:18">
      <c r="A37" t="s">
        <v>52</v>
      </c>
      <c r="B37"/>
      <c r="C37"/>
      <c r="D37" s="844">
        <f>SUM(D34:D36)</f>
        <v>2395.6087600000001</v>
      </c>
      <c r="E37" s="844">
        <f>SUM(E34:E36)</f>
        <v>3285.6239200000005</v>
      </c>
      <c r="F37" s="844">
        <f>SUM(F34:F36)</f>
        <v>2811.45957</v>
      </c>
      <c r="G37" s="844">
        <f>SUM(G34:G36)</f>
        <v>2812.5934100000004</v>
      </c>
      <c r="H37" s="844">
        <f>SUM(H34:H36)</f>
        <v>2834.6869699999997</v>
      </c>
      <c r="I37" s="843"/>
      <c r="J37" s="843">
        <f>SUM(J34:J36)</f>
        <v>2635.7341500000002</v>
      </c>
      <c r="K37" s="843"/>
      <c r="L37" s="843">
        <f>SUM(L34:L36)</f>
        <v>2645.7341500000002</v>
      </c>
      <c r="M37" s="843"/>
      <c r="N37" s="843">
        <f>SUM(N34:N36)</f>
        <v>2592</v>
      </c>
      <c r="O37" s="843">
        <f>SUM(O34:O36)</f>
        <v>2595</v>
      </c>
      <c r="P37" s="843">
        <f>SUM(P34:P36)</f>
        <v>2582</v>
      </c>
      <c r="Q37" s="209"/>
    </row>
    <row r="38" spans="1:18">
      <c r="A38"/>
      <c r="B38"/>
      <c r="C38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3"/>
      <c r="P38" s="843"/>
      <c r="Q38" s="209"/>
    </row>
    <row r="39" spans="1:18">
      <c r="A39" t="s">
        <v>1008</v>
      </c>
      <c r="B39"/>
      <c r="C39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209"/>
    </row>
    <row r="40" spans="1:18">
      <c r="A40" t="s">
        <v>739</v>
      </c>
      <c r="B40"/>
      <c r="C40"/>
      <c r="D40" s="845">
        <v>6631.9056800000008</v>
      </c>
      <c r="E40" s="845">
        <v>6397.6621499999983</v>
      </c>
      <c r="F40" s="845">
        <v>6276.4753200000005</v>
      </c>
      <c r="G40" s="845">
        <v>7215.4299899999996</v>
      </c>
      <c r="H40" s="845">
        <v>7234.5592099999994</v>
      </c>
      <c r="I40" s="845"/>
      <c r="J40" s="845">
        <f>E!E32/1000</f>
        <v>7171.6166530294149</v>
      </c>
      <c r="K40" s="845"/>
      <c r="L40" s="845">
        <f>E!G32/1000</f>
        <v>8455.8076848704841</v>
      </c>
      <c r="M40" s="845"/>
      <c r="N40" s="1236">
        <v>7240</v>
      </c>
      <c r="O40" s="1236">
        <v>8906</v>
      </c>
      <c r="P40" s="1236">
        <v>9174</v>
      </c>
      <c r="Q40" s="840"/>
    </row>
    <row r="41" spans="1:18">
      <c r="A41" t="s">
        <v>740</v>
      </c>
      <c r="B41"/>
      <c r="C41"/>
      <c r="D41" s="845">
        <f>+D31+D37-D40</f>
        <v>15930.376340000017</v>
      </c>
      <c r="E41" s="845">
        <f>+E31+E37-E40</f>
        <v>20330.898590000012</v>
      </c>
      <c r="F41" s="845">
        <f>+F31+F37-F40</f>
        <v>19285.645599999971</v>
      </c>
      <c r="G41" s="845">
        <f>+G31+G37-G40</f>
        <v>19207.50855000006</v>
      </c>
      <c r="H41" s="845">
        <f>+H31+H37-H40</f>
        <v>26029.980039999944</v>
      </c>
      <c r="I41" s="845"/>
      <c r="J41" s="845">
        <f>+J31+J37-J40</f>
        <v>26965.374448708986</v>
      </c>
      <c r="K41" s="845"/>
      <c r="L41" s="845">
        <f>+L31+L37-L40</f>
        <v>30484.178865103717</v>
      </c>
      <c r="M41" s="845"/>
      <c r="N41" s="845">
        <f>+N31+N37-N40</f>
        <v>28269.874634664055</v>
      </c>
      <c r="O41" s="845">
        <f>+O31+O37-O40</f>
        <v>23836.584701504253</v>
      </c>
      <c r="P41" s="845">
        <f>+P31+P37-P40</f>
        <v>19029.840145402544</v>
      </c>
      <c r="Q41" s="209"/>
    </row>
    <row r="42" spans="1:18">
      <c r="A42"/>
      <c r="B42" t="s">
        <v>741</v>
      </c>
      <c r="C42"/>
      <c r="D42" s="845">
        <v>5226.6149999999998</v>
      </c>
      <c r="E42" s="845">
        <v>8020.3919999999998</v>
      </c>
      <c r="F42" s="845">
        <v>5350.1074900000003</v>
      </c>
      <c r="G42" s="845">
        <v>7419.8234199999997</v>
      </c>
      <c r="H42" s="845">
        <v>9671.5353700000014</v>
      </c>
      <c r="I42" s="845"/>
      <c r="J42" s="845">
        <f>J41*E!$G$21</f>
        <v>10489.530660547796</v>
      </c>
      <c r="K42" s="845"/>
      <c r="L42" s="845">
        <f>L41*E!$G$21</f>
        <v>11858.345578525346</v>
      </c>
      <c r="M42" s="845"/>
      <c r="N42" s="1237">
        <v>11263</v>
      </c>
      <c r="O42" s="1237">
        <v>9496</v>
      </c>
      <c r="P42" s="1237">
        <v>7581</v>
      </c>
      <c r="Q42" s="209"/>
    </row>
    <row r="43" spans="1:18">
      <c r="A43"/>
      <c r="B43"/>
      <c r="C43"/>
      <c r="D43" s="843"/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  <c r="P43" s="843"/>
      <c r="Q43" s="209"/>
    </row>
    <row r="44" spans="1:18" ht="15.75" thickBot="1">
      <c r="A44" t="s">
        <v>177</v>
      </c>
      <c r="B44"/>
      <c r="C44"/>
      <c r="D44" s="846">
        <f>+D41-D42</f>
        <v>10703.761340000017</v>
      </c>
      <c r="E44" s="846">
        <f>+E41-E42</f>
        <v>12310.506590000012</v>
      </c>
      <c r="F44" s="846">
        <f>+F41-F42</f>
        <v>13935.53810999997</v>
      </c>
      <c r="G44" s="846">
        <f>+G41-G42</f>
        <v>11787.68513000006</v>
      </c>
      <c r="H44" s="846">
        <f>+H41-H42</f>
        <v>16358.444669999943</v>
      </c>
      <c r="I44" s="846"/>
      <c r="J44" s="846">
        <f>+J41-J42</f>
        <v>16475.84378816119</v>
      </c>
      <c r="K44" s="846"/>
      <c r="L44" s="846">
        <f>+L41-L42</f>
        <v>18625.83328657837</v>
      </c>
      <c r="M44" s="846"/>
      <c r="N44" s="846">
        <f>+N41-N42</f>
        <v>17006.874634664055</v>
      </c>
      <c r="O44" s="846">
        <f>+O41-O42</f>
        <v>14340.584701504253</v>
      </c>
      <c r="P44" s="846">
        <f>+P41-P42</f>
        <v>11448.840145402544</v>
      </c>
      <c r="Q44" s="209"/>
    </row>
    <row r="45" spans="1:18" ht="15.75" thickTop="1">
      <c r="C45"/>
      <c r="D45" s="244"/>
      <c r="E45" s="244"/>
      <c r="F45" s="244"/>
      <c r="G45" s="244"/>
      <c r="H45" s="244"/>
      <c r="I45" s="160"/>
      <c r="J45" s="244"/>
      <c r="K45" s="244"/>
      <c r="L45" s="244"/>
      <c r="M45" s="244"/>
      <c r="N45" s="244"/>
      <c r="O45" s="244"/>
      <c r="P45" s="244"/>
      <c r="Q45" s="244"/>
    </row>
    <row r="46" spans="1:18">
      <c r="A46"/>
      <c r="B46" s="267"/>
      <c r="C46"/>
      <c r="D46" s="160"/>
      <c r="E46" s="160"/>
      <c r="F46" s="160"/>
      <c r="G46" s="160"/>
      <c r="H46" s="160"/>
      <c r="I46" s="160"/>
      <c r="J46" s="253"/>
      <c r="K46" s="253"/>
      <c r="L46" s="253"/>
      <c r="M46" s="160"/>
      <c r="N46" s="160"/>
      <c r="O46" s="160"/>
      <c r="P46" s="160"/>
      <c r="Q46" s="209"/>
    </row>
    <row r="47" spans="1:18">
      <c r="A47"/>
      <c r="B47" s="267"/>
      <c r="C47"/>
      <c r="D47" s="160"/>
      <c r="E47" s="160"/>
      <c r="F47" s="160"/>
      <c r="G47" s="160"/>
      <c r="H47" s="160"/>
      <c r="I47" s="160"/>
      <c r="J47" s="253"/>
      <c r="K47" s="253"/>
      <c r="L47" s="253"/>
      <c r="M47" s="160"/>
      <c r="N47" s="209"/>
      <c r="O47" s="209"/>
      <c r="P47" s="209"/>
      <c r="Q47" s="53"/>
    </row>
    <row r="48" spans="1:18">
      <c r="A48"/>
      <c r="B48"/>
      <c r="C48"/>
      <c r="D48" s="160"/>
      <c r="E48" s="160"/>
      <c r="F48" s="160"/>
      <c r="G48" s="160"/>
      <c r="H48" s="160"/>
      <c r="I48" s="160"/>
      <c r="J48" s="253"/>
      <c r="K48" s="253"/>
      <c r="L48" s="253"/>
      <c r="M48" s="160"/>
      <c r="N48" s="209"/>
      <c r="O48" s="209"/>
      <c r="P48" s="209"/>
      <c r="Q48" s="53"/>
      <c r="R48" s="54"/>
    </row>
    <row r="49" spans="1:18">
      <c r="A49"/>
      <c r="B49"/>
      <c r="C49"/>
      <c r="D49" s="160"/>
      <c r="E49" s="160"/>
      <c r="F49" s="160"/>
      <c r="G49" s="160"/>
      <c r="H49" s="160"/>
      <c r="I49" s="160"/>
      <c r="J49" s="253"/>
      <c r="K49" s="253"/>
      <c r="L49" s="253"/>
      <c r="M49" s="160"/>
      <c r="N49" s="209"/>
      <c r="O49" s="209"/>
      <c r="P49" s="209"/>
      <c r="Q49" s="53"/>
      <c r="R49" s="54"/>
    </row>
    <row r="50" spans="1:18">
      <c r="A50"/>
      <c r="B50"/>
      <c r="C50"/>
      <c r="D50" s="160"/>
      <c r="E50" s="160"/>
      <c r="F50" s="160"/>
      <c r="G50" s="160"/>
      <c r="H50" s="160"/>
      <c r="I50" s="160"/>
      <c r="J50" s="253"/>
      <c r="K50" s="253"/>
      <c r="L50" s="253"/>
      <c r="M50" s="160"/>
      <c r="N50" s="209"/>
      <c r="O50" s="209"/>
      <c r="P50" s="209"/>
      <c r="Q50" s="209"/>
    </row>
    <row r="51" spans="1:18">
      <c r="A51"/>
      <c r="B51"/>
      <c r="C51"/>
      <c r="D51" s="160"/>
      <c r="E51" s="160"/>
      <c r="F51" s="160"/>
      <c r="G51" s="160"/>
      <c r="H51" s="160"/>
      <c r="I51" s="160"/>
      <c r="J51" s="253"/>
      <c r="K51" s="253"/>
      <c r="L51" s="253"/>
      <c r="M51" s="160"/>
      <c r="N51" s="209"/>
      <c r="O51" s="209"/>
      <c r="P51" s="209"/>
      <c r="Q51" s="209"/>
    </row>
    <row r="52" spans="1:18">
      <c r="A52"/>
      <c r="B52"/>
      <c r="C52"/>
      <c r="D52" s="160"/>
      <c r="E52" s="160"/>
      <c r="F52" s="160"/>
      <c r="G52" s="160"/>
      <c r="H52" s="160"/>
      <c r="I52" s="160"/>
      <c r="J52" s="253"/>
      <c r="K52" s="253"/>
      <c r="L52" s="253"/>
      <c r="M52" s="160"/>
      <c r="N52" s="209"/>
      <c r="O52" s="209"/>
      <c r="P52" s="209"/>
      <c r="Q52" s="54"/>
    </row>
    <row r="53" spans="1:18">
      <c r="A53"/>
      <c r="B53"/>
      <c r="C53"/>
      <c r="D53" s="160"/>
      <c r="E53" s="160"/>
      <c r="F53" s="160"/>
      <c r="G53" s="160"/>
      <c r="H53" s="160"/>
      <c r="I53" s="160"/>
      <c r="J53" s="253"/>
      <c r="K53" s="253"/>
      <c r="L53" s="253"/>
      <c r="M53" s="160"/>
      <c r="N53" s="209"/>
      <c r="O53" s="209"/>
      <c r="P53" s="209"/>
      <c r="Q53" s="209"/>
    </row>
    <row r="54" spans="1:18">
      <c r="A54"/>
      <c r="B54"/>
      <c r="C54"/>
      <c r="D54" s="160"/>
      <c r="E54" s="160"/>
      <c r="F54" s="160"/>
      <c r="G54" s="160"/>
      <c r="H54" s="160"/>
      <c r="I54" s="160"/>
      <c r="J54" s="253"/>
      <c r="K54" s="253"/>
      <c r="L54" s="253"/>
      <c r="M54" s="160"/>
      <c r="N54" s="54"/>
      <c r="O54" s="54"/>
      <c r="P54" s="209"/>
      <c r="Q54" s="209"/>
    </row>
    <row r="55" spans="1:18">
      <c r="A55"/>
      <c r="B55"/>
      <c r="C55"/>
      <c r="D55" s="160"/>
      <c r="E55" s="160"/>
      <c r="F55" s="160"/>
      <c r="G55" s="160"/>
      <c r="H55" s="160"/>
      <c r="I55" s="160"/>
      <c r="J55" s="253"/>
      <c r="K55" s="253"/>
      <c r="L55" s="253"/>
      <c r="M55" s="160"/>
      <c r="N55" s="54"/>
      <c r="O55" s="54"/>
      <c r="P55" s="209"/>
      <c r="Q55" s="209"/>
    </row>
    <row r="56" spans="1:18">
      <c r="A56"/>
      <c r="B56"/>
      <c r="C56"/>
      <c r="D56" s="160"/>
      <c r="E56" s="160"/>
      <c r="F56" s="160"/>
      <c r="G56" s="160"/>
      <c r="H56" s="160"/>
      <c r="I56" s="160"/>
      <c r="J56" s="253"/>
      <c r="K56" s="253"/>
      <c r="L56" s="253"/>
      <c r="M56" s="160"/>
      <c r="N56" s="209"/>
      <c r="O56" s="209"/>
      <c r="P56" s="209"/>
      <c r="Q56" s="209"/>
    </row>
    <row r="57" spans="1:18">
      <c r="A57"/>
      <c r="B57"/>
      <c r="C57"/>
      <c r="D57" s="160"/>
      <c r="E57" s="160"/>
      <c r="F57" s="160"/>
      <c r="G57" s="160"/>
      <c r="H57" s="160"/>
      <c r="I57" s="160"/>
      <c r="J57" s="253"/>
      <c r="K57" s="253"/>
      <c r="L57" s="253"/>
      <c r="M57" s="160"/>
      <c r="N57" s="209"/>
      <c r="O57" s="209"/>
      <c r="P57" s="209"/>
      <c r="Q57" s="209"/>
    </row>
    <row r="58" spans="1:18">
      <c r="A58"/>
      <c r="B58"/>
      <c r="C58"/>
      <c r="D58"/>
      <c r="E58"/>
      <c r="F58"/>
      <c r="G58"/>
      <c r="H58"/>
      <c r="I58"/>
      <c r="J58" s="106"/>
      <c r="K58" s="106"/>
      <c r="L58" s="106"/>
      <c r="M58"/>
    </row>
    <row r="59" spans="1:18">
      <c r="A59"/>
      <c r="B59"/>
      <c r="C59"/>
      <c r="D59"/>
      <c r="E59"/>
      <c r="F59"/>
      <c r="G59"/>
      <c r="H59"/>
      <c r="I59"/>
      <c r="J59" s="106"/>
      <c r="K59" s="106"/>
      <c r="L59" s="106"/>
      <c r="M59"/>
    </row>
    <row r="60" spans="1:18">
      <c r="A60"/>
      <c r="B60"/>
      <c r="C60"/>
      <c r="D60"/>
      <c r="E60"/>
      <c r="F60"/>
      <c r="G60"/>
      <c r="H60"/>
      <c r="I60"/>
      <c r="J60" s="106"/>
      <c r="K60" s="106"/>
      <c r="L60" s="106"/>
      <c r="M60"/>
    </row>
    <row r="61" spans="1:18">
      <c r="A61"/>
      <c r="B61"/>
      <c r="C61"/>
      <c r="D61"/>
      <c r="E61"/>
      <c r="F61"/>
      <c r="G61"/>
      <c r="H61"/>
      <c r="I61"/>
      <c r="J61" s="106"/>
      <c r="K61" s="106"/>
      <c r="L61" s="106"/>
      <c r="M61"/>
    </row>
    <row r="62" spans="1:18">
      <c r="A62"/>
      <c r="B62"/>
      <c r="C62"/>
      <c r="D62"/>
      <c r="E62"/>
      <c r="F62"/>
      <c r="G62"/>
      <c r="H62"/>
      <c r="I62"/>
      <c r="J62" s="106"/>
      <c r="K62" s="106"/>
      <c r="L62" s="106"/>
      <c r="M62"/>
    </row>
    <row r="63" spans="1:18">
      <c r="A63"/>
      <c r="B63"/>
      <c r="C63"/>
      <c r="D63"/>
      <c r="E63"/>
      <c r="F63"/>
      <c r="G63"/>
      <c r="H63"/>
      <c r="I63"/>
      <c r="J63" s="106"/>
      <c r="K63" s="106"/>
      <c r="L63" s="106"/>
      <c r="M63"/>
    </row>
    <row r="64" spans="1:18">
      <c r="A64"/>
      <c r="B64"/>
      <c r="C64"/>
      <c r="D64"/>
      <c r="E64"/>
      <c r="F64"/>
      <c r="G64"/>
      <c r="H64"/>
      <c r="I64"/>
      <c r="J64" s="106"/>
      <c r="K64" s="106"/>
      <c r="L64" s="106"/>
      <c r="M64"/>
    </row>
    <row r="65" spans="1:13">
      <c r="A65"/>
      <c r="B65"/>
      <c r="C65"/>
      <c r="D65"/>
      <c r="E65"/>
      <c r="F65"/>
      <c r="G65"/>
      <c r="H65"/>
      <c r="I65"/>
      <c r="J65" s="106"/>
      <c r="K65" s="106"/>
      <c r="L65" s="106"/>
      <c r="M65"/>
    </row>
    <row r="66" spans="1:13">
      <c r="A66"/>
      <c r="B66"/>
      <c r="C66"/>
      <c r="D66"/>
      <c r="E66"/>
      <c r="F66"/>
      <c r="G66"/>
      <c r="H66"/>
      <c r="I66"/>
      <c r="J66" s="106"/>
      <c r="K66" s="106"/>
      <c r="L66" s="106"/>
      <c r="M66"/>
    </row>
    <row r="67" spans="1:13">
      <c r="A67"/>
      <c r="B67"/>
      <c r="C67"/>
      <c r="D67"/>
      <c r="E67"/>
      <c r="F67"/>
      <c r="G67"/>
      <c r="H67"/>
      <c r="I67"/>
      <c r="J67" s="106"/>
      <c r="K67" s="106"/>
      <c r="L67" s="106"/>
      <c r="M67"/>
    </row>
    <row r="68" spans="1:13">
      <c r="A68"/>
      <c r="B68"/>
      <c r="C68"/>
      <c r="D68"/>
      <c r="E68"/>
      <c r="F68"/>
      <c r="G68"/>
      <c r="H68"/>
      <c r="I68"/>
      <c r="J68" s="106"/>
      <c r="K68" s="106"/>
      <c r="L68" s="106"/>
      <c r="M68"/>
    </row>
    <row r="69" spans="1:13">
      <c r="A69"/>
      <c r="B69"/>
      <c r="C69"/>
      <c r="D69"/>
      <c r="E69"/>
      <c r="F69"/>
      <c r="G69"/>
      <c r="H69"/>
      <c r="I69"/>
      <c r="J69" s="106"/>
      <c r="K69" s="106"/>
      <c r="L69" s="106"/>
      <c r="M69"/>
    </row>
    <row r="70" spans="1:13">
      <c r="A70"/>
      <c r="B70"/>
      <c r="C70"/>
      <c r="D70"/>
      <c r="E70"/>
      <c r="F70"/>
      <c r="G70"/>
      <c r="H70"/>
      <c r="I70"/>
      <c r="J70" s="106"/>
      <c r="K70" s="106"/>
      <c r="L70" s="106"/>
      <c r="M70"/>
    </row>
    <row r="71" spans="1:13">
      <c r="A71"/>
      <c r="B71"/>
      <c r="C71"/>
      <c r="D71"/>
      <c r="E71"/>
      <c r="F71"/>
      <c r="G71"/>
      <c r="H71"/>
      <c r="I71"/>
      <c r="J71" s="106"/>
      <c r="K71" s="106"/>
      <c r="L71" s="106"/>
      <c r="M71"/>
    </row>
    <row r="72" spans="1:13">
      <c r="A72"/>
      <c r="B72"/>
      <c r="C72"/>
      <c r="D72"/>
      <c r="E72"/>
      <c r="F72"/>
      <c r="G72"/>
      <c r="H72"/>
      <c r="I72"/>
      <c r="J72" s="106"/>
      <c r="K72" s="106"/>
      <c r="L72" s="106"/>
      <c r="M72"/>
    </row>
    <row r="73" spans="1:13">
      <c r="A73"/>
      <c r="B73"/>
      <c r="C73"/>
      <c r="D73"/>
      <c r="E73"/>
      <c r="F73"/>
      <c r="G73"/>
      <c r="H73"/>
      <c r="I73"/>
      <c r="J73" s="106"/>
      <c r="K73" s="106"/>
      <c r="L73" s="106"/>
      <c r="M73"/>
    </row>
    <row r="74" spans="1:13">
      <c r="A74"/>
      <c r="B74"/>
      <c r="C74"/>
      <c r="D74"/>
      <c r="E74"/>
      <c r="F74"/>
      <c r="G74"/>
      <c r="H74"/>
      <c r="I74"/>
      <c r="J74" s="106"/>
      <c r="K74" s="106"/>
      <c r="L74" s="106"/>
      <c r="M74"/>
    </row>
    <row r="75" spans="1:13">
      <c r="A75"/>
      <c r="B75"/>
      <c r="C75"/>
      <c r="D75"/>
      <c r="E75"/>
      <c r="F75"/>
      <c r="G75"/>
      <c r="H75"/>
      <c r="I75"/>
      <c r="J75" s="106"/>
      <c r="K75" s="106"/>
      <c r="L75" s="106"/>
      <c r="M75"/>
    </row>
    <row r="76" spans="1:13">
      <c r="A76"/>
      <c r="B76"/>
      <c r="C76"/>
      <c r="D76"/>
      <c r="E76"/>
      <c r="F76"/>
      <c r="G76"/>
      <c r="H76"/>
      <c r="I76"/>
      <c r="J76" s="106"/>
      <c r="K76" s="106"/>
      <c r="L76" s="106"/>
      <c r="M76"/>
    </row>
    <row r="77" spans="1:13">
      <c r="A77"/>
      <c r="B77"/>
      <c r="C77"/>
      <c r="D77"/>
      <c r="E77"/>
      <c r="F77"/>
      <c r="G77"/>
      <c r="H77"/>
      <c r="I77"/>
      <c r="J77" s="106"/>
      <c r="K77" s="106"/>
      <c r="L77" s="106"/>
      <c r="M77"/>
    </row>
    <row r="78" spans="1:13">
      <c r="A78"/>
      <c r="B78"/>
      <c r="C78"/>
      <c r="D78"/>
      <c r="E78"/>
      <c r="F78"/>
      <c r="G78"/>
      <c r="H78"/>
      <c r="I78"/>
      <c r="J78" s="106"/>
      <c r="K78" s="106"/>
      <c r="L78" s="106"/>
      <c r="M78"/>
    </row>
    <row r="79" spans="1:13">
      <c r="A79"/>
      <c r="B79"/>
      <c r="C79"/>
      <c r="D79"/>
      <c r="E79"/>
      <c r="F79"/>
      <c r="G79"/>
      <c r="H79"/>
      <c r="I79"/>
      <c r="J79" s="106"/>
      <c r="K79" s="106"/>
      <c r="L79" s="106"/>
      <c r="M79"/>
    </row>
    <row r="80" spans="1:13">
      <c r="A80"/>
      <c r="B80"/>
      <c r="C80"/>
      <c r="D80"/>
      <c r="E80"/>
      <c r="F80"/>
      <c r="G80"/>
      <c r="H80"/>
      <c r="I80"/>
      <c r="J80" s="106"/>
      <c r="K80" s="106"/>
      <c r="L80" s="106"/>
      <c r="M80"/>
    </row>
    <row r="81" spans="1:13">
      <c r="A81"/>
      <c r="B81"/>
      <c r="C81"/>
      <c r="D81"/>
      <c r="E81"/>
      <c r="F81"/>
      <c r="G81"/>
      <c r="H81"/>
      <c r="I81"/>
      <c r="J81" s="106"/>
      <c r="K81" s="106"/>
      <c r="L81" s="106"/>
      <c r="M81"/>
    </row>
    <row r="82" spans="1:13">
      <c r="A82"/>
      <c r="B82"/>
      <c r="C82"/>
      <c r="D82"/>
      <c r="E82"/>
      <c r="F82"/>
      <c r="G82"/>
      <c r="H82"/>
      <c r="I82"/>
      <c r="J82" s="106"/>
      <c r="K82" s="106"/>
      <c r="L82" s="106"/>
      <c r="M82"/>
    </row>
    <row r="83" spans="1:13">
      <c r="A83"/>
      <c r="B83"/>
      <c r="C83"/>
      <c r="D83"/>
      <c r="E83"/>
      <c r="F83"/>
      <c r="G83"/>
      <c r="H83"/>
      <c r="I83"/>
      <c r="J83" s="106"/>
      <c r="K83" s="106"/>
      <c r="L83" s="106"/>
      <c r="M83"/>
    </row>
    <row r="84" spans="1:13">
      <c r="A84"/>
      <c r="B84"/>
      <c r="C84"/>
      <c r="D84"/>
      <c r="E84"/>
      <c r="F84"/>
      <c r="G84"/>
      <c r="H84"/>
      <c r="I84"/>
      <c r="J84" s="106"/>
      <c r="K84" s="106"/>
      <c r="L84" s="106"/>
      <c r="M84"/>
    </row>
    <row r="85" spans="1:13">
      <c r="A85"/>
      <c r="B85"/>
      <c r="C85"/>
      <c r="D85"/>
      <c r="E85"/>
      <c r="F85"/>
      <c r="G85"/>
      <c r="H85"/>
      <c r="I85"/>
      <c r="J85" s="106"/>
      <c r="K85" s="106"/>
      <c r="L85" s="106"/>
      <c r="M85"/>
    </row>
    <row r="86" spans="1:13">
      <c r="A86"/>
      <c r="B86"/>
      <c r="C86"/>
      <c r="D86"/>
      <c r="E86"/>
      <c r="F86"/>
      <c r="G86"/>
      <c r="H86"/>
      <c r="I86"/>
      <c r="J86" s="106"/>
      <c r="K86" s="106"/>
      <c r="L86" s="106"/>
      <c r="M86"/>
    </row>
    <row r="87" spans="1:13">
      <c r="A87"/>
      <c r="B87"/>
      <c r="C87"/>
      <c r="D87"/>
      <c r="E87"/>
      <c r="F87"/>
      <c r="G87"/>
      <c r="H87"/>
      <c r="I87"/>
      <c r="J87" s="106"/>
      <c r="K87" s="106"/>
      <c r="L87" s="106"/>
      <c r="M87"/>
    </row>
    <row r="88" spans="1:13">
      <c r="A88"/>
      <c r="B88"/>
      <c r="C88"/>
      <c r="D88"/>
      <c r="E88"/>
      <c r="F88"/>
      <c r="G88"/>
      <c r="H88"/>
      <c r="I88"/>
      <c r="J88" s="106"/>
      <c r="K88" s="106"/>
      <c r="L88" s="106"/>
      <c r="M88"/>
    </row>
    <row r="89" spans="1:13">
      <c r="A89"/>
      <c r="B89"/>
      <c r="C89"/>
      <c r="D89"/>
      <c r="E89"/>
      <c r="F89"/>
      <c r="G89"/>
      <c r="H89"/>
      <c r="I89"/>
      <c r="J89" s="106"/>
      <c r="K89" s="106"/>
      <c r="L89" s="106"/>
      <c r="M89"/>
    </row>
    <row r="90" spans="1:13">
      <c r="A90"/>
      <c r="B90"/>
      <c r="C90"/>
      <c r="D90"/>
      <c r="E90"/>
      <c r="F90"/>
      <c r="G90"/>
      <c r="H90"/>
      <c r="I90"/>
      <c r="J90" s="106"/>
      <c r="K90" s="106"/>
      <c r="L90" s="106"/>
      <c r="M90"/>
    </row>
    <row r="91" spans="1:13">
      <c r="A91"/>
      <c r="B91"/>
      <c r="C91"/>
      <c r="D91"/>
      <c r="E91"/>
      <c r="F91"/>
      <c r="G91"/>
      <c r="H91"/>
      <c r="I91"/>
      <c r="J91" s="106"/>
      <c r="K91" s="106"/>
      <c r="L91" s="106"/>
      <c r="M91"/>
    </row>
    <row r="92" spans="1:13">
      <c r="A92"/>
      <c r="B92"/>
      <c r="C92"/>
      <c r="D92"/>
      <c r="E92"/>
      <c r="F92"/>
      <c r="G92"/>
      <c r="H92"/>
      <c r="I92"/>
      <c r="J92" s="106"/>
      <c r="K92" s="106"/>
      <c r="L92" s="106"/>
      <c r="M92"/>
    </row>
    <row r="93" spans="1:13">
      <c r="A93"/>
      <c r="B93"/>
      <c r="C93"/>
      <c r="D93"/>
      <c r="E93"/>
      <c r="F93"/>
      <c r="G93"/>
      <c r="H93"/>
      <c r="I93"/>
      <c r="J93" s="106"/>
      <c r="K93" s="106"/>
      <c r="L93" s="106"/>
      <c r="M93"/>
    </row>
    <row r="94" spans="1:13">
      <c r="A94"/>
      <c r="B94"/>
      <c r="C94"/>
      <c r="D94"/>
      <c r="E94"/>
      <c r="F94"/>
      <c r="G94"/>
      <c r="H94"/>
      <c r="I94"/>
      <c r="J94" s="106"/>
      <c r="K94" s="106"/>
      <c r="L94" s="106"/>
      <c r="M94"/>
    </row>
    <row r="95" spans="1:13">
      <c r="A95"/>
      <c r="B95"/>
      <c r="C95"/>
      <c r="D95"/>
      <c r="E95"/>
      <c r="F95"/>
      <c r="G95"/>
      <c r="H95"/>
      <c r="I95"/>
      <c r="J95" s="106"/>
      <c r="K95" s="106"/>
      <c r="L95" s="106"/>
      <c r="M95"/>
    </row>
    <row r="96" spans="1:13">
      <c r="A96"/>
      <c r="B96"/>
      <c r="C96"/>
      <c r="D96"/>
      <c r="E96"/>
      <c r="F96"/>
      <c r="G96"/>
      <c r="H96"/>
      <c r="I96"/>
      <c r="J96" s="106"/>
      <c r="K96" s="106"/>
      <c r="L96" s="106"/>
      <c r="M96"/>
    </row>
    <row r="97" spans="1:13">
      <c r="A97"/>
      <c r="B97"/>
      <c r="C97"/>
      <c r="D97"/>
      <c r="E97"/>
      <c r="F97"/>
      <c r="G97"/>
      <c r="H97"/>
      <c r="I97"/>
      <c r="J97" s="106"/>
      <c r="K97" s="106"/>
      <c r="L97" s="106"/>
      <c r="M97"/>
    </row>
  </sheetData>
  <mergeCells count="6">
    <mergeCell ref="D10:H10"/>
    <mergeCell ref="A1:P1"/>
    <mergeCell ref="A2:P2"/>
    <mergeCell ref="A3:P3"/>
    <mergeCell ref="A4:P4"/>
    <mergeCell ref="A5:P5"/>
  </mergeCells>
  <phoneticPr fontId="24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W74"/>
  <sheetViews>
    <sheetView view="pageBreakPreview" zoomScale="60" zoomScaleNormal="80" workbookViewId="0">
      <pane xSplit="6" ySplit="12" topLeftCell="G13" activePane="bottomRight" state="frozen"/>
      <selection activeCell="G39" sqref="G39"/>
      <selection pane="topRight" activeCell="G39" sqref="G39"/>
      <selection pane="bottomLeft" activeCell="G39" sqref="G39"/>
      <selection pane="bottomRight" activeCell="G13" sqref="G13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07" bestFit="1" customWidth="1"/>
    <col min="14" max="14" width="1.44140625" style="107" customWidth="1"/>
    <col min="15" max="15" width="13.109375" style="107" bestFit="1" customWidth="1"/>
    <col min="16" max="16" width="1.44140625" style="107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972"/>
    </row>
    <row r="2" spans="1:21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972"/>
    </row>
    <row r="3" spans="1:21">
      <c r="A3" s="1263" t="s">
        <v>321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3"/>
      <c r="R3" s="1263"/>
      <c r="S3" s="972"/>
    </row>
    <row r="4" spans="1:21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972"/>
    </row>
    <row r="5" spans="1:21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972"/>
    </row>
    <row r="6" spans="1:21">
      <c r="Q6" s="48"/>
      <c r="T6" s="47"/>
      <c r="U6" s="47"/>
    </row>
    <row r="7" spans="1:21">
      <c r="A7" s="4" t="s">
        <v>696</v>
      </c>
      <c r="Q7" s="48"/>
      <c r="R7" s="48" t="s">
        <v>1534</v>
      </c>
      <c r="T7" s="47"/>
      <c r="U7" s="47"/>
    </row>
    <row r="8" spans="1:21">
      <c r="A8" s="4" t="s">
        <v>555</v>
      </c>
      <c r="Q8" s="4"/>
      <c r="R8" s="4" t="s">
        <v>1157</v>
      </c>
      <c r="T8" s="47"/>
      <c r="U8" s="47"/>
    </row>
    <row r="9" spans="1:2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6"/>
      <c r="N9" s="206"/>
      <c r="O9" s="206"/>
      <c r="P9" s="206"/>
      <c r="Q9" s="5"/>
      <c r="R9" s="5" t="s">
        <v>1395</v>
      </c>
      <c r="S9" s="47"/>
      <c r="T9" s="47"/>
      <c r="U9" s="47"/>
    </row>
    <row r="10" spans="1:21">
      <c r="M10" s="159" t="s">
        <v>45</v>
      </c>
      <c r="O10" s="159" t="s">
        <v>44</v>
      </c>
      <c r="P10" s="895"/>
      <c r="T10" s="47"/>
      <c r="U10" s="47"/>
    </row>
    <row r="11" spans="1:21">
      <c r="A11" s="4" t="s">
        <v>98</v>
      </c>
      <c r="E11" s="107"/>
      <c r="F11" s="107"/>
      <c r="G11" s="1277" t="s">
        <v>1182</v>
      </c>
      <c r="H11" s="1277"/>
      <c r="I11" s="1277"/>
      <c r="J11" s="1277"/>
      <c r="K11" s="1277"/>
      <c r="L11" s="107"/>
      <c r="M11" s="827" t="s">
        <v>553</v>
      </c>
      <c r="O11" s="827" t="s">
        <v>553</v>
      </c>
      <c r="P11" s="895"/>
      <c r="Q11" s="1277" t="s">
        <v>1051</v>
      </c>
      <c r="R11" s="1277"/>
      <c r="S11" s="1277"/>
      <c r="T11" s="47"/>
      <c r="U11" s="47"/>
    </row>
    <row r="12" spans="1:21">
      <c r="A12" s="5" t="s">
        <v>104</v>
      </c>
      <c r="B12" s="6"/>
      <c r="C12" s="9" t="s">
        <v>1004</v>
      </c>
      <c r="D12" s="6"/>
      <c r="E12" s="206"/>
      <c r="F12" s="206"/>
      <c r="G12" s="849" t="str">
        <f>I.1!D13</f>
        <v>2010</v>
      </c>
      <c r="H12" s="849" t="str">
        <f>I.1!E13</f>
        <v>2011</v>
      </c>
      <c r="I12" s="849" t="str">
        <f>I.1!F13</f>
        <v>2012</v>
      </c>
      <c r="J12" s="849" t="str">
        <f>I.1!G13</f>
        <v>2013</v>
      </c>
      <c r="K12" s="849" t="str">
        <f>I.1!H13</f>
        <v>2014</v>
      </c>
      <c r="L12" s="831"/>
      <c r="M12" s="847">
        <f>I.1!J13</f>
        <v>42429</v>
      </c>
      <c r="N12" s="848"/>
      <c r="O12" s="847">
        <f>I.1!L13</f>
        <v>42886</v>
      </c>
      <c r="P12" s="832"/>
      <c r="Q12" s="849">
        <f>I.1!N13</f>
        <v>2017</v>
      </c>
      <c r="R12" s="849" t="str">
        <f>I.1!O13</f>
        <v>2018</v>
      </c>
      <c r="S12" s="849" t="str">
        <f>I.1!P13</f>
        <v>2019</v>
      </c>
      <c r="T12" s="47"/>
      <c r="U12" s="47"/>
    </row>
    <row r="13" spans="1:21">
      <c r="G13" s="2"/>
      <c r="H13" s="2"/>
      <c r="I13" s="2"/>
      <c r="J13" s="2"/>
      <c r="K13" s="971"/>
      <c r="M13" s="159"/>
      <c r="O13" s="159"/>
      <c r="P13" s="895"/>
      <c r="Q13" s="2"/>
      <c r="R13" s="2"/>
      <c r="S13" s="971"/>
      <c r="T13" s="47"/>
      <c r="U13" s="47"/>
    </row>
    <row r="14" spans="1:21">
      <c r="T14" s="47"/>
      <c r="U14" s="47"/>
    </row>
    <row r="15" spans="1:21">
      <c r="A15" s="2" t="s">
        <v>376</v>
      </c>
      <c r="C15" s="4" t="s">
        <v>733</v>
      </c>
      <c r="M15" s="107" t="s">
        <v>332</v>
      </c>
      <c r="T15" s="47"/>
      <c r="U15" s="47"/>
    </row>
    <row r="16" spans="1:21">
      <c r="A16" s="2" t="s">
        <v>378</v>
      </c>
      <c r="C16" s="4" t="s">
        <v>135</v>
      </c>
      <c r="G16" s="383">
        <v>93088348.690000013</v>
      </c>
      <c r="H16" s="383">
        <v>88493240.719999999</v>
      </c>
      <c r="I16" s="383">
        <v>78630274.98999998</v>
      </c>
      <c r="J16" s="383">
        <v>96055210.370000005</v>
      </c>
      <c r="K16" s="383">
        <v>115327134.43999998</v>
      </c>
      <c r="L16" s="107"/>
      <c r="M16" s="383">
        <f>'C.2.1 B'!D15+'C.2.1 B'!D16</f>
        <v>91419831.03906399</v>
      </c>
      <c r="O16" s="383">
        <f>'C.2.1 F'!D15</f>
        <v>95823029.825353429</v>
      </c>
      <c r="Q16" s="383">
        <v>96045488.529456005</v>
      </c>
      <c r="R16" s="383">
        <v>97861094.092501938</v>
      </c>
      <c r="S16" s="383">
        <v>99046032.478723392</v>
      </c>
      <c r="T16" s="850"/>
      <c r="U16" s="47"/>
    </row>
    <row r="17" spans="1:23">
      <c r="A17" s="2" t="s">
        <v>380</v>
      </c>
      <c r="C17" s="4" t="s">
        <v>136</v>
      </c>
      <c r="D17" s="2"/>
      <c r="G17" s="99">
        <v>38332859.919999994</v>
      </c>
      <c r="H17" s="99">
        <v>35988736.229999997</v>
      </c>
      <c r="I17" s="99">
        <v>31478562.100000001</v>
      </c>
      <c r="J17" s="99">
        <v>39938783.520000003</v>
      </c>
      <c r="K17" s="99">
        <v>49294803.939999998</v>
      </c>
      <c r="L17" s="107"/>
      <c r="M17" s="99">
        <f>'C.2.1 B'!D17+'C.2.1 B'!D19</f>
        <v>37978420.38430135</v>
      </c>
      <c r="O17" s="99">
        <f>'C.2.1 F'!D16</f>
        <v>39862445.220677249</v>
      </c>
      <c r="Q17" s="383">
        <v>40019024.728671424</v>
      </c>
      <c r="R17" s="383">
        <v>40771832.974779055</v>
      </c>
      <c r="S17" s="383">
        <v>41230020.749995179</v>
      </c>
      <c r="T17" s="850"/>
      <c r="U17" s="47"/>
    </row>
    <row r="18" spans="1:23">
      <c r="A18" s="2" t="s">
        <v>381</v>
      </c>
      <c r="C18" s="4" t="s">
        <v>137</v>
      </c>
      <c r="D18" s="2"/>
      <c r="G18" s="99">
        <v>4589557.51</v>
      </c>
      <c r="H18" s="99">
        <v>4854620.18</v>
      </c>
      <c r="I18" s="99">
        <v>4926384.9400000004</v>
      </c>
      <c r="J18" s="99">
        <v>4796885.17</v>
      </c>
      <c r="K18" s="99">
        <v>5845776.3600000003</v>
      </c>
      <c r="L18" s="107"/>
      <c r="M18" s="99">
        <f>'C.2.1 B'!D18+'C.2.1 B'!D20</f>
        <v>5336528.4362137234</v>
      </c>
      <c r="O18" s="99">
        <f>'C.2.1 F'!D17</f>
        <v>4880527.2397751613</v>
      </c>
      <c r="Q18" s="383">
        <v>4918707.7756084725</v>
      </c>
      <c r="R18" s="383">
        <v>5051038.1504665781</v>
      </c>
      <c r="S18" s="383">
        <v>5134408.3128598938</v>
      </c>
      <c r="T18" s="850"/>
      <c r="U18" s="47"/>
    </row>
    <row r="19" spans="1:23">
      <c r="A19" s="2" t="s">
        <v>382</v>
      </c>
      <c r="C19" s="4" t="s">
        <v>168</v>
      </c>
      <c r="D19" s="2"/>
      <c r="G19" s="99">
        <v>8555407.7000000011</v>
      </c>
      <c r="H19" s="99">
        <v>7582166.5899999999</v>
      </c>
      <c r="I19" s="99">
        <v>6653818.7400000002</v>
      </c>
      <c r="J19" s="99">
        <v>8073794.1099999994</v>
      </c>
      <c r="K19" s="99">
        <v>9679607.4199999999</v>
      </c>
      <c r="L19" s="107"/>
      <c r="M19" s="99">
        <f>'C.2.1 B'!D21+'C.2.1 B'!D22</f>
        <v>6924295.4996820828</v>
      </c>
      <c r="O19" s="99">
        <f>'C.2.1 F'!D18</f>
        <v>7189609.0439688396</v>
      </c>
      <c r="Q19" s="383">
        <v>7218476.5913453251</v>
      </c>
      <c r="R19" s="383">
        <v>7379929.5372670051</v>
      </c>
      <c r="S19" s="383">
        <v>7477314.0189663647</v>
      </c>
      <c r="T19" s="850"/>
      <c r="U19" s="942"/>
      <c r="V19" s="880"/>
    </row>
    <row r="20" spans="1:23">
      <c r="A20" s="2" t="s">
        <v>383</v>
      </c>
      <c r="C20" s="4" t="s">
        <v>90</v>
      </c>
      <c r="G20" s="109"/>
      <c r="H20" s="109"/>
      <c r="I20" s="109"/>
      <c r="J20" s="109"/>
      <c r="K20" s="109"/>
      <c r="L20" s="107"/>
      <c r="M20" s="109"/>
      <c r="N20" s="206"/>
      <c r="O20" s="112"/>
      <c r="Q20" s="112"/>
      <c r="R20" s="112"/>
      <c r="S20" s="112"/>
      <c r="T20" s="63"/>
      <c r="U20" s="942"/>
      <c r="V20" s="880"/>
    </row>
    <row r="21" spans="1:23">
      <c r="G21" s="99"/>
      <c r="H21" s="99"/>
      <c r="I21" s="99"/>
      <c r="J21" s="99"/>
      <c r="K21" s="99"/>
      <c r="L21" s="107"/>
      <c r="M21" s="99"/>
      <c r="O21" s="99"/>
      <c r="Q21" s="99"/>
      <c r="R21" s="99"/>
      <c r="S21" s="99"/>
      <c r="T21" s="63"/>
      <c r="U21" s="880"/>
      <c r="V21" s="880"/>
    </row>
    <row r="22" spans="1:23">
      <c r="A22" s="2" t="s">
        <v>384</v>
      </c>
      <c r="C22" s="4" t="s">
        <v>433</v>
      </c>
      <c r="G22" s="383">
        <f>SUM(G16:G20)</f>
        <v>144566173.81999999</v>
      </c>
      <c r="H22" s="383">
        <f>SUM(H16:H20)</f>
        <v>136918763.72</v>
      </c>
      <c r="I22" s="383">
        <f>SUM(I16:I20)</f>
        <v>121689040.76999997</v>
      </c>
      <c r="J22" s="383">
        <f>SUM(J16:J20)</f>
        <v>148864673.17000002</v>
      </c>
      <c r="K22" s="383">
        <f>SUM(K16:K20)</f>
        <v>180147322.16</v>
      </c>
      <c r="L22" s="107"/>
      <c r="M22" s="383">
        <f>SUM(M16:M20)</f>
        <v>141659075.35926113</v>
      </c>
      <c r="N22" s="445"/>
      <c r="O22" s="383">
        <f>SUM(O16:O20)</f>
        <v>147755611.32977465</v>
      </c>
      <c r="Q22" s="383">
        <f>SUM(Q16:Q20)</f>
        <v>148201697.62508124</v>
      </c>
      <c r="R22" s="383">
        <f>SUM(R16:R20)</f>
        <v>151063894.7550146</v>
      </c>
      <c r="S22" s="383">
        <f>SUM(S16:S20)</f>
        <v>152887775.56054485</v>
      </c>
      <c r="T22" s="63"/>
      <c r="U22" s="942"/>
      <c r="V22" s="942"/>
    </row>
    <row r="23" spans="1:23">
      <c r="G23" s="99"/>
      <c r="H23" s="99"/>
      <c r="I23" s="99"/>
      <c r="J23" s="99"/>
      <c r="K23" s="99"/>
      <c r="L23" s="107"/>
      <c r="M23" s="99"/>
      <c r="O23" s="99"/>
      <c r="Q23" s="99"/>
      <c r="R23" s="99"/>
      <c r="S23" s="99"/>
      <c r="T23" s="63"/>
      <c r="U23" s="880"/>
      <c r="V23" s="880"/>
      <c r="W23" s="880"/>
    </row>
    <row r="24" spans="1:23">
      <c r="A24" s="2">
        <v>8</v>
      </c>
      <c r="C24" s="4" t="s">
        <v>169</v>
      </c>
      <c r="G24" s="99"/>
      <c r="H24" s="99"/>
      <c r="I24" s="99"/>
      <c r="J24" s="99"/>
      <c r="K24" s="99"/>
      <c r="L24" s="107"/>
      <c r="M24" s="99"/>
      <c r="O24" s="99"/>
      <c r="Q24" s="99"/>
      <c r="R24" s="99"/>
      <c r="S24" s="99"/>
      <c r="T24" s="63"/>
      <c r="U24" s="942"/>
      <c r="V24" s="880"/>
    </row>
    <row r="25" spans="1:23">
      <c r="A25" s="2" t="s">
        <v>387</v>
      </c>
      <c r="C25" s="4" t="s">
        <v>135</v>
      </c>
      <c r="D25" s="2" t="s">
        <v>332</v>
      </c>
      <c r="G25" s="455">
        <v>154483</v>
      </c>
      <c r="H25" s="455">
        <v>154947</v>
      </c>
      <c r="I25" s="455">
        <v>156159</v>
      </c>
      <c r="J25" s="455">
        <v>157010</v>
      </c>
      <c r="K25" s="455">
        <v>157922</v>
      </c>
      <c r="L25" s="107"/>
      <c r="M25" s="455">
        <v>155669.75</v>
      </c>
      <c r="N25" s="578"/>
      <c r="O25" s="455">
        <v>156169.75</v>
      </c>
      <c r="Q25" s="455">
        <v>156303.08333333334</v>
      </c>
      <c r="R25" s="455">
        <v>156703.08333333334</v>
      </c>
      <c r="S25" s="455">
        <v>157103.08333333334</v>
      </c>
      <c r="T25" s="850"/>
      <c r="U25" s="47"/>
    </row>
    <row r="26" spans="1:23">
      <c r="A26" s="2" t="s">
        <v>388</v>
      </c>
      <c r="C26" s="4" t="s">
        <v>136</v>
      </c>
      <c r="D26" s="2"/>
      <c r="G26" s="455">
        <v>17580</v>
      </c>
      <c r="H26" s="455">
        <v>17591</v>
      </c>
      <c r="I26" s="455">
        <v>17710</v>
      </c>
      <c r="J26" s="455">
        <v>17473</v>
      </c>
      <c r="K26" s="455">
        <v>17699</v>
      </c>
      <c r="L26" s="107"/>
      <c r="M26" s="455">
        <v>17323.916666666668</v>
      </c>
      <c r="O26" s="455">
        <v>17323.916666666668</v>
      </c>
      <c r="Q26" s="455">
        <v>17323.916666666664</v>
      </c>
      <c r="R26" s="455">
        <v>17323.916666666664</v>
      </c>
      <c r="S26" s="455">
        <v>17323.916666666664</v>
      </c>
      <c r="T26" s="850"/>
      <c r="U26" s="47"/>
    </row>
    <row r="27" spans="1:23">
      <c r="A27" s="2">
        <v>11</v>
      </c>
      <c r="C27" s="4" t="s">
        <v>137</v>
      </c>
      <c r="D27" s="2"/>
      <c r="G27" s="455">
        <v>193</v>
      </c>
      <c r="H27" s="455">
        <v>208</v>
      </c>
      <c r="I27" s="455">
        <v>201</v>
      </c>
      <c r="J27" s="455">
        <v>198</v>
      </c>
      <c r="K27" s="455">
        <v>209</v>
      </c>
      <c r="L27" s="107"/>
      <c r="M27" s="455">
        <v>206</v>
      </c>
      <c r="O27" s="455">
        <v>206</v>
      </c>
      <c r="Q27" s="455">
        <v>206</v>
      </c>
      <c r="R27" s="455">
        <v>206</v>
      </c>
      <c r="S27" s="455">
        <v>206</v>
      </c>
      <c r="T27" s="850"/>
      <c r="U27" s="47"/>
    </row>
    <row r="28" spans="1:23">
      <c r="A28" s="2">
        <v>12</v>
      </c>
      <c r="C28" s="4" t="s">
        <v>168</v>
      </c>
      <c r="D28" s="2"/>
      <c r="G28" s="455">
        <v>1574</v>
      </c>
      <c r="H28" s="455">
        <v>1579</v>
      </c>
      <c r="I28" s="455">
        <v>1596</v>
      </c>
      <c r="J28" s="455">
        <v>1564</v>
      </c>
      <c r="K28" s="455">
        <v>1559</v>
      </c>
      <c r="L28" s="107"/>
      <c r="M28" s="455">
        <v>1553.9166666666667</v>
      </c>
      <c r="O28" s="455">
        <v>1553.9166666666667</v>
      </c>
      <c r="Q28" s="455">
        <v>1553.9166666666667</v>
      </c>
      <c r="R28" s="455">
        <v>1553.9166666666667</v>
      </c>
      <c r="S28" s="455">
        <v>1553.9166666666667</v>
      </c>
      <c r="T28" s="850"/>
      <c r="U28" s="47"/>
    </row>
    <row r="29" spans="1:23">
      <c r="A29" s="77" t="s">
        <v>332</v>
      </c>
      <c r="G29" s="99"/>
      <c r="H29" s="99"/>
      <c r="I29" s="99"/>
      <c r="J29" s="99"/>
      <c r="K29" s="99"/>
      <c r="L29" s="107"/>
      <c r="M29" s="99"/>
      <c r="O29" s="99"/>
      <c r="Q29" s="99"/>
      <c r="R29" s="99"/>
      <c r="S29" s="99"/>
      <c r="T29" s="10"/>
    </row>
    <row r="30" spans="1:23">
      <c r="A30" s="77">
        <v>13</v>
      </c>
      <c r="C30" s="4" t="s">
        <v>101</v>
      </c>
      <c r="D30" s="2"/>
      <c r="G30" s="455">
        <f>SUM(G25:G29)</f>
        <v>173830</v>
      </c>
      <c r="H30" s="455">
        <f>SUM(H25:H29)</f>
        <v>174325</v>
      </c>
      <c r="I30" s="455">
        <f>SUM(I25:I29)</f>
        <v>175666</v>
      </c>
      <c r="J30" s="455">
        <f>SUM(J25:J29)</f>
        <v>176245</v>
      </c>
      <c r="K30" s="455">
        <f>SUM(K25:K29)</f>
        <v>177389</v>
      </c>
      <c r="L30" s="107"/>
      <c r="M30" s="455">
        <f>SUM(M25:M29)</f>
        <v>174753.58333333331</v>
      </c>
      <c r="N30" s="578"/>
      <c r="O30" s="455">
        <f>SUM(O25:O29)</f>
        <v>175253.58333333331</v>
      </c>
      <c r="Q30" s="455">
        <f>SUM(Q25:Q29)</f>
        <v>175386.91666666666</v>
      </c>
      <c r="R30" s="455">
        <f>SUM(R25:R29)</f>
        <v>175786.91666666666</v>
      </c>
      <c r="S30" s="455">
        <f>SUM(S25:S29)</f>
        <v>176186.91666666666</v>
      </c>
      <c r="T30" s="10"/>
    </row>
    <row r="31" spans="1:23">
      <c r="G31" s="99"/>
      <c r="H31" s="99"/>
      <c r="I31" s="99"/>
      <c r="J31" s="99"/>
      <c r="K31" s="99"/>
      <c r="L31" s="107"/>
      <c r="M31" s="99"/>
      <c r="O31" s="99"/>
      <c r="P31" s="99"/>
      <c r="Q31" s="99"/>
      <c r="R31" s="99"/>
      <c r="S31" s="99"/>
      <c r="T31" s="10"/>
    </row>
    <row r="32" spans="1:23">
      <c r="A32" s="2">
        <v>14</v>
      </c>
      <c r="C32" s="4" t="s">
        <v>138</v>
      </c>
      <c r="G32" s="99"/>
      <c r="H32" s="99"/>
      <c r="I32" s="99"/>
      <c r="J32" s="99"/>
      <c r="K32" s="99"/>
      <c r="L32" s="107"/>
      <c r="M32" s="99"/>
      <c r="O32" s="99"/>
      <c r="P32" s="99"/>
      <c r="Q32" s="99"/>
      <c r="R32" s="99"/>
      <c r="S32" s="99"/>
      <c r="T32" s="10"/>
    </row>
    <row r="33" spans="1:20">
      <c r="A33" s="2">
        <v>15</v>
      </c>
      <c r="C33" s="4" t="s">
        <v>135</v>
      </c>
      <c r="G33" s="383">
        <f t="shared" ref="G33:J36" si="0">(G16/G25)</f>
        <v>602.5798870425873</v>
      </c>
      <c r="H33" s="383">
        <f t="shared" si="0"/>
        <v>571.11941967253313</v>
      </c>
      <c r="I33" s="383">
        <f t="shared" si="0"/>
        <v>503.52701406899365</v>
      </c>
      <c r="J33" s="383">
        <f t="shared" si="0"/>
        <v>611.77765983058407</v>
      </c>
      <c r="K33" s="383">
        <f t="shared" ref="K33" si="1">(K16/K25)</f>
        <v>730.27908993047186</v>
      </c>
      <c r="L33" s="445"/>
      <c r="M33" s="383">
        <f>(M16/M25)</f>
        <v>587.26779633849219</v>
      </c>
      <c r="N33" s="445"/>
      <c r="O33" s="383">
        <f>(O16/O25)</f>
        <v>613.58252686806134</v>
      </c>
      <c r="P33" s="383"/>
      <c r="Q33" s="383">
        <f t="shared" ref="Q33:R36" si="2">(Q16/Q25)</f>
        <v>614.48236644589122</v>
      </c>
      <c r="R33" s="383">
        <f t="shared" si="2"/>
        <v>624.50011838206922</v>
      </c>
      <c r="S33" s="383">
        <f t="shared" ref="S33" si="3">(S16/S25)</f>
        <v>630.4525053055296</v>
      </c>
      <c r="T33" s="10"/>
    </row>
    <row r="34" spans="1:20">
      <c r="A34" s="2">
        <v>16</v>
      </c>
      <c r="C34" s="4" t="s">
        <v>136</v>
      </c>
      <c r="G34" s="99">
        <f t="shared" si="0"/>
        <v>2180.4812241183158</v>
      </c>
      <c r="H34" s="99">
        <f t="shared" si="0"/>
        <v>2045.860737308851</v>
      </c>
      <c r="I34" s="99">
        <f t="shared" si="0"/>
        <v>1777.4456295878035</v>
      </c>
      <c r="J34" s="99">
        <f t="shared" si="0"/>
        <v>2285.7427757110972</v>
      </c>
      <c r="K34" s="99">
        <f t="shared" ref="K34" si="4">(K17/K26)</f>
        <v>2785.1745262444206</v>
      </c>
      <c r="L34" s="107"/>
      <c r="M34" s="99">
        <f>(M17/M26)</f>
        <v>2192.2536984593366</v>
      </c>
      <c r="O34" s="99">
        <f>(O17/O26)</f>
        <v>2301.0065210817752</v>
      </c>
      <c r="P34" s="99"/>
      <c r="Q34" s="99">
        <f t="shared" si="2"/>
        <v>2310.0448644891558</v>
      </c>
      <c r="R34" s="99">
        <f t="shared" si="2"/>
        <v>2353.4997171412774</v>
      </c>
      <c r="S34" s="99">
        <f t="shared" ref="S34" si="5">(S17/S26)</f>
        <v>2379.9479957858944</v>
      </c>
      <c r="T34" s="10"/>
    </row>
    <row r="35" spans="1:20">
      <c r="A35" s="2">
        <v>17</v>
      </c>
      <c r="C35" s="4" t="s">
        <v>137</v>
      </c>
      <c r="G35" s="99">
        <f t="shared" si="0"/>
        <v>23780.0907253886</v>
      </c>
      <c r="H35" s="99">
        <f t="shared" si="0"/>
        <v>23339.520096153843</v>
      </c>
      <c r="I35" s="99">
        <f t="shared" si="0"/>
        <v>24509.377810945276</v>
      </c>
      <c r="J35" s="99">
        <f t="shared" si="0"/>
        <v>24226.692777777778</v>
      </c>
      <c r="K35" s="99">
        <f t="shared" ref="K35" si="6">(K18/K27)</f>
        <v>27970.221818181821</v>
      </c>
      <c r="L35" s="107"/>
      <c r="M35" s="99">
        <f>(M18/M27)</f>
        <v>25905.477845697686</v>
      </c>
      <c r="O35" s="99">
        <f>(O18/O27)</f>
        <v>23691.879804733791</v>
      </c>
      <c r="P35" s="99"/>
      <c r="Q35" s="99">
        <f t="shared" si="2"/>
        <v>23877.222211691613</v>
      </c>
      <c r="R35" s="99">
        <f t="shared" si="2"/>
        <v>24519.602672167854</v>
      </c>
      <c r="S35" s="99">
        <f t="shared" ref="S35" si="7">(S18/S27)</f>
        <v>24924.312198348998</v>
      </c>
      <c r="T35" s="10"/>
    </row>
    <row r="36" spans="1:20">
      <c r="A36" s="2">
        <v>18</v>
      </c>
      <c r="C36" s="4" t="s">
        <v>168</v>
      </c>
      <c r="G36" s="99">
        <f t="shared" si="0"/>
        <v>5435.4559720457437</v>
      </c>
      <c r="H36" s="99">
        <f t="shared" si="0"/>
        <v>4801.8787777074094</v>
      </c>
      <c r="I36" s="99">
        <f t="shared" si="0"/>
        <v>4169.0593609022562</v>
      </c>
      <c r="J36" s="99">
        <f t="shared" si="0"/>
        <v>5162.2724488491049</v>
      </c>
      <c r="K36" s="99">
        <f t="shared" ref="K36" si="8">(K19/K28)</f>
        <v>6208.8565875561253</v>
      </c>
      <c r="L36" s="107"/>
      <c r="M36" s="99">
        <f>(M19/M28)</f>
        <v>4456.0275645511338</v>
      </c>
      <c r="O36" s="99">
        <f>(O19/O28)</f>
        <v>4626.7661568952681</v>
      </c>
      <c r="P36" s="99"/>
      <c r="Q36" s="99">
        <f t="shared" si="2"/>
        <v>4645.34343841604</v>
      </c>
      <c r="R36" s="99">
        <f t="shared" si="2"/>
        <v>4749.2440846894433</v>
      </c>
      <c r="S36" s="99">
        <f t="shared" ref="S36" si="9">(S19/S28)</f>
        <v>4811.9144220301587</v>
      </c>
      <c r="T36" s="10"/>
    </row>
    <row r="37" spans="1:20">
      <c r="H37" s="10"/>
      <c r="I37" s="10"/>
      <c r="J37" s="10"/>
      <c r="K37" s="10"/>
      <c r="M37" s="99"/>
    </row>
    <row r="38" spans="1:20">
      <c r="A38" s="4"/>
      <c r="C38" s="4" t="s">
        <v>1253</v>
      </c>
      <c r="G38" s="10"/>
      <c r="H38" s="10"/>
      <c r="I38" s="10"/>
      <c r="J38" s="10"/>
      <c r="K38" s="10"/>
      <c r="M38" s="99"/>
      <c r="O38" s="99"/>
      <c r="P38" s="99"/>
      <c r="Q38" s="10"/>
      <c r="R38" s="10"/>
      <c r="S38" s="10"/>
      <c r="T38" s="10"/>
    </row>
    <row r="39" spans="1:20">
      <c r="C39" s="4"/>
      <c r="G39" s="10"/>
      <c r="H39" s="10"/>
      <c r="I39" s="10"/>
      <c r="J39" s="10"/>
      <c r="K39" s="10"/>
      <c r="M39" s="99"/>
      <c r="O39" s="99"/>
      <c r="P39" s="99"/>
      <c r="Q39" s="10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 s="106"/>
      <c r="N48" s="106"/>
      <c r="O48" s="106"/>
      <c r="P48" s="106"/>
      <c r="Q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 s="106"/>
      <c r="N49" s="106"/>
      <c r="O49" s="106"/>
      <c r="P49" s="106"/>
      <c r="Q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 s="106"/>
      <c r="N50" s="106"/>
      <c r="O50" s="106"/>
      <c r="P50" s="106"/>
      <c r="Q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 s="106"/>
      <c r="N51" s="106"/>
      <c r="O51" s="106"/>
      <c r="P51" s="106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 s="106"/>
      <c r="N52" s="106"/>
      <c r="O52" s="106"/>
      <c r="P52" s="106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 s="106"/>
      <c r="N53" s="106"/>
      <c r="O53" s="106"/>
      <c r="P53" s="106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 s="106"/>
      <c r="N54" s="106"/>
      <c r="O54" s="106"/>
      <c r="P54" s="106"/>
      <c r="Q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 s="106"/>
      <c r="N55" s="106"/>
      <c r="O55" s="106"/>
      <c r="P55" s="106"/>
      <c r="Q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 s="106"/>
      <c r="N56" s="106"/>
      <c r="O56" s="106"/>
      <c r="P56" s="106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 s="106"/>
      <c r="N57" s="106"/>
      <c r="O57" s="106"/>
      <c r="P57" s="106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 s="106"/>
      <c r="N58" s="106"/>
      <c r="O58" s="106"/>
      <c r="P58" s="106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 s="106"/>
      <c r="N59" s="106"/>
      <c r="O59" s="106"/>
      <c r="P59" s="106"/>
      <c r="Q59"/>
    </row>
    <row r="60" spans="1:17">
      <c r="A60"/>
      <c r="B60"/>
      <c r="C60"/>
      <c r="D60"/>
      <c r="E60"/>
      <c r="F60"/>
      <c r="G60"/>
      <c r="H60"/>
      <c r="I60"/>
      <c r="J60"/>
      <c r="K60"/>
      <c r="L60"/>
      <c r="M60" s="106"/>
      <c r="N60" s="106"/>
      <c r="O60" s="106"/>
      <c r="P60" s="106"/>
      <c r="Q60"/>
    </row>
    <row r="61" spans="1:17">
      <c r="A61"/>
      <c r="B61"/>
      <c r="C61"/>
      <c r="D61"/>
      <c r="E61"/>
      <c r="F61"/>
      <c r="G61"/>
      <c r="H61"/>
      <c r="I61"/>
      <c r="J61"/>
      <c r="K61"/>
      <c r="L61"/>
      <c r="M61" s="106"/>
      <c r="N61" s="106"/>
      <c r="O61" s="106"/>
      <c r="P61" s="106"/>
      <c r="Q61"/>
    </row>
    <row r="62" spans="1:17">
      <c r="A62"/>
      <c r="B62"/>
      <c r="C62"/>
      <c r="D62"/>
      <c r="E62"/>
      <c r="F62"/>
      <c r="G62"/>
      <c r="H62"/>
      <c r="I62"/>
      <c r="J62"/>
      <c r="K62"/>
      <c r="L62"/>
      <c r="M62" s="106"/>
      <c r="N62" s="106"/>
      <c r="O62" s="106"/>
      <c r="P62" s="106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 s="106"/>
      <c r="N63" s="106"/>
      <c r="O63" s="106"/>
      <c r="P63" s="106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 s="106"/>
      <c r="N64" s="106"/>
      <c r="O64" s="106"/>
      <c r="P64" s="106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 s="106"/>
      <c r="N65" s="106"/>
      <c r="O65" s="106"/>
      <c r="P65" s="106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 s="106"/>
      <c r="N66" s="106"/>
      <c r="O66" s="106"/>
      <c r="P66" s="10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 s="106"/>
      <c r="N67" s="106"/>
      <c r="O67" s="106"/>
      <c r="P67" s="106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 s="106"/>
      <c r="N68" s="106"/>
      <c r="O68" s="106"/>
      <c r="P68" s="106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 s="106"/>
      <c r="N69" s="106"/>
      <c r="O69" s="106"/>
      <c r="P69" s="106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 s="106"/>
      <c r="N70" s="106"/>
      <c r="O70" s="106"/>
      <c r="P70" s="106"/>
      <c r="Q70"/>
    </row>
    <row r="71" spans="1:17">
      <c r="I71" s="10"/>
      <c r="J71" s="10"/>
      <c r="K71" s="10"/>
    </row>
    <row r="72" spans="1:17">
      <c r="I72" s="10"/>
      <c r="J72" s="10"/>
      <c r="K72" s="10"/>
    </row>
    <row r="73" spans="1:17">
      <c r="I73" s="10"/>
      <c r="J73" s="10"/>
      <c r="K73" s="10"/>
    </row>
    <row r="74" spans="1:17">
      <c r="I74" s="10"/>
      <c r="J74" s="10"/>
      <c r="K74" s="10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4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Normal="100" zoomScaleSheetLayoutView="100" workbookViewId="0"/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229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3">
      <c r="A2" s="229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3">
      <c r="A3" s="43" t="s">
        <v>1131</v>
      </c>
      <c r="B3" s="40"/>
      <c r="C3" s="40"/>
      <c r="D3" s="40"/>
      <c r="E3" s="40"/>
      <c r="F3" s="40"/>
    </row>
    <row r="4" spans="1:13">
      <c r="A4" s="43" t="s">
        <v>1452</v>
      </c>
      <c r="B4" s="40"/>
      <c r="C4" s="40"/>
      <c r="D4" s="40"/>
      <c r="E4" s="40"/>
      <c r="F4" s="40"/>
    </row>
    <row r="6" spans="1:13">
      <c r="A6" s="4" t="s">
        <v>153</v>
      </c>
      <c r="F6" s="1" t="s">
        <v>1511</v>
      </c>
      <c r="H6" s="880"/>
      <c r="I6" s="880"/>
      <c r="J6" s="880"/>
      <c r="K6" s="880"/>
      <c r="L6" s="880"/>
    </row>
    <row r="7" spans="1:13">
      <c r="A7" s="4" t="str">
        <f>A.1!A8</f>
        <v>Type of Filing:___X____Original________Updated ________Revised</v>
      </c>
      <c r="F7" s="4" t="s">
        <v>763</v>
      </c>
      <c r="H7" s="880"/>
      <c r="I7" s="880"/>
      <c r="J7" s="880"/>
      <c r="K7" s="880"/>
      <c r="L7" s="880"/>
    </row>
    <row r="8" spans="1:13">
      <c r="A8" s="5" t="s">
        <v>440</v>
      </c>
      <c r="B8" s="6"/>
      <c r="C8" s="6"/>
      <c r="D8" s="6"/>
      <c r="E8" s="45"/>
      <c r="F8" s="5" t="str">
        <f>'B.1 B'!F8</f>
        <v>Witness:   Waller</v>
      </c>
      <c r="H8" s="880"/>
      <c r="I8" s="880"/>
      <c r="J8" s="880"/>
      <c r="K8" s="880"/>
      <c r="L8" s="880"/>
    </row>
    <row r="9" spans="1:13">
      <c r="F9" s="2"/>
      <c r="H9" s="880"/>
      <c r="I9" s="880"/>
      <c r="J9" s="880"/>
      <c r="K9" s="880"/>
      <c r="L9" s="880"/>
    </row>
    <row r="10" spans="1:13">
      <c r="C10" s="2" t="s">
        <v>1206</v>
      </c>
      <c r="D10" s="2" t="s">
        <v>44</v>
      </c>
      <c r="F10" s="2" t="s">
        <v>44</v>
      </c>
      <c r="H10" s="880"/>
      <c r="I10" s="964"/>
      <c r="J10" s="880"/>
      <c r="K10" s="880"/>
      <c r="L10" s="880"/>
      <c r="M10" s="880"/>
    </row>
    <row r="11" spans="1:13">
      <c r="A11" s="2" t="s">
        <v>98</v>
      </c>
      <c r="C11" s="2" t="s">
        <v>63</v>
      </c>
      <c r="D11" s="2" t="s">
        <v>325</v>
      </c>
      <c r="F11" s="2" t="s">
        <v>325</v>
      </c>
      <c r="H11" s="880"/>
      <c r="I11" s="880"/>
      <c r="J11" s="880"/>
      <c r="K11" s="880"/>
      <c r="L11" s="880"/>
      <c r="M11" s="880"/>
    </row>
    <row r="12" spans="1:13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H12" s="880"/>
      <c r="I12" s="964"/>
      <c r="J12" s="880"/>
      <c r="K12" s="880"/>
      <c r="L12" s="880"/>
      <c r="M12" s="880"/>
    </row>
    <row r="13" spans="1:13">
      <c r="D13" s="2"/>
      <c r="F13" s="2"/>
      <c r="H13" s="880"/>
      <c r="I13" s="964"/>
      <c r="J13" s="880"/>
      <c r="K13" s="880"/>
      <c r="L13" s="880"/>
      <c r="M13" s="880"/>
    </row>
    <row r="14" spans="1:13">
      <c r="H14" s="880"/>
      <c r="I14" s="964"/>
      <c r="J14" s="880"/>
      <c r="K14" s="880"/>
      <c r="L14" s="880"/>
      <c r="M14" s="880"/>
    </row>
    <row r="15" spans="1:13">
      <c r="A15" s="2">
        <v>1</v>
      </c>
      <c r="B15" s="4" t="s">
        <v>172</v>
      </c>
      <c r="C15" s="2" t="s">
        <v>709</v>
      </c>
      <c r="D15" s="383">
        <f>'B.2 F'!I230</f>
        <v>568248224.75066519</v>
      </c>
      <c r="E15" s="99"/>
      <c r="F15" s="383">
        <f>'B.2 F'!N230</f>
        <v>552066856.73859799</v>
      </c>
      <c r="G15" s="107"/>
      <c r="H15" s="965"/>
      <c r="I15" s="964"/>
      <c r="J15" s="880"/>
      <c r="K15" s="880"/>
      <c r="L15" s="880"/>
      <c r="M15" s="880"/>
    </row>
    <row r="16" spans="1:13">
      <c r="A16" s="2">
        <f>A15+1</f>
        <v>2</v>
      </c>
      <c r="B16" s="4" t="s">
        <v>506</v>
      </c>
      <c r="C16" s="2" t="s">
        <v>709</v>
      </c>
      <c r="D16" s="99">
        <f>'B.2 F'!I232</f>
        <v>14731738.637158927</v>
      </c>
      <c r="E16" s="99"/>
      <c r="F16" s="99">
        <f>'B.2 F'!N232</f>
        <v>14731738.637158928</v>
      </c>
      <c r="G16" s="107"/>
      <c r="H16" s="965"/>
      <c r="I16" s="964"/>
      <c r="J16" s="880"/>
      <c r="K16" s="880"/>
      <c r="L16" s="880"/>
      <c r="M16" s="880"/>
    </row>
    <row r="17" spans="1:13">
      <c r="A17" s="2">
        <f>A16+1</f>
        <v>3</v>
      </c>
      <c r="B17" s="4" t="s">
        <v>544</v>
      </c>
      <c r="C17" s="2" t="s">
        <v>710</v>
      </c>
      <c r="D17" s="112">
        <f>-'B.3 F'!I230</f>
        <v>-186336791.35810056</v>
      </c>
      <c r="E17" s="99"/>
      <c r="F17" s="112">
        <f>-'B.3 F'!N230</f>
        <v>-179723195.25925478</v>
      </c>
      <c r="G17" s="107"/>
      <c r="H17" s="965"/>
      <c r="I17" s="964"/>
      <c r="J17" s="880"/>
      <c r="K17" s="880"/>
      <c r="L17" s="880"/>
      <c r="M17" s="880"/>
    </row>
    <row r="18" spans="1:13">
      <c r="A18" s="960"/>
      <c r="B18" s="4"/>
      <c r="C18" s="960"/>
      <c r="D18" s="103"/>
      <c r="E18" s="99"/>
      <c r="F18" s="103"/>
      <c r="G18" s="107"/>
      <c r="H18" s="965"/>
      <c r="I18" s="964"/>
      <c r="J18" s="880"/>
      <c r="K18" s="880"/>
      <c r="L18" s="880"/>
      <c r="M18" s="880"/>
    </row>
    <row r="19" spans="1:13">
      <c r="A19" s="2">
        <f>+A17+1</f>
        <v>4</v>
      </c>
      <c r="B19" s="4" t="s">
        <v>163</v>
      </c>
      <c r="D19" s="383">
        <f>SUM(D15:D17)</f>
        <v>396643172.02972353</v>
      </c>
      <c r="E19" s="99"/>
      <c r="F19" s="383">
        <f>SUM(F15:F17)</f>
        <v>387075400.11650205</v>
      </c>
      <c r="G19" s="107"/>
      <c r="H19" s="965"/>
      <c r="I19" s="964"/>
      <c r="J19" s="880"/>
      <c r="K19" s="880"/>
      <c r="L19" s="880"/>
      <c r="M19" s="880"/>
    </row>
    <row r="20" spans="1:13">
      <c r="A20" s="2"/>
      <c r="B20" s="4"/>
      <c r="D20" s="99"/>
      <c r="E20" s="99"/>
      <c r="F20" s="99"/>
      <c r="G20" s="107"/>
      <c r="H20" s="965"/>
      <c r="I20" s="964"/>
      <c r="J20" s="880"/>
      <c r="K20" s="880"/>
      <c r="L20" s="880"/>
      <c r="M20" s="880"/>
    </row>
    <row r="21" spans="1:13">
      <c r="A21" s="2">
        <f>A19+1</f>
        <v>5</v>
      </c>
      <c r="B21" s="4" t="s">
        <v>803</v>
      </c>
      <c r="C21" s="2" t="s">
        <v>711</v>
      </c>
      <c r="D21" s="383">
        <f>+'B.4 F'!E14</f>
        <v>3200869.0979133956</v>
      </c>
      <c r="E21" s="99"/>
      <c r="F21" s="383">
        <f>D21</f>
        <v>3200869.0979133956</v>
      </c>
      <c r="G21" s="107"/>
      <c r="H21" s="965"/>
      <c r="I21" s="964"/>
      <c r="J21" s="880"/>
      <c r="K21" s="880"/>
      <c r="L21" s="880"/>
      <c r="M21" s="880"/>
    </row>
    <row r="22" spans="1:13">
      <c r="A22" s="2">
        <f>+A21+1</f>
        <v>6</v>
      </c>
      <c r="B22" s="4" t="s">
        <v>1078</v>
      </c>
      <c r="C22" s="2" t="s">
        <v>712</v>
      </c>
      <c r="D22" s="455">
        <f>+'B.4.1 F'!F37</f>
        <v>2568084.0403489121</v>
      </c>
      <c r="E22" s="455"/>
      <c r="F22" s="455">
        <f>+'B.4.1 F'!K37</f>
        <v>8249985.0800277982</v>
      </c>
      <c r="G22" s="107"/>
      <c r="H22" s="965"/>
      <c r="I22" s="964"/>
      <c r="J22" s="880"/>
      <c r="K22" s="880"/>
      <c r="L22" s="880"/>
      <c r="M22" s="880"/>
    </row>
    <row r="23" spans="1:13">
      <c r="A23" s="2">
        <f>+A22+1</f>
        <v>7</v>
      </c>
      <c r="B23" s="4" t="s">
        <v>649</v>
      </c>
      <c r="C23" s="2" t="s">
        <v>713</v>
      </c>
      <c r="D23" s="455">
        <f>'B.6 F'!G24</f>
        <v>-1767642.4683333335</v>
      </c>
      <c r="E23" s="455"/>
      <c r="F23" s="455">
        <f>'B.6 F'!L24</f>
        <v>-1767642.4683333335</v>
      </c>
      <c r="G23" s="107"/>
      <c r="H23" s="965"/>
      <c r="I23" s="964"/>
      <c r="J23" s="880"/>
      <c r="K23" s="880"/>
      <c r="L23" s="880"/>
      <c r="M23" s="880"/>
    </row>
    <row r="24" spans="1:13">
      <c r="A24" s="1077">
        <f t="shared" ref="A24:A25" si="0">+A23+1</f>
        <v>8</v>
      </c>
      <c r="B24" s="4" t="s">
        <v>1558</v>
      </c>
      <c r="C24" s="1077" t="s">
        <v>1557</v>
      </c>
      <c r="D24" s="455">
        <f>F.6!I26+F.6!M26</f>
        <v>234454.78500000009</v>
      </c>
      <c r="E24" s="455"/>
      <c r="F24" s="455">
        <f>F.6!I27+F.6!M27</f>
        <v>368198.82250000001</v>
      </c>
      <c r="G24" s="107"/>
      <c r="H24" s="965"/>
      <c r="I24" s="964"/>
      <c r="J24" s="880"/>
      <c r="K24" s="880"/>
      <c r="L24" s="880"/>
      <c r="M24" s="880"/>
    </row>
    <row r="25" spans="1:13">
      <c r="A25" s="1077">
        <f t="shared" si="0"/>
        <v>9</v>
      </c>
      <c r="B25" s="115" t="s">
        <v>1153</v>
      </c>
      <c r="C25" s="159" t="s">
        <v>714</v>
      </c>
      <c r="D25" s="564">
        <f>'B.5 F'!G49</f>
        <v>-75520580.843277201</v>
      </c>
      <c r="E25" s="455"/>
      <c r="F25" s="564">
        <f>'B.5 F'!L53</f>
        <v>-62905163.025270708</v>
      </c>
      <c r="G25" s="107"/>
      <c r="H25" s="965"/>
      <c r="I25" s="964"/>
      <c r="J25" s="880"/>
      <c r="K25" s="880"/>
      <c r="L25" s="880"/>
      <c r="M25" s="880"/>
    </row>
    <row r="26" spans="1:13">
      <c r="A26" s="2"/>
      <c r="E26" s="107"/>
      <c r="G26" s="107"/>
      <c r="H26" s="965"/>
      <c r="I26" s="964"/>
      <c r="J26" s="880"/>
      <c r="K26" s="880"/>
      <c r="L26" s="880"/>
      <c r="M26" s="880"/>
    </row>
    <row r="27" spans="1:13" ht="15.75" thickBot="1">
      <c r="A27" s="2">
        <f>A25+1</f>
        <v>10</v>
      </c>
      <c r="B27" s="4" t="s">
        <v>164</v>
      </c>
      <c r="D27" s="385">
        <f>SUM(D19:D25)</f>
        <v>325358356.6413753</v>
      </c>
      <c r="E27" s="99"/>
      <c r="F27" s="385">
        <f>SUM(F19:F25)</f>
        <v>334221647.62333924</v>
      </c>
      <c r="G27" s="580"/>
      <c r="H27" s="966"/>
      <c r="I27" s="964"/>
      <c r="J27" s="880"/>
      <c r="K27" s="880"/>
      <c r="L27" s="880"/>
      <c r="M27" s="880"/>
    </row>
    <row r="28" spans="1:13" ht="15.75" thickTop="1">
      <c r="D28" s="10"/>
      <c r="E28" s="99"/>
      <c r="F28" s="10"/>
      <c r="G28" s="107"/>
      <c r="H28" s="965"/>
      <c r="J28" s="882"/>
      <c r="K28" s="880"/>
      <c r="L28" s="880"/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4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U74"/>
  <sheetViews>
    <sheetView view="pageBreakPreview" zoomScale="60" zoomScaleNormal="90" workbookViewId="0">
      <pane xSplit="6" ySplit="13" topLeftCell="G14" activePane="bottomRight" state="frozen"/>
      <selection activeCell="G39" sqref="G39"/>
      <selection pane="topRight" activeCell="G39" sqref="G39"/>
      <selection pane="bottomLeft" activeCell="G39" sqref="G39"/>
      <selection pane="bottomRight" activeCell="G14" sqref="G14"/>
    </sheetView>
  </sheetViews>
  <sheetFormatPr defaultColWidth="7.109375" defaultRowHeight="15"/>
  <cols>
    <col min="1" max="1" width="4" style="1" customWidth="1"/>
    <col min="2" max="2" width="0" style="1" hidden="1" customWidth="1"/>
    <col min="3" max="3" width="16.44140625" style="1" customWidth="1"/>
    <col min="4" max="4" width="5" style="1" customWidth="1"/>
    <col min="5" max="5" width="3.21875" style="1" customWidth="1"/>
    <col min="6" max="6" width="1.44140625" style="1" customWidth="1"/>
    <col min="7" max="8" width="11.44140625" style="1" customWidth="1"/>
    <col min="9" max="9" width="12.88671875" style="1" customWidth="1"/>
    <col min="10" max="11" width="11.44140625" style="1" customWidth="1"/>
    <col min="12" max="12" width="1.44140625" style="1" customWidth="1"/>
    <col min="13" max="13" width="12.109375" style="107" customWidth="1"/>
    <col min="14" max="14" width="1.44140625" style="107" customWidth="1"/>
    <col min="15" max="15" width="12.88671875" style="107" customWidth="1"/>
    <col min="16" max="16" width="1.5546875" style="107" customWidth="1"/>
    <col min="17" max="17" width="12.33203125" style="1" customWidth="1"/>
    <col min="18" max="19" width="12.88671875" style="1" customWidth="1"/>
    <col min="20" max="20" width="9.33203125" style="1" customWidth="1"/>
    <col min="21" max="16384" width="7.109375" style="1"/>
  </cols>
  <sheetData>
    <row r="1" spans="1:21">
      <c r="A1" s="1279" t="str">
        <f>'Table of Contents'!A1:C1</f>
        <v>Atmos Energy Corporation, Kentucky/Mid-States Division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974"/>
    </row>
    <row r="2" spans="1:21">
      <c r="A2" s="1279" t="str">
        <f>'Table of Contents'!A2:C2</f>
        <v>Kentucky Jurisdiction Case No. 2015-00343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974"/>
    </row>
    <row r="3" spans="1:21">
      <c r="A3" s="1279" t="s">
        <v>1156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974"/>
    </row>
    <row r="4" spans="1:21">
      <c r="A4" s="1279" t="str">
        <f>'Table of Contents'!A3:C3</f>
        <v>Base Period: Twelve Months Ended February 29, 2016</v>
      </c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974"/>
    </row>
    <row r="5" spans="1:21">
      <c r="A5" s="1279" t="str">
        <f>'Table of Contents'!A4:C4</f>
        <v>Forecasted Test Period: Twelve Months Ended May 31, 2017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974"/>
    </row>
    <row r="7" spans="1:21">
      <c r="A7" s="4" t="s">
        <v>696</v>
      </c>
      <c r="R7" s="48" t="s">
        <v>1535</v>
      </c>
    </row>
    <row r="8" spans="1:21">
      <c r="A8" s="4" t="s">
        <v>555</v>
      </c>
      <c r="R8" s="4" t="s">
        <v>1157</v>
      </c>
    </row>
    <row r="9" spans="1:21">
      <c r="A9" s="5" t="s">
        <v>1154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6"/>
      <c r="N9" s="206"/>
      <c r="O9" s="206"/>
      <c r="P9" s="206"/>
      <c r="Q9" s="206"/>
      <c r="R9" s="5" t="str">
        <f>I.2!R9</f>
        <v>Witness: Schneider, Smith</v>
      </c>
      <c r="S9" s="47"/>
    </row>
    <row r="10" spans="1:21">
      <c r="M10" s="159" t="s">
        <v>45</v>
      </c>
      <c r="O10" s="159" t="s">
        <v>44</v>
      </c>
      <c r="P10" s="895"/>
    </row>
    <row r="11" spans="1:21">
      <c r="A11" s="4" t="s">
        <v>98</v>
      </c>
      <c r="E11" s="107"/>
      <c r="F11" s="107"/>
      <c r="G11" s="1174"/>
      <c r="H11" s="583"/>
      <c r="I11" s="583" t="s">
        <v>1182</v>
      </c>
      <c r="J11" s="833"/>
      <c r="K11" s="833"/>
      <c r="L11" s="130"/>
      <c r="M11" s="164" t="s">
        <v>553</v>
      </c>
      <c r="N11" s="130"/>
      <c r="O11" s="164" t="s">
        <v>553</v>
      </c>
      <c r="P11" s="164"/>
      <c r="Q11" s="1278" t="s">
        <v>1051</v>
      </c>
      <c r="R11" s="1278"/>
      <c r="S11" s="1278"/>
    </row>
    <row r="12" spans="1:21">
      <c r="A12" s="5" t="s">
        <v>61</v>
      </c>
      <c r="B12" s="6"/>
      <c r="C12" s="9" t="s">
        <v>1004</v>
      </c>
      <c r="D12" s="6"/>
      <c r="E12" s="206"/>
      <c r="F12" s="206"/>
      <c r="G12" s="849" t="str">
        <f>I.1!D13</f>
        <v>2010</v>
      </c>
      <c r="H12" s="849" t="str">
        <f>I.1!E13</f>
        <v>2011</v>
      </c>
      <c r="I12" s="849" t="str">
        <f>I.1!F13</f>
        <v>2012</v>
      </c>
      <c r="J12" s="849" t="str">
        <f>I.1!G13</f>
        <v>2013</v>
      </c>
      <c r="K12" s="849" t="str">
        <f>I.1!H13</f>
        <v>2014</v>
      </c>
      <c r="L12" s="1193"/>
      <c r="M12" s="1194">
        <f>I.1!J13</f>
        <v>42429</v>
      </c>
      <c r="N12" s="1195"/>
      <c r="O12" s="1194">
        <f>I.1!L13</f>
        <v>42886</v>
      </c>
      <c r="P12" s="1196"/>
      <c r="Q12" s="849">
        <f>I.2!Q12</f>
        <v>2017</v>
      </c>
      <c r="R12" s="849" t="str">
        <f>I.2!R12</f>
        <v>2018</v>
      </c>
      <c r="S12" s="849" t="str">
        <f>I.2!S12</f>
        <v>2019</v>
      </c>
    </row>
    <row r="13" spans="1:21">
      <c r="G13" s="164" t="s">
        <v>580</v>
      </c>
      <c r="H13" s="164" t="s">
        <v>580</v>
      </c>
      <c r="I13" s="164" t="s">
        <v>580</v>
      </c>
      <c r="J13" s="164" t="s">
        <v>580</v>
      </c>
      <c r="K13" s="164"/>
      <c r="L13" s="130"/>
      <c r="M13" s="164" t="s">
        <v>580</v>
      </c>
      <c r="N13" s="130"/>
      <c r="O13" s="164" t="s">
        <v>580</v>
      </c>
      <c r="P13" s="164"/>
      <c r="Q13" s="164" t="s">
        <v>580</v>
      </c>
      <c r="R13" s="164" t="s">
        <v>580</v>
      </c>
      <c r="S13" s="164"/>
    </row>
    <row r="14" spans="1:21"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1">
      <c r="A15" s="2">
        <v>1</v>
      </c>
      <c r="C15" s="4" t="s">
        <v>350</v>
      </c>
      <c r="G15" s="130"/>
      <c r="H15" s="130"/>
      <c r="I15" s="130"/>
      <c r="J15" s="130"/>
      <c r="K15" s="130"/>
      <c r="L15" s="130"/>
      <c r="M15" s="130" t="s">
        <v>332</v>
      </c>
      <c r="N15" s="130"/>
      <c r="O15" s="130"/>
      <c r="P15" s="130"/>
      <c r="Q15" s="130"/>
      <c r="R15" s="130"/>
      <c r="S15" s="130"/>
      <c r="T15" s="10"/>
      <c r="U15" s="1057"/>
    </row>
    <row r="16" spans="1:21">
      <c r="A16" s="2">
        <v>2</v>
      </c>
      <c r="C16" s="4" t="s">
        <v>135</v>
      </c>
      <c r="G16" s="136">
        <v>10707476.32</v>
      </c>
      <c r="H16" s="136">
        <v>10405428.16</v>
      </c>
      <c r="I16" s="136">
        <v>8369577.9699999997</v>
      </c>
      <c r="J16" s="136">
        <v>10662876.41</v>
      </c>
      <c r="K16" s="136">
        <v>11757006.99</v>
      </c>
      <c r="L16" s="130"/>
      <c r="M16" s="136">
        <v>10302984.841957554</v>
      </c>
      <c r="N16" s="130"/>
      <c r="O16" s="136">
        <v>10336506.97122786</v>
      </c>
      <c r="P16" s="130"/>
      <c r="Q16" s="136">
        <v>10338382.30805376</v>
      </c>
      <c r="R16" s="136">
        <v>10364848.90313147</v>
      </c>
      <c r="S16" s="136">
        <v>10391315.009909181</v>
      </c>
      <c r="T16" s="850"/>
    </row>
    <row r="17" spans="1:21">
      <c r="A17" s="2">
        <v>3</v>
      </c>
      <c r="C17" s="4" t="s">
        <v>136</v>
      </c>
      <c r="D17" s="2"/>
      <c r="G17" s="136">
        <v>4946029.68</v>
      </c>
      <c r="H17" s="136">
        <v>4737930.03</v>
      </c>
      <c r="I17" s="136">
        <v>3946439.65</v>
      </c>
      <c r="J17" s="136">
        <v>5112547.93</v>
      </c>
      <c r="K17" s="136">
        <v>5657641.1699999999</v>
      </c>
      <c r="L17" s="130"/>
      <c r="M17" s="136">
        <v>5105607.2176999999</v>
      </c>
      <c r="N17" s="130"/>
      <c r="O17" s="136">
        <v>5105607.2177000009</v>
      </c>
      <c r="P17" s="130"/>
      <c r="Q17" s="136">
        <v>5105607.2177000009</v>
      </c>
      <c r="R17" s="136">
        <v>5105607.2177000009</v>
      </c>
      <c r="S17" s="136">
        <v>5105607.2177000009</v>
      </c>
      <c r="T17" s="850"/>
    </row>
    <row r="18" spans="1:21">
      <c r="A18" s="2">
        <v>4</v>
      </c>
      <c r="C18" s="4" t="s">
        <v>137</v>
      </c>
      <c r="D18" s="2"/>
      <c r="G18" s="136">
        <v>724157.07000000007</v>
      </c>
      <c r="H18" s="136">
        <v>821135.42999999993</v>
      </c>
      <c r="I18" s="136">
        <v>995094.70000000019</v>
      </c>
      <c r="J18" s="136">
        <v>807005.98999999987</v>
      </c>
      <c r="K18" s="136">
        <v>780038.61999999976</v>
      </c>
      <c r="L18" s="130"/>
      <c r="M18" s="136">
        <v>921685.30780000007</v>
      </c>
      <c r="N18" s="130"/>
      <c r="O18" s="136">
        <v>921685.30780000007</v>
      </c>
      <c r="P18" s="130"/>
      <c r="Q18" s="136">
        <v>921685.30780000007</v>
      </c>
      <c r="R18" s="136">
        <v>921685.30780000007</v>
      </c>
      <c r="S18" s="136">
        <v>921685.30780000007</v>
      </c>
      <c r="T18" s="850"/>
      <c r="U18" s="1057"/>
    </row>
    <row r="19" spans="1:21">
      <c r="A19" s="2">
        <v>5</v>
      </c>
      <c r="C19" s="4" t="s">
        <v>168</v>
      </c>
      <c r="D19" s="2"/>
      <c r="G19" s="136">
        <v>1198524.27</v>
      </c>
      <c r="H19" s="136">
        <v>1125935.9900000002</v>
      </c>
      <c r="I19" s="136">
        <v>967626.79</v>
      </c>
      <c r="J19" s="136">
        <v>1185264.3900000001</v>
      </c>
      <c r="K19" s="136">
        <v>1241309.8799999999</v>
      </c>
      <c r="L19" s="130"/>
      <c r="M19" s="136">
        <v>1084704.2238</v>
      </c>
      <c r="N19" s="130"/>
      <c r="O19" s="136">
        <v>1084704.2238</v>
      </c>
      <c r="P19" s="130"/>
      <c r="Q19" s="136">
        <v>1084704.2238</v>
      </c>
      <c r="R19" s="136">
        <v>1084704.2238</v>
      </c>
      <c r="S19" s="136">
        <v>1084704.2238</v>
      </c>
      <c r="T19" s="850"/>
      <c r="U19" s="1057"/>
    </row>
    <row r="20" spans="1:21">
      <c r="A20" s="2">
        <v>6</v>
      </c>
      <c r="C20" s="4" t="s">
        <v>90</v>
      </c>
      <c r="G20" s="573"/>
      <c r="H20" s="573"/>
      <c r="I20" s="573"/>
      <c r="J20" s="573"/>
      <c r="K20" s="573"/>
      <c r="L20" s="1158"/>
      <c r="M20" s="904"/>
      <c r="N20" s="130"/>
      <c r="O20" s="904"/>
      <c r="P20" s="130"/>
      <c r="Q20" s="1174"/>
      <c r="R20" s="573"/>
      <c r="S20" s="573"/>
      <c r="T20" s="10"/>
    </row>
    <row r="21" spans="1:21">
      <c r="A21" s="2">
        <v>7</v>
      </c>
      <c r="G21" s="1197"/>
      <c r="H21" s="1197"/>
      <c r="I21" s="1197"/>
      <c r="J21" s="1197"/>
      <c r="K21" s="1197"/>
      <c r="L21" s="130"/>
      <c r="M21" s="1197"/>
      <c r="N21" s="130"/>
      <c r="O21" s="1197"/>
      <c r="P21" s="130"/>
      <c r="Q21" s="1197"/>
      <c r="R21" s="1197"/>
      <c r="S21" s="1197"/>
      <c r="T21" s="10"/>
    </row>
    <row r="22" spans="1:21">
      <c r="A22" s="2">
        <v>8</v>
      </c>
      <c r="C22" s="4" t="s">
        <v>433</v>
      </c>
      <c r="G22" s="136">
        <f>SUM(G16:G20)</f>
        <v>17576187.34</v>
      </c>
      <c r="H22" s="136">
        <f>SUM(H16:H20)</f>
        <v>17090429.609999999</v>
      </c>
      <c r="I22" s="136">
        <f>SUM(I16:I20)</f>
        <v>14278739.109999999</v>
      </c>
      <c r="J22" s="136">
        <f>SUM(J16:J20)</f>
        <v>17767694.719999999</v>
      </c>
      <c r="K22" s="136">
        <f>SUM(K16:K20)</f>
        <v>19435996.66</v>
      </c>
      <c r="L22" s="130"/>
      <c r="M22" s="136">
        <f>SUM(M16:M20)</f>
        <v>17414981.591257557</v>
      </c>
      <c r="N22" s="130"/>
      <c r="O22" s="136">
        <f>SUM(O16:O20)</f>
        <v>17448503.720527861</v>
      </c>
      <c r="P22" s="130"/>
      <c r="Q22" s="136">
        <f>SUM(Q16:Q20)</f>
        <v>17450379.057353761</v>
      </c>
      <c r="R22" s="136">
        <f>SUM(R16:R20)</f>
        <v>17476845.652431473</v>
      </c>
      <c r="S22" s="136">
        <f>SUM(S16:S20)</f>
        <v>17503311.759209182</v>
      </c>
      <c r="T22" s="10"/>
    </row>
    <row r="23" spans="1:21">
      <c r="A23" s="2">
        <v>9</v>
      </c>
      <c r="G23" s="136"/>
      <c r="H23" s="136"/>
      <c r="I23" s="136"/>
      <c r="J23" s="136"/>
      <c r="K23" s="136"/>
      <c r="L23" s="130"/>
      <c r="M23" s="136"/>
      <c r="N23" s="130"/>
      <c r="O23" s="136"/>
      <c r="P23" s="130"/>
      <c r="Q23" s="136"/>
      <c r="R23" s="136"/>
      <c r="S23" s="136"/>
      <c r="T23" s="10"/>
    </row>
    <row r="24" spans="1:21">
      <c r="A24" s="2">
        <v>10</v>
      </c>
      <c r="C24" s="4" t="s">
        <v>169</v>
      </c>
      <c r="G24" s="136"/>
      <c r="H24" s="136"/>
      <c r="I24" s="136"/>
      <c r="J24" s="136"/>
      <c r="K24" s="136"/>
      <c r="L24" s="130"/>
      <c r="M24" s="136"/>
      <c r="N24" s="130"/>
      <c r="O24" s="136"/>
      <c r="P24" s="130"/>
      <c r="Q24" s="136"/>
      <c r="R24" s="136"/>
      <c r="S24" s="136"/>
      <c r="T24" s="10"/>
    </row>
    <row r="25" spans="1:21">
      <c r="A25" s="2">
        <v>11</v>
      </c>
      <c r="C25" s="4" t="s">
        <v>135</v>
      </c>
      <c r="D25" s="2" t="s">
        <v>332</v>
      </c>
      <c r="G25" s="136">
        <f>I.2!G25</f>
        <v>154483</v>
      </c>
      <c r="H25" s="136">
        <f>I.2!H25</f>
        <v>154947</v>
      </c>
      <c r="I25" s="136">
        <f>I.2!I25</f>
        <v>156159</v>
      </c>
      <c r="J25" s="136">
        <f>I.2!J25</f>
        <v>157010</v>
      </c>
      <c r="K25" s="136">
        <f>I.2!K25</f>
        <v>157922</v>
      </c>
      <c r="L25" s="130"/>
      <c r="M25" s="136">
        <f>I.2!M25</f>
        <v>155669.75</v>
      </c>
      <c r="N25" s="130"/>
      <c r="O25" s="136">
        <f>I.2!O25</f>
        <v>156169.75</v>
      </c>
      <c r="P25" s="130"/>
      <c r="Q25" s="136">
        <f>I.2!Q25</f>
        <v>156303.08333333334</v>
      </c>
      <c r="R25" s="136">
        <f>I.2!R25</f>
        <v>156703.08333333334</v>
      </c>
      <c r="S25" s="136">
        <f>I.2!S25</f>
        <v>157103.08333333334</v>
      </c>
      <c r="T25" s="10"/>
    </row>
    <row r="26" spans="1:21">
      <c r="A26" s="2">
        <v>12</v>
      </c>
      <c r="C26" s="4" t="s">
        <v>136</v>
      </c>
      <c r="D26" s="2"/>
      <c r="G26" s="136">
        <f>I.2!G26</f>
        <v>17580</v>
      </c>
      <c r="H26" s="136">
        <f>I.2!H26</f>
        <v>17591</v>
      </c>
      <c r="I26" s="136">
        <f>I.2!I26</f>
        <v>17710</v>
      </c>
      <c r="J26" s="136">
        <f>I.2!J26</f>
        <v>17473</v>
      </c>
      <c r="K26" s="136">
        <f>I.2!K26</f>
        <v>17699</v>
      </c>
      <c r="L26" s="130"/>
      <c r="M26" s="136">
        <f>I.2!M26</f>
        <v>17323.916666666668</v>
      </c>
      <c r="N26" s="130"/>
      <c r="O26" s="136">
        <f>I.2!O26</f>
        <v>17323.916666666668</v>
      </c>
      <c r="P26" s="130"/>
      <c r="Q26" s="136">
        <f>I.2!Q26</f>
        <v>17323.916666666664</v>
      </c>
      <c r="R26" s="136">
        <f>I.2!R26</f>
        <v>17323.916666666664</v>
      </c>
      <c r="S26" s="136">
        <f>I.2!S26</f>
        <v>17323.916666666664</v>
      </c>
      <c r="T26" s="10"/>
    </row>
    <row r="27" spans="1:21">
      <c r="A27" s="2">
        <v>13</v>
      </c>
      <c r="C27" s="4" t="s">
        <v>137</v>
      </c>
      <c r="D27" s="2"/>
      <c r="G27" s="136">
        <f>I.2!G27</f>
        <v>193</v>
      </c>
      <c r="H27" s="136">
        <f>I.2!H27</f>
        <v>208</v>
      </c>
      <c r="I27" s="136">
        <f>I.2!I27</f>
        <v>201</v>
      </c>
      <c r="J27" s="136">
        <f>I.2!J27</f>
        <v>198</v>
      </c>
      <c r="K27" s="136">
        <f>I.2!K27</f>
        <v>209</v>
      </c>
      <c r="L27" s="130"/>
      <c r="M27" s="136">
        <f>I.2!M27</f>
        <v>206</v>
      </c>
      <c r="N27" s="130"/>
      <c r="O27" s="136">
        <f>I.2!O27</f>
        <v>206</v>
      </c>
      <c r="P27" s="130"/>
      <c r="Q27" s="136">
        <f>I.2!Q27</f>
        <v>206</v>
      </c>
      <c r="R27" s="136">
        <f>I.2!R27</f>
        <v>206</v>
      </c>
      <c r="S27" s="136">
        <f>I.2!S27</f>
        <v>206</v>
      </c>
      <c r="T27" s="10"/>
    </row>
    <row r="28" spans="1:21">
      <c r="A28" s="2">
        <v>14</v>
      </c>
      <c r="C28" s="4" t="s">
        <v>168</v>
      </c>
      <c r="D28" s="2"/>
      <c r="G28" s="904">
        <f>I.2!G28</f>
        <v>1574</v>
      </c>
      <c r="H28" s="904">
        <f>I.2!H28</f>
        <v>1579</v>
      </c>
      <c r="I28" s="904">
        <f>I.2!I28</f>
        <v>1596</v>
      </c>
      <c r="J28" s="904">
        <f>I.2!J28</f>
        <v>1564</v>
      </c>
      <c r="K28" s="904">
        <f>I.2!K28</f>
        <v>1559</v>
      </c>
      <c r="L28" s="130"/>
      <c r="M28" s="904">
        <f>I.2!M28</f>
        <v>1553.9166666666667</v>
      </c>
      <c r="N28" s="130"/>
      <c r="O28" s="904">
        <f>I.2!O28</f>
        <v>1553.9166666666667</v>
      </c>
      <c r="P28" s="130"/>
      <c r="Q28" s="573">
        <f>I.2!Q28</f>
        <v>1553.9166666666667</v>
      </c>
      <c r="R28" s="573">
        <f>I.2!R28</f>
        <v>1553.9166666666667</v>
      </c>
      <c r="S28" s="573">
        <f>I.2!S28</f>
        <v>1553.9166666666667</v>
      </c>
      <c r="T28" s="10"/>
    </row>
    <row r="29" spans="1:21">
      <c r="A29" s="2">
        <v>15</v>
      </c>
      <c r="G29" s="1197"/>
      <c r="H29" s="1197"/>
      <c r="I29" s="1197"/>
      <c r="J29" s="1197"/>
      <c r="K29" s="1197"/>
      <c r="L29" s="130"/>
      <c r="M29" s="1197"/>
      <c r="N29" s="130"/>
      <c r="O29" s="1197"/>
      <c r="P29" s="130"/>
      <c r="Q29" s="1197"/>
      <c r="R29" s="1197"/>
      <c r="S29" s="1197"/>
      <c r="T29" s="10"/>
    </row>
    <row r="30" spans="1:21">
      <c r="A30" s="2">
        <v>16</v>
      </c>
      <c r="C30" s="4" t="s">
        <v>101</v>
      </c>
      <c r="D30" s="2"/>
      <c r="G30" s="136">
        <f>SUM(G25:G29)</f>
        <v>173830</v>
      </c>
      <c r="H30" s="136">
        <f>SUM(H25:H29)</f>
        <v>174325</v>
      </c>
      <c r="I30" s="136">
        <f>SUM(I25:I29)</f>
        <v>175666</v>
      </c>
      <c r="J30" s="136">
        <f>SUM(J25:J29)</f>
        <v>176245</v>
      </c>
      <c r="K30" s="136">
        <f>SUM(K25:K29)</f>
        <v>177389</v>
      </c>
      <c r="L30" s="130"/>
      <c r="M30" s="136">
        <f>SUM(M25:M29)</f>
        <v>174753.58333333331</v>
      </c>
      <c r="N30" s="130"/>
      <c r="O30" s="136">
        <f>SUM(O25:O29)</f>
        <v>175253.58333333331</v>
      </c>
      <c r="P30" s="130"/>
      <c r="Q30" s="136">
        <f>SUM(Q25:Q29)</f>
        <v>175386.91666666666</v>
      </c>
      <c r="R30" s="136">
        <f>SUM(R25:R29)</f>
        <v>175786.91666666666</v>
      </c>
      <c r="S30" s="136">
        <f>SUM(S25:S29)</f>
        <v>176186.91666666666</v>
      </c>
      <c r="T30" s="10"/>
    </row>
    <row r="31" spans="1:21">
      <c r="A31" s="2">
        <v>17</v>
      </c>
      <c r="G31" s="136"/>
      <c r="H31" s="136"/>
      <c r="I31" s="136"/>
      <c r="J31" s="136"/>
      <c r="K31" s="136"/>
      <c r="L31" s="130"/>
      <c r="M31" s="136"/>
      <c r="N31" s="130"/>
      <c r="O31" s="136"/>
      <c r="P31" s="130"/>
      <c r="Q31" s="136"/>
      <c r="R31" s="136"/>
      <c r="S31" s="136"/>
      <c r="T31" s="10"/>
    </row>
    <row r="32" spans="1:21">
      <c r="A32" s="2">
        <v>18</v>
      </c>
      <c r="C32" s="4" t="s">
        <v>351</v>
      </c>
      <c r="G32" s="136"/>
      <c r="H32" s="136"/>
      <c r="I32" s="136"/>
      <c r="J32" s="136"/>
      <c r="K32" s="136"/>
      <c r="L32" s="130"/>
      <c r="M32" s="136"/>
      <c r="N32" s="130"/>
      <c r="O32" s="136"/>
      <c r="P32" s="130"/>
      <c r="Q32" s="136"/>
      <c r="R32" s="136"/>
      <c r="S32" s="136"/>
      <c r="T32" s="10"/>
    </row>
    <row r="33" spans="1:20">
      <c r="A33" s="2">
        <v>19</v>
      </c>
      <c r="C33" s="4" t="s">
        <v>135</v>
      </c>
      <c r="G33" s="136">
        <f t="shared" ref="G33:J36" si="0">(G16/G25)</f>
        <v>69.311680379070836</v>
      </c>
      <c r="H33" s="136">
        <f t="shared" si="0"/>
        <v>67.15475717503405</v>
      </c>
      <c r="I33" s="136">
        <f t="shared" si="0"/>
        <v>53.596513617530846</v>
      </c>
      <c r="J33" s="136">
        <f t="shared" si="0"/>
        <v>67.912084644290175</v>
      </c>
      <c r="K33" s="136">
        <f t="shared" ref="K33" si="1">(K16/K25)</f>
        <v>74.448189549271163</v>
      </c>
      <c r="L33" s="130"/>
      <c r="M33" s="136">
        <f>(M16/M25)</f>
        <v>66.18488718558072</v>
      </c>
      <c r="N33" s="130"/>
      <c r="O33" s="136">
        <f>(O16/O25)</f>
        <v>66.187638587036602</v>
      </c>
      <c r="P33" s="130"/>
      <c r="Q33" s="136">
        <f t="shared" ref="Q33:R36" si="2">(Q16/Q25)</f>
        <v>66.143175729976065</v>
      </c>
      <c r="R33" s="136">
        <f t="shared" si="2"/>
        <v>66.143235236052917</v>
      </c>
      <c r="S33" s="136">
        <f t="shared" ref="S33" si="3">(S16/S25)</f>
        <v>66.143291330962725</v>
      </c>
      <c r="T33" s="10"/>
    </row>
    <row r="34" spans="1:20">
      <c r="A34" s="2">
        <v>20</v>
      </c>
      <c r="C34" s="4" t="s">
        <v>136</v>
      </c>
      <c r="G34" s="136">
        <f t="shared" si="0"/>
        <v>281.34412286689417</v>
      </c>
      <c r="H34" s="136">
        <f t="shared" si="0"/>
        <v>269.33829969870959</v>
      </c>
      <c r="I34" s="136">
        <f t="shared" si="0"/>
        <v>222.83679559570862</v>
      </c>
      <c r="J34" s="136">
        <f t="shared" si="0"/>
        <v>292.59703141990497</v>
      </c>
      <c r="K34" s="136">
        <f t="shared" ref="K34" si="4">(K17/K26)</f>
        <v>319.65880388722525</v>
      </c>
      <c r="L34" s="130"/>
      <c r="M34" s="136">
        <f>(M17/M26)</f>
        <v>294.71437180968502</v>
      </c>
      <c r="N34" s="130"/>
      <c r="O34" s="136">
        <f>(O17/O26)</f>
        <v>294.71437180968508</v>
      </c>
      <c r="P34" s="130"/>
      <c r="Q34" s="136">
        <f t="shared" si="2"/>
        <v>294.71437180968513</v>
      </c>
      <c r="R34" s="136">
        <f t="shared" si="2"/>
        <v>294.71437180968513</v>
      </c>
      <c r="S34" s="136">
        <f t="shared" ref="S34" si="5">(S17/S26)</f>
        <v>294.71437180968513</v>
      </c>
      <c r="T34" s="10"/>
    </row>
    <row r="35" spans="1:20">
      <c r="A35" s="2">
        <v>21</v>
      </c>
      <c r="C35" s="4" t="s">
        <v>137</v>
      </c>
      <c r="G35" s="136">
        <f t="shared" si="0"/>
        <v>3752.1091709844563</v>
      </c>
      <c r="H35" s="136">
        <f t="shared" si="0"/>
        <v>3947.7664903846153</v>
      </c>
      <c r="I35" s="136">
        <f t="shared" si="0"/>
        <v>4950.7199004975137</v>
      </c>
      <c r="J35" s="136">
        <f t="shared" si="0"/>
        <v>4075.7878282828278</v>
      </c>
      <c r="K35" s="136">
        <f t="shared" ref="K35" si="6">(K18/K27)</f>
        <v>3732.2422009569368</v>
      </c>
      <c r="L35" s="130"/>
      <c r="M35" s="136">
        <f>(M18/M27)</f>
        <v>4474.2005233009713</v>
      </c>
      <c r="N35" s="130"/>
      <c r="O35" s="136">
        <f>(O18/O27)</f>
        <v>4474.2005233009713</v>
      </c>
      <c r="P35" s="130"/>
      <c r="Q35" s="136">
        <f t="shared" si="2"/>
        <v>4474.2005233009713</v>
      </c>
      <c r="R35" s="136">
        <f t="shared" si="2"/>
        <v>4474.2005233009713</v>
      </c>
      <c r="S35" s="136">
        <f t="shared" ref="S35" si="7">(S18/S27)</f>
        <v>4474.2005233009713</v>
      </c>
      <c r="T35" s="10"/>
    </row>
    <row r="36" spans="1:20">
      <c r="A36" s="2">
        <v>22</v>
      </c>
      <c r="C36" s="4" t="s">
        <v>168</v>
      </c>
      <c r="G36" s="136">
        <f t="shared" si="0"/>
        <v>761.45125158831001</v>
      </c>
      <c r="H36" s="136">
        <f t="shared" si="0"/>
        <v>713.06902469917679</v>
      </c>
      <c r="I36" s="136">
        <f t="shared" si="0"/>
        <v>606.28244987468679</v>
      </c>
      <c r="J36" s="136">
        <f t="shared" si="0"/>
        <v>757.84168158567786</v>
      </c>
      <c r="K36" s="136">
        <f t="shared" ref="K36" si="8">(K19/K28)</f>
        <v>796.22186016677347</v>
      </c>
      <c r="L36" s="130"/>
      <c r="M36" s="136">
        <f>(M19/M28)</f>
        <v>698.04529873974366</v>
      </c>
      <c r="N36" s="130"/>
      <c r="O36" s="136">
        <f>(O19/O28)</f>
        <v>698.04529873974366</v>
      </c>
      <c r="P36" s="130"/>
      <c r="Q36" s="136">
        <f t="shared" si="2"/>
        <v>698.04529873974366</v>
      </c>
      <c r="R36" s="136">
        <f t="shared" si="2"/>
        <v>698.04529873974366</v>
      </c>
      <c r="S36" s="136">
        <f t="shared" ref="S36" si="9">(S19/S28)</f>
        <v>698.04529873974366</v>
      </c>
      <c r="T36" s="10"/>
    </row>
    <row r="37" spans="1:20">
      <c r="H37" s="10"/>
      <c r="I37" s="10"/>
      <c r="J37" s="10"/>
      <c r="K37" s="10"/>
      <c r="M37" s="99"/>
      <c r="T37" s="10"/>
    </row>
    <row r="38" spans="1:20">
      <c r="A38" s="4"/>
      <c r="C38" s="4"/>
      <c r="G38" s="10"/>
      <c r="H38" s="10"/>
      <c r="I38" s="10"/>
      <c r="J38" s="10"/>
      <c r="K38" s="10"/>
      <c r="M38" s="99"/>
      <c r="O38" s="99"/>
      <c r="Q38" s="10"/>
      <c r="R38" s="10"/>
      <c r="S38" s="10"/>
      <c r="T38" s="10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 s="106"/>
      <c r="N39" s="106"/>
      <c r="O39" s="106"/>
      <c r="P39" s="106"/>
      <c r="Q39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I48" s="10"/>
      <c r="J48" s="10"/>
      <c r="K48" s="10"/>
    </row>
    <row r="49" spans="9:11">
      <c r="I49" s="10"/>
      <c r="J49" s="10"/>
      <c r="K49" s="10"/>
    </row>
    <row r="50" spans="9:11">
      <c r="I50" s="10"/>
      <c r="J50" s="10"/>
      <c r="K50" s="10"/>
    </row>
    <row r="51" spans="9:11">
      <c r="I51" s="10"/>
      <c r="J51" s="10"/>
      <c r="K51" s="10"/>
    </row>
    <row r="52" spans="9:11">
      <c r="I52" s="10"/>
      <c r="J52" s="10"/>
      <c r="K52" s="10"/>
    </row>
    <row r="53" spans="9:11">
      <c r="I53" s="10"/>
      <c r="J53" s="10"/>
      <c r="K53" s="10"/>
    </row>
    <row r="54" spans="9:11">
      <c r="I54" s="10"/>
      <c r="J54" s="10"/>
      <c r="K54" s="10"/>
    </row>
    <row r="55" spans="9:11">
      <c r="I55" s="10"/>
      <c r="J55" s="10"/>
      <c r="K55" s="10"/>
    </row>
    <row r="56" spans="9:11">
      <c r="I56" s="10"/>
      <c r="J56" s="10"/>
      <c r="K56" s="10"/>
    </row>
    <row r="57" spans="9:11">
      <c r="I57" s="10"/>
      <c r="J57" s="10"/>
      <c r="K57" s="10"/>
    </row>
    <row r="58" spans="9:11">
      <c r="I58" s="10"/>
      <c r="J58" s="10"/>
      <c r="K58" s="10"/>
    </row>
    <row r="59" spans="9:11">
      <c r="I59" s="10"/>
      <c r="J59" s="10"/>
      <c r="K59" s="10"/>
    </row>
    <row r="60" spans="9:11">
      <c r="I60" s="10"/>
      <c r="J60" s="10"/>
      <c r="K60" s="10"/>
    </row>
    <row r="61" spans="9:11">
      <c r="I61" s="10"/>
      <c r="J61" s="10"/>
      <c r="K61" s="10"/>
    </row>
    <row r="62" spans="9:11">
      <c r="I62" s="10"/>
      <c r="J62" s="10"/>
      <c r="K62" s="10"/>
    </row>
    <row r="63" spans="9:11">
      <c r="I63" s="10"/>
      <c r="J63" s="10"/>
      <c r="K63" s="10"/>
    </row>
    <row r="64" spans="9:11">
      <c r="I64" s="10"/>
      <c r="J64" s="10"/>
      <c r="K64" s="10"/>
    </row>
    <row r="65" spans="9:11">
      <c r="I65" s="10"/>
      <c r="J65" s="10"/>
      <c r="K65" s="10"/>
    </row>
    <row r="66" spans="9:11">
      <c r="I66" s="10"/>
      <c r="J66" s="10"/>
      <c r="K66" s="10"/>
    </row>
    <row r="67" spans="9:11">
      <c r="I67" s="10"/>
      <c r="J67" s="10"/>
      <c r="K67" s="10"/>
    </row>
    <row r="68" spans="9:11">
      <c r="I68" s="10"/>
      <c r="J68" s="10"/>
      <c r="K68" s="10"/>
    </row>
    <row r="69" spans="9:11">
      <c r="I69" s="10"/>
      <c r="J69" s="10"/>
      <c r="K69" s="10"/>
    </row>
    <row r="70" spans="9:11">
      <c r="I70" s="10"/>
      <c r="J70" s="10"/>
      <c r="K70" s="10"/>
    </row>
    <row r="71" spans="9:11">
      <c r="I71" s="10"/>
      <c r="J71" s="10"/>
      <c r="K71" s="10"/>
    </row>
    <row r="72" spans="9:11">
      <c r="I72" s="10"/>
      <c r="J72" s="10"/>
      <c r="K72" s="10"/>
    </row>
    <row r="73" spans="9:11">
      <c r="I73" s="10"/>
      <c r="J73" s="10"/>
      <c r="K73" s="10"/>
    </row>
    <row r="74" spans="9:11">
      <c r="I74" s="10"/>
      <c r="J74" s="10"/>
      <c r="K74" s="10"/>
    </row>
  </sheetData>
  <mergeCells count="6">
    <mergeCell ref="Q11:S11"/>
    <mergeCell ref="A1:R1"/>
    <mergeCell ref="A2:R2"/>
    <mergeCell ref="A3:R3"/>
    <mergeCell ref="A4:R4"/>
    <mergeCell ref="A5:R5"/>
  </mergeCells>
  <phoneticPr fontId="24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60" zoomScaleNormal="90" workbookViewId="0">
      <selection sqref="A1:M1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</row>
    <row r="2" spans="1:22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</row>
    <row r="3" spans="1:22">
      <c r="A3" s="1263" t="s">
        <v>2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</row>
    <row r="4" spans="1:22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</row>
    <row r="5" spans="1:22">
      <c r="A5" s="936"/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</row>
    <row r="6" spans="1:22">
      <c r="M6" s="1" t="s">
        <v>1508</v>
      </c>
    </row>
    <row r="7" spans="1:22">
      <c r="A7" s="4" t="s">
        <v>390</v>
      </c>
      <c r="M7" s="645" t="s">
        <v>793</v>
      </c>
    </row>
    <row r="8" spans="1:22">
      <c r="A8" s="95" t="s">
        <v>631</v>
      </c>
      <c r="M8" s="645" t="s">
        <v>871</v>
      </c>
    </row>
    <row r="9" spans="1:22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6" t="s">
        <v>1349</v>
      </c>
    </row>
    <row r="10" spans="1:22">
      <c r="L10" s="16"/>
      <c r="M10" s="16"/>
      <c r="N10" s="16"/>
      <c r="S10" s="16"/>
      <c r="T10" s="16"/>
      <c r="U10" s="16"/>
      <c r="V10" s="16"/>
    </row>
    <row r="11" spans="1:22">
      <c r="A11" s="2" t="s">
        <v>98</v>
      </c>
      <c r="E11" s="2" t="s">
        <v>100</v>
      </c>
      <c r="I11" s="2" t="s">
        <v>108</v>
      </c>
      <c r="M11" s="2" t="s">
        <v>358</v>
      </c>
    </row>
    <row r="12" spans="1:22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</row>
    <row r="13" spans="1:22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</row>
    <row r="14" spans="1:22">
      <c r="G14" s="2" t="s">
        <v>639</v>
      </c>
      <c r="I14" s="1042" t="s">
        <v>154</v>
      </c>
      <c r="K14" s="2" t="s">
        <v>154</v>
      </c>
      <c r="M14" s="2" t="s">
        <v>154</v>
      </c>
    </row>
    <row r="16" spans="1:22">
      <c r="G16" s="10"/>
      <c r="K16" s="3"/>
      <c r="O16" s="10"/>
      <c r="S16" s="3"/>
    </row>
    <row r="17" spans="1:21" ht="15.75">
      <c r="C17" s="268" t="s">
        <v>1602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1042">
        <v>6</v>
      </c>
      <c r="C19" s="4" t="s">
        <v>277</v>
      </c>
      <c r="E19" s="24" t="s">
        <v>281</v>
      </c>
      <c r="F19" s="10"/>
      <c r="G19" s="625">
        <f>+J.1!H17</f>
        <v>415875.57768141665</v>
      </c>
      <c r="H19" s="10"/>
      <c r="I19" s="11">
        <f>+G19/G27</f>
        <v>6.8088477935301109E-2</v>
      </c>
      <c r="J19" s="10"/>
      <c r="K19" s="66">
        <f>+J.1!L17</f>
        <v>9.4300720778860338E-3</v>
      </c>
      <c r="L19" s="10"/>
      <c r="M19" s="66">
        <f>ROUND(I19*K19,4)</f>
        <v>5.9999999999999995E-4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66"/>
      <c r="L20" s="10"/>
      <c r="M20" s="66"/>
    </row>
    <row r="21" spans="1:21">
      <c r="A21" s="1042">
        <v>7</v>
      </c>
      <c r="C21" s="4" t="s">
        <v>278</v>
      </c>
      <c r="E21" s="24" t="s">
        <v>281</v>
      </c>
      <c r="F21" s="10"/>
      <c r="G21" s="99">
        <f>'J-3 B'!E33*0.001</f>
        <v>2455352.5582333333</v>
      </c>
      <c r="H21" s="10"/>
      <c r="I21" s="11">
        <f>+G21/G27</f>
        <v>0.40199816352939427</v>
      </c>
      <c r="J21" s="10"/>
      <c r="K21" s="66">
        <f>+J.1!L19</f>
        <v>5.8999999999999997E-2</v>
      </c>
      <c r="L21" s="10"/>
      <c r="M21" s="66">
        <f>ROUND(I21*K21,4)</f>
        <v>2.3699999999999999E-2</v>
      </c>
    </row>
    <row r="22" spans="1:21">
      <c r="E22" s="10"/>
      <c r="F22" s="10"/>
      <c r="G22" s="10"/>
      <c r="H22" s="10"/>
      <c r="I22" s="10"/>
      <c r="J22" s="10"/>
      <c r="K22" s="66"/>
      <c r="L22" s="10"/>
      <c r="M22" s="66"/>
    </row>
    <row r="23" spans="1:21">
      <c r="A23" s="1042">
        <v>8</v>
      </c>
      <c r="C23" s="4" t="s">
        <v>279</v>
      </c>
      <c r="E23" s="24" t="s">
        <v>282</v>
      </c>
      <c r="F23" s="10"/>
      <c r="G23" s="10">
        <f>+J.1!H23</f>
        <v>0</v>
      </c>
      <c r="H23" s="10"/>
      <c r="I23" s="11">
        <f>+G23/G27</f>
        <v>0</v>
      </c>
      <c r="J23" s="10"/>
      <c r="K23" s="66">
        <f>+J.1!L23</f>
        <v>0</v>
      </c>
      <c r="L23" s="10"/>
      <c r="M23" s="66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66"/>
      <c r="L24" s="10"/>
      <c r="M24" s="66"/>
    </row>
    <row r="25" spans="1:21">
      <c r="A25" s="1042">
        <v>9</v>
      </c>
      <c r="C25" s="4" t="s">
        <v>280</v>
      </c>
      <c r="E25" s="10"/>
      <c r="F25" s="10"/>
      <c r="G25" s="750">
        <f>+J.1!H25</f>
        <v>3236641.9515410024</v>
      </c>
      <c r="H25" s="10"/>
      <c r="I25" s="27">
        <f>+G25/G27</f>
        <v>0.52991335853530463</v>
      </c>
      <c r="J25" s="10"/>
      <c r="K25" s="66">
        <f>+J.1!L25</f>
        <v>9.8000000000000004E-2</v>
      </c>
      <c r="L25" s="10"/>
      <c r="M25" s="67">
        <f>ROUND(I25*K25,4)</f>
        <v>5.1900000000000002E-2</v>
      </c>
    </row>
    <row r="26" spans="1:21">
      <c r="G26" s="10"/>
      <c r="K26" s="3"/>
    </row>
    <row r="27" spans="1:21" ht="15.75" thickBot="1">
      <c r="A27" s="2">
        <v>10</v>
      </c>
      <c r="C27" s="4" t="s">
        <v>413</v>
      </c>
      <c r="G27" s="417">
        <f>SUM(G19:G25)</f>
        <v>6107870.0874557523</v>
      </c>
      <c r="I27" s="20">
        <f>SUM(I19:I25)</f>
        <v>1</v>
      </c>
      <c r="K27" s="11"/>
      <c r="M27" s="69">
        <f>(+M19+M21+M23+M25)</f>
        <v>7.6200000000000004E-2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67" right="0.75" top="0.75" bottom="1.26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42"/>
  <sheetViews>
    <sheetView view="pageBreakPreview" zoomScale="60" zoomScaleNormal="90" workbookViewId="0">
      <selection sqref="A1:L1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1279" t="str">
        <f>'Table of Contents'!A1:C1</f>
        <v>Atmos Energy Corporation, Kentucky/Mid-States Division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</row>
    <row r="2" spans="1:17">
      <c r="A2" s="1279" t="str">
        <f>'Table of Contents'!A2:C2</f>
        <v>Kentucky Jurisdiction Case No. 2015-00343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</row>
    <row r="3" spans="1:17">
      <c r="A3" s="1279" t="s">
        <v>541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</row>
    <row r="4" spans="1:17">
      <c r="A4" s="1279" t="s">
        <v>1451</v>
      </c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</row>
    <row r="5" spans="1:17">
      <c r="A5" s="937"/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7">
      <c r="L6" s="488" t="s">
        <v>1508</v>
      </c>
    </row>
    <row r="7" spans="1:17">
      <c r="A7" s="4" t="str">
        <f>'J-1 Base'!A7</f>
        <v>Data:__X___Base Period______Forecasted Period</v>
      </c>
      <c r="L7" s="645" t="s">
        <v>50</v>
      </c>
    </row>
    <row r="8" spans="1:17">
      <c r="A8" s="4" t="str">
        <f>'J-1 Base'!A8</f>
        <v>Type of Filing:___X____Original________Updated ________Revised</v>
      </c>
      <c r="L8" s="645" t="s">
        <v>871</v>
      </c>
    </row>
    <row r="9" spans="1:17">
      <c r="A9" s="73" t="str">
        <f>'J-1 Base'!A9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45"/>
      <c r="L9" s="646" t="str">
        <f>'J-1 Base'!M9</f>
        <v>Witness:  Waller</v>
      </c>
    </row>
    <row r="10" spans="1:17">
      <c r="H10" s="77">
        <v>-1</v>
      </c>
      <c r="J10" s="2" t="s">
        <v>360</v>
      </c>
      <c r="L10" s="2" t="s">
        <v>1165</v>
      </c>
    </row>
    <row r="11" spans="1:17">
      <c r="A11" s="2" t="s">
        <v>98</v>
      </c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 t="s">
        <v>104</v>
      </c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E15" s="107"/>
      <c r="F15" s="107"/>
      <c r="G15" s="107"/>
      <c r="H15" s="107"/>
      <c r="I15" s="107"/>
      <c r="J15" s="107"/>
    </row>
    <row r="16" spans="1:17">
      <c r="A16" s="2" t="s">
        <v>376</v>
      </c>
      <c r="C16" s="115" t="s">
        <v>919</v>
      </c>
      <c r="D16" s="107"/>
      <c r="E16" s="107"/>
      <c r="F16" s="439">
        <v>415875.57768141665</v>
      </c>
      <c r="G16" s="97"/>
      <c r="H16" s="1074">
        <f>J16/F16</f>
        <v>3.9642820751121799E-3</v>
      </c>
      <c r="I16" s="139"/>
      <c r="J16" s="383">
        <v>1648.6480980793631</v>
      </c>
      <c r="K16" s="99"/>
      <c r="L16" s="99"/>
      <c r="M16" s="10"/>
      <c r="N16" s="1071"/>
      <c r="O16" s="10"/>
      <c r="P16" s="10"/>
      <c r="Q16" s="10"/>
    </row>
    <row r="17" spans="1:17"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7">
      <c r="A18" s="2">
        <v>2</v>
      </c>
      <c r="C18" s="115" t="s">
        <v>1345</v>
      </c>
      <c r="D18" s="107"/>
      <c r="E18" s="107"/>
      <c r="F18" s="112"/>
      <c r="G18" s="99"/>
      <c r="H18" s="99"/>
      <c r="I18" s="139"/>
      <c r="J18" s="109">
        <v>2273.0885748888886</v>
      </c>
      <c r="K18" s="99"/>
      <c r="L18" s="99"/>
      <c r="M18" s="10"/>
      <c r="N18" s="1071"/>
      <c r="O18" s="10"/>
      <c r="P18" s="10"/>
      <c r="Q18" s="10"/>
    </row>
    <row r="19" spans="1:17">
      <c r="C19" s="107"/>
      <c r="D19" s="107"/>
      <c r="E19" s="107"/>
      <c r="F19" s="99"/>
      <c r="G19" s="99"/>
      <c r="H19" s="154"/>
      <c r="I19" s="99"/>
      <c r="J19" s="99"/>
      <c r="K19" s="99"/>
      <c r="L19" s="99"/>
      <c r="M19" s="10"/>
      <c r="N19" s="10"/>
      <c r="O19" s="10"/>
      <c r="P19" s="10"/>
      <c r="Q19" s="10"/>
    </row>
    <row r="20" spans="1:17">
      <c r="A20" s="2">
        <v>3</v>
      </c>
      <c r="C20" s="115" t="s">
        <v>920</v>
      </c>
      <c r="D20" s="107"/>
      <c r="E20" s="107"/>
      <c r="F20" s="383">
        <f>SUM(F16:F18)</f>
        <v>415875.57768141665</v>
      </c>
      <c r="G20" s="99"/>
      <c r="H20" s="99"/>
      <c r="I20" s="139"/>
      <c r="J20" s="383">
        <f>SUM(J16:J18)</f>
        <v>3921.7366729682517</v>
      </c>
      <c r="K20" s="99"/>
      <c r="L20" s="154">
        <f>(J20/F20)</f>
        <v>9.4300720778860338E-3</v>
      </c>
      <c r="M20" s="10"/>
      <c r="N20" s="10"/>
      <c r="O20" s="10"/>
      <c r="P20" s="10"/>
      <c r="Q20" s="10"/>
    </row>
    <row r="21" spans="1:17">
      <c r="C21" s="107"/>
      <c r="D21" s="107"/>
      <c r="E21" s="107"/>
      <c r="F21" s="99"/>
      <c r="G21" s="99"/>
      <c r="H21" s="154"/>
      <c r="I21" s="139"/>
      <c r="J21" s="139"/>
      <c r="K21" s="99"/>
      <c r="L21" s="99"/>
      <c r="M21" s="10"/>
      <c r="N21" s="10"/>
      <c r="O21" s="10"/>
      <c r="P21" s="10"/>
      <c r="Q21" s="10"/>
    </row>
    <row r="22" spans="1:17">
      <c r="C22" s="107"/>
      <c r="D22" s="107"/>
      <c r="E22" s="107"/>
      <c r="F22" s="99"/>
      <c r="G22" s="99"/>
      <c r="H22" s="154"/>
      <c r="I22" s="139"/>
      <c r="J22" s="139"/>
      <c r="K22" s="99"/>
      <c r="L22" s="99"/>
      <c r="M22" s="10"/>
      <c r="N22" s="10"/>
      <c r="O22" s="10"/>
      <c r="P22" s="10"/>
      <c r="Q22" s="10"/>
    </row>
    <row r="23" spans="1:17">
      <c r="C23" s="107"/>
      <c r="D23" s="107"/>
      <c r="E23" s="107"/>
      <c r="F23" s="99"/>
      <c r="G23" s="99"/>
      <c r="H23" s="154"/>
      <c r="I23" s="139"/>
      <c r="J23" s="139"/>
      <c r="K23" s="99"/>
      <c r="L23" s="99"/>
      <c r="M23" s="10"/>
      <c r="N23" s="10"/>
      <c r="O23" s="10"/>
      <c r="P23" s="10"/>
      <c r="Q23" s="10"/>
    </row>
    <row r="24" spans="1:17" ht="15.75">
      <c r="B24" s="157"/>
      <c r="C24" s="107"/>
      <c r="D24" s="107"/>
      <c r="E24" s="107"/>
      <c r="F24" s="107"/>
      <c r="G24" s="99"/>
      <c r="H24" s="107"/>
      <c r="I24" s="139"/>
      <c r="J24" s="107"/>
      <c r="K24" s="107"/>
      <c r="L24" s="107"/>
    </row>
    <row r="25" spans="1:17">
      <c r="C25" s="115"/>
      <c r="D25" s="107"/>
      <c r="E25" s="107"/>
      <c r="F25" s="107"/>
      <c r="G25" s="99"/>
      <c r="H25" s="154"/>
      <c r="I25" s="139"/>
      <c r="J25" s="139"/>
      <c r="K25" s="107"/>
      <c r="L25" s="107"/>
    </row>
    <row r="26" spans="1:17">
      <c r="C26" s="115"/>
      <c r="D26" s="107"/>
      <c r="E26" s="107"/>
      <c r="F26" s="107"/>
      <c r="G26" s="99"/>
      <c r="H26" s="154"/>
      <c r="I26" s="139"/>
      <c r="J26" s="139"/>
      <c r="K26" s="107"/>
      <c r="L26" s="107"/>
    </row>
    <row r="27" spans="1:17">
      <c r="C27" s="921"/>
      <c r="D27" s="130"/>
      <c r="E27" s="130"/>
      <c r="F27" s="130"/>
      <c r="G27" s="130"/>
      <c r="H27" s="130"/>
      <c r="I27" s="130"/>
      <c r="J27" s="130"/>
      <c r="K27" s="130"/>
      <c r="L27" s="107"/>
    </row>
    <row r="28" spans="1:17">
      <c r="C28" s="238"/>
      <c r="D28" s="130"/>
      <c r="E28" s="130"/>
      <c r="F28" s="130"/>
      <c r="G28" s="130"/>
      <c r="H28" s="130"/>
      <c r="I28" s="130"/>
      <c r="J28" s="130"/>
      <c r="K28" s="130"/>
      <c r="L28" s="107"/>
    </row>
    <row r="29" spans="1:17">
      <c r="C29" s="158"/>
      <c r="D29" s="130"/>
      <c r="E29" s="130"/>
      <c r="F29" s="130"/>
      <c r="G29" s="130"/>
      <c r="H29" s="130"/>
      <c r="I29" s="130"/>
      <c r="J29" s="130"/>
      <c r="K29" s="130"/>
      <c r="L29" s="107"/>
    </row>
    <row r="30" spans="1:17">
      <c r="C30" s="158"/>
      <c r="D30" s="130"/>
      <c r="E30" s="130"/>
      <c r="F30" s="130"/>
      <c r="G30" s="136"/>
      <c r="H30" s="130"/>
      <c r="I30" s="190"/>
      <c r="J30" s="130"/>
      <c r="K30" s="130"/>
      <c r="L30" s="107"/>
    </row>
    <row r="31" spans="1:17">
      <c r="C31" s="119"/>
      <c r="D31" s="130"/>
      <c r="E31" s="130"/>
      <c r="F31" s="130"/>
      <c r="G31" s="136"/>
      <c r="H31" s="136"/>
      <c r="I31" s="190"/>
      <c r="J31" s="190"/>
      <c r="K31" s="130"/>
      <c r="L31" s="107"/>
    </row>
    <row r="32" spans="1:17">
      <c r="C32" s="158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3:13">
      <c r="C33" s="158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3:13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3:13"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3"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3:13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3:13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3:13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3:13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3:13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3:13"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zoomScale="60" zoomScaleNormal="90" workbookViewId="0">
      <selection sqref="A1:K1"/>
    </sheetView>
  </sheetViews>
  <sheetFormatPr defaultColWidth="8.5546875" defaultRowHeight="15"/>
  <cols>
    <col min="1" max="1" width="4.21875" style="1" customWidth="1"/>
    <col min="2" max="2" width="1.88671875" style="1" customWidth="1"/>
    <col min="3" max="3" width="34" style="1" customWidth="1"/>
    <col min="4" max="4" width="3" style="1" customWidth="1"/>
    <col min="5" max="5" width="15.88671875" style="1" customWidth="1"/>
    <col min="6" max="6" width="2.77734375" style="1" customWidth="1"/>
    <col min="7" max="7" width="7.5546875" style="1" customWidth="1"/>
    <col min="8" max="8" width="2.33203125" style="1" customWidth="1"/>
    <col min="9" max="9" width="14.77734375" style="1" customWidth="1"/>
    <col min="10" max="10" width="2" style="1" customWidth="1"/>
    <col min="11" max="11" width="9.21875" style="1" customWidth="1"/>
    <col min="12" max="12" width="8.5546875" style="1"/>
    <col min="13" max="13" width="9.44140625" style="1" customWidth="1"/>
    <col min="14" max="14" width="11.44140625" style="1" bestFit="1" customWidth="1"/>
    <col min="15" max="15" width="8.5546875" style="1"/>
    <col min="16" max="16" width="11.109375" style="1" customWidth="1"/>
    <col min="17" max="16384" width="8.5546875" style="1"/>
  </cols>
  <sheetData>
    <row r="1" spans="1:15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</row>
    <row r="2" spans="1:15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</row>
    <row r="3" spans="1:15">
      <c r="A3" s="1263" t="s">
        <v>1104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</row>
    <row r="4" spans="1:15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</row>
    <row r="6" spans="1:15">
      <c r="A6" s="4" t="s">
        <v>390</v>
      </c>
      <c r="K6" s="488" t="s">
        <v>1508</v>
      </c>
    </row>
    <row r="7" spans="1:15">
      <c r="A7" s="95" t="s">
        <v>631</v>
      </c>
      <c r="K7" s="645" t="s">
        <v>49</v>
      </c>
    </row>
    <row r="8" spans="1:15">
      <c r="A8" s="5" t="s">
        <v>375</v>
      </c>
      <c r="B8" s="6"/>
      <c r="C8" s="6"/>
      <c r="D8" s="6"/>
      <c r="E8" s="6"/>
      <c r="F8" s="6"/>
      <c r="G8" s="6"/>
      <c r="H8" s="6"/>
      <c r="I8" s="6"/>
      <c r="J8" s="45"/>
      <c r="K8" s="646" t="str">
        <f>'J-1 Base'!$M$9</f>
        <v>Witness:  Waller</v>
      </c>
    </row>
    <row r="9" spans="1:15">
      <c r="A9" s="70"/>
      <c r="B9" s="47"/>
      <c r="C9" s="47"/>
      <c r="D9" s="47"/>
      <c r="E9" s="47"/>
      <c r="F9" s="47"/>
      <c r="G9" s="47"/>
      <c r="H9" s="47"/>
      <c r="I9" s="47"/>
      <c r="K9" s="721"/>
    </row>
    <row r="10" spans="1:15">
      <c r="E10" s="77" t="s">
        <v>872</v>
      </c>
      <c r="I10" s="2" t="s">
        <v>360</v>
      </c>
      <c r="K10" s="2" t="s">
        <v>1165</v>
      </c>
    </row>
    <row r="11" spans="1:15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5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5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5">
      <c r="E14" s="2"/>
      <c r="I14" s="2"/>
    </row>
    <row r="15" spans="1:15">
      <c r="O15" s="107"/>
    </row>
    <row r="16" spans="1:15">
      <c r="A16" s="2">
        <v>1</v>
      </c>
      <c r="C16" s="760" t="s">
        <v>1607</v>
      </c>
      <c r="D16" s="130"/>
      <c r="E16" s="439">
        <v>150000000</v>
      </c>
      <c r="F16" s="136"/>
      <c r="G16" s="1198">
        <v>6.7500000000000004E-2</v>
      </c>
      <c r="H16" s="190"/>
      <c r="I16" s="1199">
        <f t="shared" ref="I16:I24" si="0">(E16*G16)</f>
        <v>10125000</v>
      </c>
      <c r="J16" s="10"/>
      <c r="K16" s="10"/>
      <c r="L16" s="10"/>
    </row>
    <row r="17" spans="1:16">
      <c r="A17" s="1006">
        <f t="shared" ref="A17:A33" si="1">A16+1</f>
        <v>2</v>
      </c>
      <c r="C17" s="760" t="s">
        <v>1608</v>
      </c>
      <c r="D17" s="130"/>
      <c r="E17" s="113">
        <v>10000000</v>
      </c>
      <c r="F17" s="136"/>
      <c r="G17" s="1198">
        <v>6.6699999999999995E-2</v>
      </c>
      <c r="H17" s="190"/>
      <c r="I17" s="136">
        <f>(E17*G17)</f>
        <v>667000</v>
      </c>
    </row>
    <row r="18" spans="1:16">
      <c r="A18" s="1006">
        <f t="shared" si="1"/>
        <v>3</v>
      </c>
      <c r="C18" s="760" t="s">
        <v>1609</v>
      </c>
      <c r="D18" s="130"/>
      <c r="E18" s="113">
        <v>0</v>
      </c>
      <c r="F18" s="136"/>
      <c r="G18" s="1198">
        <v>4.9500000000000002E-2</v>
      </c>
      <c r="H18" s="190"/>
      <c r="I18" s="136">
        <f>(E18*G18)</f>
        <v>0</v>
      </c>
      <c r="J18" s="10"/>
      <c r="K18" s="10"/>
      <c r="L18" s="10"/>
    </row>
    <row r="19" spans="1:16">
      <c r="A19" s="1006">
        <f t="shared" si="1"/>
        <v>4</v>
      </c>
      <c r="C19" s="760" t="s">
        <v>1610</v>
      </c>
      <c r="D19" s="130"/>
      <c r="E19" s="113">
        <v>200000000</v>
      </c>
      <c r="F19" s="136"/>
      <c r="G19" s="1198">
        <v>5.9499999999999997E-2</v>
      </c>
      <c r="H19" s="136"/>
      <c r="I19" s="136">
        <f>(E19*G19)</f>
        <v>11900000</v>
      </c>
      <c r="J19" s="10"/>
      <c r="K19" s="10"/>
      <c r="L19" s="10"/>
    </row>
    <row r="20" spans="1:16">
      <c r="A20" s="1006">
        <f t="shared" si="1"/>
        <v>5</v>
      </c>
      <c r="C20" s="760" t="s">
        <v>1611</v>
      </c>
      <c r="D20" s="130"/>
      <c r="E20" s="113">
        <v>250000000</v>
      </c>
      <c r="F20" s="136"/>
      <c r="G20" s="1198">
        <v>6.3500000000000001E-2</v>
      </c>
      <c r="H20" s="190"/>
      <c r="I20" s="136">
        <f t="shared" si="0"/>
        <v>15875000</v>
      </c>
      <c r="J20" s="10"/>
      <c r="K20" s="10"/>
      <c r="L20" s="10"/>
    </row>
    <row r="21" spans="1:16">
      <c r="A21" s="1006">
        <f t="shared" si="1"/>
        <v>6</v>
      </c>
      <c r="C21" s="760" t="s">
        <v>1612</v>
      </c>
      <c r="D21" s="130"/>
      <c r="E21" s="113">
        <v>400000000</v>
      </c>
      <c r="F21" s="136"/>
      <c r="G21" s="1198">
        <v>5.5E-2</v>
      </c>
      <c r="H21" s="190"/>
      <c r="I21" s="136">
        <f>(E21*G21)</f>
        <v>22000000</v>
      </c>
      <c r="J21" s="10"/>
      <c r="K21" s="11"/>
      <c r="L21" s="10"/>
    </row>
    <row r="22" spans="1:16">
      <c r="A22" s="1006">
        <f t="shared" si="1"/>
        <v>7</v>
      </c>
      <c r="C22" s="760" t="s">
        <v>1613</v>
      </c>
      <c r="D22" s="130"/>
      <c r="E22" s="113">
        <v>450000000</v>
      </c>
      <c r="F22" s="136"/>
      <c r="G22" s="1198">
        <v>8.5000000000000006E-2</v>
      </c>
      <c r="H22" s="190"/>
      <c r="I22" s="136">
        <f t="shared" si="0"/>
        <v>38250000</v>
      </c>
      <c r="J22" s="10"/>
      <c r="K22" s="10"/>
      <c r="L22" s="10"/>
    </row>
    <row r="23" spans="1:16">
      <c r="A23" s="1006">
        <f t="shared" si="1"/>
        <v>8</v>
      </c>
      <c r="C23" s="760" t="s">
        <v>1614</v>
      </c>
      <c r="D23" s="130"/>
      <c r="E23" s="113">
        <v>500000000</v>
      </c>
      <c r="F23" s="136"/>
      <c r="G23" s="1198">
        <v>4.1500000000000002E-2</v>
      </c>
      <c r="H23" s="190"/>
      <c r="I23" s="136">
        <f t="shared" si="0"/>
        <v>20750000</v>
      </c>
    </row>
    <row r="24" spans="1:16">
      <c r="A24" s="1006">
        <f t="shared" si="1"/>
        <v>9</v>
      </c>
      <c r="C24" s="760" t="s">
        <v>1615</v>
      </c>
      <c r="D24" s="130"/>
      <c r="E24" s="113">
        <v>500000000</v>
      </c>
      <c r="F24" s="136"/>
      <c r="G24" s="1198">
        <v>4.1250000000000002E-2</v>
      </c>
      <c r="H24" s="190"/>
      <c r="I24" s="573">
        <f t="shared" si="0"/>
        <v>20625000</v>
      </c>
    </row>
    <row r="25" spans="1:16">
      <c r="A25" s="1006">
        <f t="shared" si="1"/>
        <v>10</v>
      </c>
      <c r="C25" s="760" t="s">
        <v>101</v>
      </c>
      <c r="D25" s="130"/>
      <c r="E25" s="914">
        <f>SUM(E16:E24)</f>
        <v>2460000000</v>
      </c>
      <c r="F25" s="136"/>
      <c r="G25" s="1198"/>
      <c r="H25" s="130"/>
      <c r="I25" s="547">
        <f>SUM(I16:I24)</f>
        <v>140192000</v>
      </c>
    </row>
    <row r="26" spans="1:16">
      <c r="A26" s="1006">
        <f t="shared" si="1"/>
        <v>11</v>
      </c>
      <c r="C26" s="760"/>
      <c r="D26" s="130"/>
      <c r="E26" s="547"/>
      <c r="F26" s="136"/>
      <c r="G26" s="1198"/>
      <c r="H26" s="130"/>
      <c r="I26" s="136"/>
      <c r="M26" s="10"/>
      <c r="N26" s="10"/>
      <c r="O26" s="548"/>
      <c r="P26" s="10"/>
    </row>
    <row r="27" spans="1:16">
      <c r="A27" s="1006">
        <f t="shared" si="1"/>
        <v>12</v>
      </c>
      <c r="C27" s="760" t="s">
        <v>1360</v>
      </c>
      <c r="D27" s="130"/>
      <c r="E27" s="547"/>
      <c r="F27" s="136"/>
      <c r="G27" s="1198"/>
      <c r="H27" s="130"/>
      <c r="I27" s="547">
        <v>4681606.9570000023</v>
      </c>
      <c r="J27" s="794"/>
      <c r="O27" s="548"/>
    </row>
    <row r="28" spans="1:16">
      <c r="A28" s="1006">
        <f t="shared" si="1"/>
        <v>13</v>
      </c>
      <c r="C28" s="760" t="s">
        <v>1361</v>
      </c>
      <c r="D28" s="130"/>
      <c r="E28" s="547">
        <v>-4647441.7666666694</v>
      </c>
      <c r="F28" s="130"/>
      <c r="G28" s="753"/>
      <c r="H28" s="130"/>
      <c r="I28" s="114"/>
      <c r="M28" s="10"/>
      <c r="N28" s="10"/>
      <c r="O28" s="548"/>
      <c r="P28" s="10"/>
    </row>
    <row r="29" spans="1:16">
      <c r="A29" s="1006">
        <f t="shared" si="1"/>
        <v>14</v>
      </c>
      <c r="C29" s="760"/>
      <c r="D29" s="130"/>
      <c r="E29" s="452"/>
      <c r="F29" s="130"/>
      <c r="G29" s="1200"/>
      <c r="H29" s="130"/>
      <c r="I29" s="136"/>
      <c r="M29" s="10"/>
      <c r="N29" s="10"/>
      <c r="O29" s="548"/>
      <c r="P29" s="10"/>
    </row>
    <row r="30" spans="1:16">
      <c r="A30" s="1006">
        <f t="shared" si="1"/>
        <v>15</v>
      </c>
      <c r="C30" s="4"/>
      <c r="E30" s="97"/>
      <c r="G30" s="152"/>
      <c r="I30" s="10"/>
      <c r="M30" s="10"/>
      <c r="N30" s="10"/>
      <c r="O30" s="548"/>
      <c r="P30" s="10"/>
    </row>
    <row r="31" spans="1:16">
      <c r="A31" s="1006">
        <f t="shared" si="1"/>
        <v>16</v>
      </c>
      <c r="C31" s="4"/>
      <c r="E31" s="97"/>
      <c r="G31" s="151"/>
      <c r="I31" s="10"/>
      <c r="M31" s="10"/>
      <c r="N31" s="10"/>
      <c r="O31" s="548"/>
      <c r="P31" s="10"/>
    </row>
    <row r="32" spans="1:16">
      <c r="A32" s="1006">
        <f t="shared" si="1"/>
        <v>17</v>
      </c>
      <c r="E32" s="62"/>
      <c r="M32" s="10"/>
      <c r="N32" s="10"/>
      <c r="O32" s="548"/>
      <c r="P32" s="10"/>
    </row>
    <row r="33" spans="1:15" ht="16.5" thickBot="1">
      <c r="A33" s="1006">
        <f t="shared" si="1"/>
        <v>18</v>
      </c>
      <c r="C33" s="4" t="s">
        <v>1200</v>
      </c>
      <c r="E33" s="171">
        <f>+E25+E28</f>
        <v>2455352558.2333331</v>
      </c>
      <c r="I33" s="137">
        <f>+I25+I27</f>
        <v>144873606.95700002</v>
      </c>
      <c r="K33" s="172">
        <f>+I33/E33</f>
        <v>5.9003179185493013E-2</v>
      </c>
      <c r="O33" s="548"/>
    </row>
    <row r="34" spans="1:15" ht="15.75" thickTop="1">
      <c r="E34" s="10"/>
      <c r="O34" s="548"/>
    </row>
    <row r="36" spans="1:15">
      <c r="A36" s="2"/>
      <c r="C36" s="4"/>
      <c r="E36"/>
    </row>
    <row r="37" spans="1:15">
      <c r="C37" s="4" t="s">
        <v>332</v>
      </c>
      <c r="E37" s="10"/>
    </row>
    <row r="38" spans="1:15">
      <c r="E38" s="10"/>
    </row>
    <row r="39" spans="1:15">
      <c r="E39" s="10"/>
      <c r="F39" s="10"/>
      <c r="G39" s="25"/>
      <c r="H39" s="3"/>
      <c r="I39" s="10"/>
      <c r="J39" s="10"/>
      <c r="K39" s="10"/>
      <c r="L39" s="10"/>
    </row>
    <row r="40" spans="1:15">
      <c r="E40" s="10"/>
    </row>
    <row r="41" spans="1:15">
      <c r="E41" s="10"/>
      <c r="F41" s="10"/>
      <c r="G41" s="10"/>
      <c r="H41" s="3"/>
      <c r="I41" s="10"/>
      <c r="J41" s="10"/>
      <c r="K41" s="10"/>
      <c r="L41" s="10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75" right="0.42" top="1.24" bottom="1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107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2015-00343</v>
      </c>
    </row>
    <row r="3" spans="1:19">
      <c r="A3" s="15"/>
      <c r="J3" s="2" t="s">
        <v>1</v>
      </c>
    </row>
    <row r="4" spans="1:19">
      <c r="A4" s="15"/>
      <c r="J4" s="935"/>
    </row>
    <row r="5" spans="1:19">
      <c r="Q5" s="488"/>
      <c r="S5" s="488" t="s">
        <v>1508</v>
      </c>
    </row>
    <row r="6" spans="1:19">
      <c r="A6" s="4" t="s">
        <v>581</v>
      </c>
      <c r="Q6" s="4"/>
      <c r="S6" s="645" t="s">
        <v>48</v>
      </c>
    </row>
    <row r="7" spans="1:19">
      <c r="A7" s="4" t="s">
        <v>1142</v>
      </c>
      <c r="Q7" s="4"/>
      <c r="S7" s="645" t="s">
        <v>871</v>
      </c>
    </row>
    <row r="8" spans="1:19">
      <c r="A8" s="5" t="s">
        <v>375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646" t="str">
        <f>'J-1 Base'!$M$9</f>
        <v>Witness:  Waller</v>
      </c>
    </row>
    <row r="10" spans="1:19">
      <c r="I10" s="2" t="s">
        <v>364</v>
      </c>
      <c r="M10" s="2" t="s">
        <v>367</v>
      </c>
    </row>
    <row r="11" spans="1:19">
      <c r="A11" s="2" t="s">
        <v>98</v>
      </c>
      <c r="C11" s="2" t="s">
        <v>408</v>
      </c>
      <c r="E11" s="2" t="s">
        <v>35</v>
      </c>
      <c r="G11" s="2" t="s">
        <v>109</v>
      </c>
      <c r="I11" s="2" t="s">
        <v>365</v>
      </c>
      <c r="K11" s="2" t="s">
        <v>362</v>
      </c>
      <c r="M11" s="2" t="s">
        <v>368</v>
      </c>
      <c r="O11" s="2" t="s">
        <v>370</v>
      </c>
      <c r="Q11" s="2" t="s">
        <v>1178</v>
      </c>
      <c r="S11" s="2" t="s">
        <v>373</v>
      </c>
    </row>
    <row r="12" spans="1:19">
      <c r="A12" s="2" t="s">
        <v>104</v>
      </c>
      <c r="C12" s="2" t="s">
        <v>513</v>
      </c>
      <c r="E12" s="2" t="s">
        <v>363</v>
      </c>
      <c r="G12" s="2" t="s">
        <v>359</v>
      </c>
      <c r="I12" s="2" t="s">
        <v>366</v>
      </c>
      <c r="K12" s="2" t="s">
        <v>275</v>
      </c>
      <c r="L12" s="16"/>
      <c r="M12" s="2" t="s">
        <v>369</v>
      </c>
      <c r="O12" s="2" t="s">
        <v>371</v>
      </c>
      <c r="Q12" s="2" t="s">
        <v>372</v>
      </c>
      <c r="S12" s="2" t="s">
        <v>374</v>
      </c>
    </row>
    <row r="13" spans="1:19">
      <c r="A13" s="6"/>
      <c r="B13" s="6"/>
      <c r="C13" s="6"/>
      <c r="D13" s="6"/>
      <c r="E13" s="9" t="s">
        <v>1101</v>
      </c>
      <c r="F13" s="6"/>
      <c r="G13" s="9" t="s">
        <v>1102</v>
      </c>
      <c r="H13" s="6"/>
      <c r="I13" s="9" t="s">
        <v>1103</v>
      </c>
      <c r="J13" s="6"/>
      <c r="K13" s="9" t="s">
        <v>15</v>
      </c>
      <c r="L13" s="6"/>
      <c r="M13" s="9" t="s">
        <v>39</v>
      </c>
      <c r="N13" s="6"/>
      <c r="O13" s="9" t="s">
        <v>539</v>
      </c>
      <c r="P13" s="6"/>
      <c r="Q13" s="9" t="s">
        <v>40</v>
      </c>
      <c r="R13" s="6"/>
      <c r="S13" s="9" t="s">
        <v>629</v>
      </c>
    </row>
    <row r="15" spans="1:19">
      <c r="F15" s="10"/>
      <c r="G15" s="10"/>
      <c r="H15" s="11"/>
      <c r="I15" s="3"/>
      <c r="J15" s="3"/>
      <c r="K15" s="24" t="s">
        <v>402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4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F16" sqref="F16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0.44140625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0.441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7.88671875" style="1" customWidth="1"/>
    <col min="21" max="21" width="2.44140625" style="1" customWidth="1"/>
    <col min="22" max="22" width="8.44140625" style="1" customWidth="1"/>
    <col min="23" max="23" width="6.77734375" style="1" bestFit="1" customWidth="1"/>
    <col min="24" max="24" width="9.44140625" style="1" bestFit="1" customWidth="1"/>
    <col min="25" max="16384" width="10.109375" style="1"/>
  </cols>
  <sheetData>
    <row r="1" spans="1:23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</row>
    <row r="2" spans="1:23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</row>
    <row r="3" spans="1:23">
      <c r="A3" s="1263" t="s">
        <v>1601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3"/>
      <c r="R3" s="1263"/>
      <c r="S3" s="1263"/>
      <c r="T3" s="1263"/>
      <c r="U3" s="1263"/>
      <c r="V3" s="1263"/>
    </row>
    <row r="4" spans="1:23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</row>
    <row r="5" spans="1:23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1263"/>
      <c r="T5" s="1263"/>
      <c r="U5" s="1263"/>
      <c r="V5" s="1263"/>
    </row>
    <row r="6" spans="1:23">
      <c r="L6" s="2"/>
    </row>
    <row r="8" spans="1:23">
      <c r="A8" s="4" t="s">
        <v>203</v>
      </c>
      <c r="V8" s="488" t="s">
        <v>1508</v>
      </c>
    </row>
    <row r="9" spans="1:23">
      <c r="A9" s="95" t="s">
        <v>631</v>
      </c>
      <c r="T9" s="4"/>
      <c r="V9" s="645" t="s">
        <v>793</v>
      </c>
    </row>
    <row r="10" spans="1:23" ht="16.5" thickBot="1">
      <c r="A10" s="5" t="s">
        <v>375</v>
      </c>
      <c r="B10" s="6"/>
      <c r="C10" s="6"/>
      <c r="D10" s="6"/>
      <c r="E10" s="6"/>
      <c r="F10" s="6"/>
      <c r="G10" s="6"/>
      <c r="H10" s="47"/>
      <c r="I10" s="47"/>
      <c r="J10" s="47"/>
      <c r="K10" s="47"/>
      <c r="L10" s="47"/>
      <c r="M10" s="47"/>
      <c r="N10" s="228" t="s">
        <v>518</v>
      </c>
      <c r="O10" s="227"/>
      <c r="P10" s="227"/>
      <c r="Q10" s="47"/>
      <c r="R10" s="47"/>
      <c r="S10" s="47"/>
      <c r="T10" s="5"/>
      <c r="U10" s="47"/>
      <c r="V10" s="646" t="str">
        <f>'J-1 Base'!$M$9</f>
        <v>Witness:  Waller</v>
      </c>
      <c r="W10" s="6"/>
    </row>
    <row r="11" spans="1:23" ht="15.75">
      <c r="H11" s="140" t="s">
        <v>333</v>
      </c>
      <c r="I11" s="141"/>
      <c r="J11" s="141"/>
      <c r="K11" s="141"/>
      <c r="L11" s="141"/>
      <c r="M11" s="141"/>
      <c r="N11" s="142"/>
      <c r="O11"/>
      <c r="P11" s="140" t="s">
        <v>334</v>
      </c>
      <c r="Q11" s="141"/>
      <c r="R11" s="141"/>
      <c r="S11" s="141"/>
      <c r="T11" s="141"/>
      <c r="U11" s="141"/>
      <c r="V11" s="142"/>
      <c r="W11" s="16"/>
    </row>
    <row r="12" spans="1:23">
      <c r="A12" s="2" t="s">
        <v>98</v>
      </c>
      <c r="F12" s="2" t="s">
        <v>100</v>
      </c>
      <c r="H12" s="143"/>
      <c r="I12" s="47"/>
      <c r="J12" s="46" t="s">
        <v>108</v>
      </c>
      <c r="K12" s="47"/>
      <c r="L12" s="47"/>
      <c r="M12" s="47"/>
      <c r="N12" s="144" t="s">
        <v>358</v>
      </c>
      <c r="P12" s="143"/>
      <c r="Q12" s="47"/>
      <c r="R12" s="46" t="s">
        <v>108</v>
      </c>
      <c r="S12" s="47"/>
      <c r="T12" s="47"/>
      <c r="U12" s="47"/>
      <c r="V12" s="144" t="s">
        <v>358</v>
      </c>
    </row>
    <row r="13" spans="1:23" ht="15.75" thickBot="1">
      <c r="A13" s="9" t="s">
        <v>104</v>
      </c>
      <c r="B13" s="6"/>
      <c r="C13" s="5" t="s">
        <v>357</v>
      </c>
      <c r="D13" s="6"/>
      <c r="E13" s="6"/>
      <c r="F13" s="9" t="s">
        <v>106</v>
      </c>
      <c r="G13" s="6"/>
      <c r="H13" s="145" t="s">
        <v>109</v>
      </c>
      <c r="I13" s="146"/>
      <c r="J13" s="147" t="s">
        <v>42</v>
      </c>
      <c r="K13" s="146"/>
      <c r="L13" s="147" t="s">
        <v>1178</v>
      </c>
      <c r="M13" s="146"/>
      <c r="N13" s="148" t="s">
        <v>0</v>
      </c>
      <c r="O13" s="47"/>
      <c r="P13" s="145" t="s">
        <v>109</v>
      </c>
      <c r="Q13" s="146"/>
      <c r="R13" s="147" t="s">
        <v>42</v>
      </c>
      <c r="S13" s="146"/>
      <c r="T13" s="147" t="s">
        <v>1178</v>
      </c>
      <c r="U13" s="146"/>
      <c r="V13" s="148" t="s">
        <v>0</v>
      </c>
      <c r="W13" s="6"/>
    </row>
    <row r="14" spans="1:23">
      <c r="F14" s="2" t="s">
        <v>1101</v>
      </c>
      <c r="H14" s="2" t="s">
        <v>1102</v>
      </c>
      <c r="J14" s="2" t="s">
        <v>1103</v>
      </c>
      <c r="L14" s="2" t="s">
        <v>15</v>
      </c>
      <c r="N14" s="2" t="s">
        <v>39</v>
      </c>
      <c r="O14" s="47"/>
      <c r="P14" s="2" t="s">
        <v>331</v>
      </c>
      <c r="R14" s="2" t="s">
        <v>40</v>
      </c>
      <c r="T14" s="2" t="s">
        <v>637</v>
      </c>
      <c r="V14" s="2" t="s">
        <v>638</v>
      </c>
    </row>
    <row r="15" spans="1:23">
      <c r="H15" s="2" t="s">
        <v>639</v>
      </c>
      <c r="J15" s="2" t="s">
        <v>154</v>
      </c>
      <c r="L15" s="2" t="s">
        <v>154</v>
      </c>
      <c r="N15" s="2" t="s">
        <v>154</v>
      </c>
      <c r="P15" s="2" t="s">
        <v>639</v>
      </c>
      <c r="R15" s="2" t="s">
        <v>154</v>
      </c>
      <c r="T15" s="2" t="s">
        <v>154</v>
      </c>
      <c r="V15" s="2" t="s">
        <v>154</v>
      </c>
    </row>
    <row r="17" spans="1:24">
      <c r="A17" s="2" t="s">
        <v>376</v>
      </c>
      <c r="C17" s="4" t="s">
        <v>277</v>
      </c>
      <c r="F17" s="10"/>
      <c r="G17" s="10"/>
      <c r="H17" s="113">
        <f>+'J-2 B'!F20</f>
        <v>415875.57768141665</v>
      </c>
      <c r="I17" s="113"/>
      <c r="J17" s="1203">
        <f>ROUND(H17/$H$29,4)</f>
        <v>6.8099999999999994E-2</v>
      </c>
      <c r="K17" s="113"/>
      <c r="L17" s="170">
        <f>+'J-2 B'!L20</f>
        <v>9.4300720778860338E-3</v>
      </c>
      <c r="M17" s="113"/>
      <c r="N17" s="170">
        <f>+J17*L17</f>
        <v>6.4218790850403883E-4</v>
      </c>
      <c r="O17" s="113"/>
      <c r="P17" s="113">
        <v>248480.49283154123</v>
      </c>
      <c r="Q17" s="113"/>
      <c r="R17" s="1203">
        <f>ROUND(P17/$P$29,4)</f>
        <v>4.2599999999999999E-2</v>
      </c>
      <c r="S17" s="113"/>
      <c r="T17" s="170">
        <f>'J-2 F'!L29</f>
        <v>1.2483195027458949E-2</v>
      </c>
      <c r="U17" s="1203"/>
      <c r="V17" s="170">
        <f>ROUND(R17*T17,4)</f>
        <v>5.0000000000000001E-4</v>
      </c>
      <c r="W17" s="68"/>
      <c r="X17" s="68"/>
    </row>
    <row r="18" spans="1:24">
      <c r="F18" s="10"/>
      <c r="G18" s="10"/>
      <c r="H18" s="113"/>
      <c r="I18" s="113"/>
      <c r="J18" s="113"/>
      <c r="K18" s="113"/>
      <c r="L18" s="170"/>
      <c r="M18" s="113"/>
      <c r="N18" s="170"/>
      <c r="O18" s="113"/>
      <c r="P18" s="113"/>
      <c r="Q18" s="113"/>
      <c r="R18" s="1203"/>
      <c r="S18" s="113"/>
      <c r="T18" s="170"/>
      <c r="U18" s="1203"/>
      <c r="V18" s="170"/>
      <c r="W18" s="68"/>
    </row>
    <row r="19" spans="1:24">
      <c r="A19" s="2" t="s">
        <v>378</v>
      </c>
      <c r="C19" s="4" t="s">
        <v>278</v>
      </c>
      <c r="F19" s="10"/>
      <c r="G19" s="10"/>
      <c r="H19" s="173">
        <f>'J-1 Base'!G21</f>
        <v>2455352.5582333333</v>
      </c>
      <c r="I19" s="113"/>
      <c r="J19" s="1204">
        <f>ROUND(H19/$H$29,5)</f>
        <v>0.40200000000000002</v>
      </c>
      <c r="K19" s="113"/>
      <c r="L19" s="170">
        <f>ROUND('J-3 B'!K33,4)</f>
        <v>5.8999999999999997E-2</v>
      </c>
      <c r="M19" s="113"/>
      <c r="N19" s="1205">
        <f>+J19*L19</f>
        <v>2.3717999999999999E-2</v>
      </c>
      <c r="O19" s="113"/>
      <c r="P19" s="173">
        <v>2455326.2090518805</v>
      </c>
      <c r="Q19" s="113"/>
      <c r="R19" s="1204">
        <f>ROUND(P19/$P$29,4)</f>
        <v>0.42070000000000002</v>
      </c>
      <c r="S19" s="113"/>
      <c r="T19" s="170">
        <f>ROUND('J-3 F'!K33,4)</f>
        <v>5.8999999999999997E-2</v>
      </c>
      <c r="U19" s="1203"/>
      <c r="V19" s="1206">
        <f>ROUND(R19*T19,4)</f>
        <v>2.4799999999999999E-2</v>
      </c>
      <c r="W19" s="68"/>
      <c r="X19" s="68"/>
    </row>
    <row r="20" spans="1:24">
      <c r="F20" s="10"/>
      <c r="G20" s="10"/>
      <c r="H20" s="113"/>
      <c r="I20" s="113"/>
      <c r="J20" s="113"/>
      <c r="K20" s="113"/>
      <c r="L20" s="170"/>
      <c r="M20" s="113"/>
      <c r="N20" s="170"/>
      <c r="O20" s="113"/>
      <c r="P20" s="113"/>
      <c r="Q20" s="113"/>
      <c r="R20" s="113"/>
      <c r="S20" s="113"/>
      <c r="T20" s="170"/>
      <c r="U20" s="1203"/>
      <c r="V20" s="170"/>
      <c r="W20" s="68"/>
    </row>
    <row r="21" spans="1:24">
      <c r="A21" s="2" t="s">
        <v>380</v>
      </c>
      <c r="C21" s="4" t="s">
        <v>412</v>
      </c>
      <c r="F21" s="10"/>
      <c r="G21" s="10"/>
      <c r="H21" s="113">
        <f>H17+H19</f>
        <v>2871228.1359147499</v>
      </c>
      <c r="I21" s="113"/>
      <c r="J21" s="1203">
        <f>J17+J19</f>
        <v>0.47010000000000002</v>
      </c>
      <c r="K21" s="113"/>
      <c r="L21" s="170"/>
      <c r="M21" s="113"/>
      <c r="N21" s="170">
        <f>N17+N19</f>
        <v>2.4360187908504038E-2</v>
      </c>
      <c r="O21" s="113"/>
      <c r="P21" s="113">
        <f>P17+P19</f>
        <v>2703806.7018834217</v>
      </c>
      <c r="Q21" s="113"/>
      <c r="R21" s="1203">
        <f>R17+R19</f>
        <v>0.46330000000000005</v>
      </c>
      <c r="S21" s="113"/>
      <c r="T21" s="170"/>
      <c r="U21" s="1203"/>
      <c r="V21" s="170">
        <f>V17+V19</f>
        <v>2.53E-2</v>
      </c>
      <c r="W21" s="68"/>
      <c r="X21" s="90"/>
    </row>
    <row r="22" spans="1:24">
      <c r="F22" s="10"/>
      <c r="G22" s="10"/>
      <c r="H22" s="113"/>
      <c r="I22" s="113"/>
      <c r="J22" s="113"/>
      <c r="K22" s="113"/>
      <c r="L22" s="170"/>
      <c r="M22" s="113"/>
      <c r="N22" s="170"/>
      <c r="O22" s="113"/>
      <c r="P22" s="113"/>
      <c r="Q22" s="113"/>
      <c r="R22" s="113"/>
      <c r="S22" s="113"/>
      <c r="T22" s="170"/>
      <c r="U22" s="1203"/>
      <c r="V22" s="170"/>
      <c r="W22" s="68"/>
    </row>
    <row r="23" spans="1:24">
      <c r="A23" s="2" t="s">
        <v>381</v>
      </c>
      <c r="C23" s="4" t="s">
        <v>279</v>
      </c>
      <c r="F23" s="10"/>
      <c r="G23" s="10"/>
      <c r="H23" s="113">
        <v>0</v>
      </c>
      <c r="I23" s="113"/>
      <c r="J23" s="1203">
        <f>ROUND(H23/$H$29,4)</f>
        <v>0</v>
      </c>
      <c r="K23" s="113"/>
      <c r="L23" s="170">
        <v>0</v>
      </c>
      <c r="M23" s="113"/>
      <c r="N23" s="170">
        <f>+J23*L23</f>
        <v>0</v>
      </c>
      <c r="O23" s="113"/>
      <c r="P23" s="113">
        <v>0</v>
      </c>
      <c r="Q23" s="113"/>
      <c r="R23" s="1203">
        <f>ROUND(P23/$P$29,4)</f>
        <v>0</v>
      </c>
      <c r="S23" s="113"/>
      <c r="T23" s="170">
        <v>0</v>
      </c>
      <c r="U23" s="1203"/>
      <c r="V23" s="170">
        <f>ROUND(R23*T23,4)</f>
        <v>0</v>
      </c>
      <c r="W23" s="68"/>
    </row>
    <row r="24" spans="1:24">
      <c r="H24" s="113"/>
      <c r="I24" s="123"/>
      <c r="J24" s="123"/>
      <c r="K24" s="123"/>
      <c r="L24" s="170"/>
      <c r="M24" s="123"/>
      <c r="N24" s="1207"/>
      <c r="O24" s="123"/>
      <c r="P24" s="113"/>
      <c r="Q24" s="123"/>
      <c r="R24" s="123"/>
      <c r="S24" s="123"/>
      <c r="T24" s="170"/>
      <c r="U24" s="1208"/>
      <c r="V24" s="1207"/>
      <c r="W24" s="68"/>
    </row>
    <row r="25" spans="1:24">
      <c r="A25" s="2" t="s">
        <v>382</v>
      </c>
      <c r="C25" s="4" t="s">
        <v>280</v>
      </c>
      <c r="H25" s="113">
        <v>3236641.9515410024</v>
      </c>
      <c r="I25" s="123"/>
      <c r="J25" s="1203">
        <f>ROUND(H25/$H$29,5)</f>
        <v>0.52990999999999999</v>
      </c>
      <c r="K25" s="123"/>
      <c r="L25" s="170">
        <f>Allocation!E25</f>
        <v>9.8000000000000004E-2</v>
      </c>
      <c r="M25" s="123"/>
      <c r="N25" s="170">
        <f>+J25*L25</f>
        <v>5.193118E-2</v>
      </c>
      <c r="O25" s="123"/>
      <c r="P25" s="113">
        <v>3132773.0361461542</v>
      </c>
      <c r="Q25" s="123"/>
      <c r="R25" s="1203">
        <f>+ROUND(P25/P29,5)</f>
        <v>0.53674999999999995</v>
      </c>
      <c r="S25" s="123"/>
      <c r="T25" s="170">
        <f>L25</f>
        <v>9.8000000000000004E-2</v>
      </c>
      <c r="U25" s="1208"/>
      <c r="V25" s="170">
        <f>ROUND(R25*T25,4)</f>
        <v>5.2600000000000001E-2</v>
      </c>
      <c r="W25" s="68"/>
      <c r="X25" s="68"/>
    </row>
    <row r="26" spans="1:24">
      <c r="H26" s="113"/>
      <c r="I26" s="123"/>
      <c r="J26" s="123"/>
      <c r="K26" s="123"/>
      <c r="L26" s="170"/>
      <c r="M26" s="123"/>
      <c r="N26" s="1207"/>
      <c r="O26" s="123"/>
      <c r="P26" s="113"/>
      <c r="Q26" s="123"/>
      <c r="R26" s="123"/>
      <c r="S26" s="123"/>
      <c r="T26" s="170"/>
      <c r="U26" s="1208"/>
      <c r="V26" s="1207"/>
      <c r="W26" s="68"/>
    </row>
    <row r="27" spans="1:24">
      <c r="A27" s="2" t="s">
        <v>383</v>
      </c>
      <c r="C27" s="4" t="s">
        <v>447</v>
      </c>
      <c r="H27" s="173">
        <v>0</v>
      </c>
      <c r="I27" s="123"/>
      <c r="J27" s="1209">
        <f>ROUND(H27/$H$29,4)</f>
        <v>0</v>
      </c>
      <c r="K27" s="123"/>
      <c r="L27" s="170">
        <v>0</v>
      </c>
      <c r="M27" s="123"/>
      <c r="N27" s="1205">
        <f>+J27*L27</f>
        <v>0</v>
      </c>
      <c r="O27" s="123"/>
      <c r="P27" s="173">
        <v>0</v>
      </c>
      <c r="Q27" s="123"/>
      <c r="R27" s="1209">
        <f>ROUND(P27/$H$29,4)</f>
        <v>0</v>
      </c>
      <c r="S27" s="123"/>
      <c r="T27" s="170">
        <v>0</v>
      </c>
      <c r="U27" s="1208"/>
      <c r="V27" s="1206">
        <f>ROUND(R27*T27,4)</f>
        <v>0</v>
      </c>
      <c r="W27" s="68"/>
    </row>
    <row r="28" spans="1:24">
      <c r="H28" s="113"/>
      <c r="I28" s="123"/>
      <c r="J28" s="123"/>
      <c r="K28" s="123"/>
      <c r="L28" s="170"/>
      <c r="M28" s="123"/>
      <c r="N28" s="123"/>
      <c r="O28" s="123"/>
      <c r="P28" s="113"/>
      <c r="Q28" s="123"/>
      <c r="R28" s="123"/>
      <c r="S28" s="123"/>
      <c r="T28" s="1203"/>
      <c r="U28" s="1208"/>
      <c r="V28" s="1208"/>
      <c r="W28" s="207"/>
    </row>
    <row r="29" spans="1:24" ht="15.75" thickBot="1">
      <c r="A29" s="2" t="s">
        <v>384</v>
      </c>
      <c r="C29" s="4" t="s">
        <v>413</v>
      </c>
      <c r="H29" s="1210">
        <f>H21+H25+H27</f>
        <v>6107870.0874557523</v>
      </c>
      <c r="I29" s="123"/>
      <c r="J29" s="1211">
        <f>SUM(J21:J27)</f>
        <v>1.0000100000000001</v>
      </c>
      <c r="K29" s="123"/>
      <c r="L29" s="1212"/>
      <c r="M29" s="123"/>
      <c r="N29" s="1213">
        <f>SUM(N21:N27)</f>
        <v>7.6291367908504035E-2</v>
      </c>
      <c r="O29" s="123"/>
      <c r="P29" s="1210">
        <f>SUM(P21:P27)</f>
        <v>5836579.7380295759</v>
      </c>
      <c r="Q29" s="123"/>
      <c r="R29" s="1211">
        <f>SUM(R21:R27)</f>
        <v>1.0000499999999999</v>
      </c>
      <c r="S29" s="123"/>
      <c r="T29" s="1203"/>
      <c r="U29" s="1208"/>
      <c r="V29" s="1213">
        <f>SUM(V21:V27)</f>
        <v>7.7899999999999997E-2</v>
      </c>
      <c r="W29" s="68"/>
      <c r="X29" s="20"/>
    </row>
    <row r="30" spans="1:24" ht="15.75" thickTop="1">
      <c r="H30" s="113"/>
      <c r="I30" s="123"/>
      <c r="J30" s="123"/>
      <c r="K30" s="123"/>
      <c r="L30" s="123"/>
      <c r="M30" s="123"/>
      <c r="N30" s="123"/>
      <c r="O30" s="123"/>
      <c r="P30" s="113"/>
      <c r="Q30" s="123"/>
      <c r="R30" s="123"/>
      <c r="S30" s="123"/>
      <c r="T30" s="1208"/>
      <c r="U30" s="1208"/>
      <c r="V30" s="1208"/>
    </row>
    <row r="31" spans="1:24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4"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6.5" thickBot="1">
      <c r="A35" s="45"/>
      <c r="B35" s="45"/>
      <c r="C35" s="45"/>
      <c r="D35" s="45"/>
      <c r="E35" s="45"/>
      <c r="F35" s="45"/>
      <c r="G35" s="45"/>
      <c r="H35" s="123"/>
      <c r="I35" s="123"/>
      <c r="J35" s="123"/>
      <c r="K35" s="123"/>
      <c r="L35" s="123"/>
      <c r="M35" s="123"/>
      <c r="N35" s="1201" t="s">
        <v>519</v>
      </c>
      <c r="O35" s="1214"/>
      <c r="P35" s="1214"/>
      <c r="Q35" s="123"/>
      <c r="R35" s="123"/>
      <c r="S35" s="123"/>
      <c r="T35" s="123"/>
      <c r="U35" s="123"/>
      <c r="V35" s="123"/>
    </row>
    <row r="36" spans="1:22" ht="15.75">
      <c r="H36" s="1202" t="s">
        <v>333</v>
      </c>
      <c r="I36" s="1215"/>
      <c r="J36" s="1215"/>
      <c r="K36" s="1215"/>
      <c r="L36" s="1215"/>
      <c r="M36" s="1215"/>
      <c r="N36" s="1216"/>
      <c r="O36" s="123"/>
      <c r="P36" s="1202" t="s">
        <v>334</v>
      </c>
      <c r="Q36" s="1215"/>
      <c r="R36" s="1215"/>
      <c r="S36" s="1215"/>
      <c r="T36" s="1215"/>
      <c r="U36" s="1215"/>
      <c r="V36" s="1216"/>
    </row>
    <row r="37" spans="1:22">
      <c r="A37" s="2" t="s">
        <v>98</v>
      </c>
      <c r="F37" s="2" t="s">
        <v>100</v>
      </c>
      <c r="H37" s="1217"/>
      <c r="I37" s="135"/>
      <c r="J37" s="1218" t="s">
        <v>108</v>
      </c>
      <c r="K37" s="135"/>
      <c r="L37" s="135"/>
      <c r="M37" s="135"/>
      <c r="N37" s="1219" t="s">
        <v>358</v>
      </c>
      <c r="O37" s="123"/>
      <c r="P37" s="1217"/>
      <c r="Q37" s="135"/>
      <c r="R37" s="1218" t="s">
        <v>108</v>
      </c>
      <c r="S37" s="135"/>
      <c r="T37" s="135"/>
      <c r="U37" s="135"/>
      <c r="V37" s="1219" t="s">
        <v>358</v>
      </c>
    </row>
    <row r="38" spans="1:22" ht="15.75" thickBot="1">
      <c r="A38" s="9" t="s">
        <v>104</v>
      </c>
      <c r="B38" s="6"/>
      <c r="C38" s="5" t="s">
        <v>357</v>
      </c>
      <c r="D38" s="6"/>
      <c r="E38" s="6"/>
      <c r="F38" s="9" t="s">
        <v>106</v>
      </c>
      <c r="G38" s="6"/>
      <c r="H38" s="1220" t="s">
        <v>109</v>
      </c>
      <c r="I38" s="1221"/>
      <c r="J38" s="1222" t="s">
        <v>42</v>
      </c>
      <c r="K38" s="1221"/>
      <c r="L38" s="1222" t="s">
        <v>1178</v>
      </c>
      <c r="M38" s="1221"/>
      <c r="N38" s="1223" t="s">
        <v>0</v>
      </c>
      <c r="O38" s="135"/>
      <c r="P38" s="1220" t="s">
        <v>109</v>
      </c>
      <c r="Q38" s="1221"/>
      <c r="R38" s="1222" t="s">
        <v>42</v>
      </c>
      <c r="S38" s="1221"/>
      <c r="T38" s="1222" t="s">
        <v>1178</v>
      </c>
      <c r="U38" s="1221"/>
      <c r="V38" s="1223" t="s">
        <v>0</v>
      </c>
    </row>
    <row r="39" spans="1:22">
      <c r="F39" s="2" t="s">
        <v>1101</v>
      </c>
      <c r="H39" s="1130" t="s">
        <v>1102</v>
      </c>
      <c r="I39" s="123"/>
      <c r="J39" s="1130" t="s">
        <v>1103</v>
      </c>
      <c r="K39" s="123"/>
      <c r="L39" s="1130" t="s">
        <v>15</v>
      </c>
      <c r="M39" s="123"/>
      <c r="N39" s="1130" t="s">
        <v>39</v>
      </c>
      <c r="O39" s="135"/>
      <c r="P39" s="1130" t="s">
        <v>331</v>
      </c>
      <c r="Q39" s="123"/>
      <c r="R39" s="1130" t="s">
        <v>40</v>
      </c>
      <c r="S39" s="123"/>
      <c r="T39" s="1130" t="s">
        <v>637</v>
      </c>
      <c r="U39" s="123"/>
      <c r="V39" s="1130" t="s">
        <v>638</v>
      </c>
    </row>
    <row r="40" spans="1:22">
      <c r="H40" s="1130" t="s">
        <v>639</v>
      </c>
      <c r="I40" s="123"/>
      <c r="J40" s="1130" t="s">
        <v>154</v>
      </c>
      <c r="K40" s="123"/>
      <c r="L40" s="1130" t="s">
        <v>154</v>
      </c>
      <c r="M40" s="123"/>
      <c r="N40" s="1130" t="s">
        <v>154</v>
      </c>
      <c r="O40" s="123"/>
      <c r="P40" s="1130" t="s">
        <v>639</v>
      </c>
      <c r="Q40" s="123"/>
      <c r="R40" s="1130" t="s">
        <v>154</v>
      </c>
      <c r="S40" s="123"/>
      <c r="T40" s="1130" t="s">
        <v>154</v>
      </c>
      <c r="U40" s="123"/>
      <c r="V40" s="1130" t="s">
        <v>154</v>
      </c>
    </row>
    <row r="41" spans="1:22"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</row>
    <row r="42" spans="1:22">
      <c r="A42" s="2">
        <v>8</v>
      </c>
      <c r="C42" s="4" t="s">
        <v>277</v>
      </c>
      <c r="F42" s="10"/>
      <c r="G42" s="10"/>
      <c r="H42" s="113">
        <f>+'J-2 B'!F20</f>
        <v>415875.57768141665</v>
      </c>
      <c r="I42" s="113"/>
      <c r="J42" s="1203">
        <f>ROUND(H42/$H$54,4)</f>
        <v>6.8099999999999994E-2</v>
      </c>
      <c r="K42" s="113"/>
      <c r="L42" s="170">
        <f>+'J-2 B'!L20</f>
        <v>9.4300720778860338E-3</v>
      </c>
      <c r="M42" s="113"/>
      <c r="N42" s="170">
        <f>+J42*L42</f>
        <v>6.4218790850403883E-4</v>
      </c>
      <c r="O42" s="113"/>
      <c r="P42" s="113">
        <f>+'J-2 F'!F20</f>
        <v>415875.57768141665</v>
      </c>
      <c r="Q42" s="113"/>
      <c r="R42" s="1203">
        <f>ROUND(P42/$P$54,4)</f>
        <v>6.93E-2</v>
      </c>
      <c r="S42" s="113"/>
      <c r="T42" s="170">
        <f>ROUND(+'J-2 F'!L20,4)</f>
        <v>9.4000000000000004E-3</v>
      </c>
      <c r="U42" s="1203"/>
      <c r="V42" s="170">
        <f>ROUND(R42*T42,4)</f>
        <v>6.9999999999999999E-4</v>
      </c>
    </row>
    <row r="43" spans="1:22">
      <c r="F43" s="10"/>
      <c r="G43" s="10"/>
      <c r="H43" s="113"/>
      <c r="I43" s="113"/>
      <c r="J43" s="113"/>
      <c r="K43" s="113"/>
      <c r="L43" s="170"/>
      <c r="M43" s="113"/>
      <c r="N43" s="170"/>
      <c r="O43" s="113"/>
      <c r="P43" s="113"/>
      <c r="Q43" s="113"/>
      <c r="R43" s="1203"/>
      <c r="S43" s="113"/>
      <c r="T43" s="170"/>
      <c r="U43" s="1203"/>
      <c r="V43" s="170"/>
    </row>
    <row r="44" spans="1:22">
      <c r="A44" s="2">
        <v>9</v>
      </c>
      <c r="C44" s="4" t="s">
        <v>278</v>
      </c>
      <c r="F44" s="10"/>
      <c r="G44" s="10"/>
      <c r="H44" s="173">
        <f>H19</f>
        <v>2455352.5582333333</v>
      </c>
      <c r="I44" s="113"/>
      <c r="J44" s="1204">
        <f>ROUND(H44/$H$54,5)</f>
        <v>0.40200000000000002</v>
      </c>
      <c r="K44" s="113"/>
      <c r="L44" s="170">
        <f>ROUND('J-3 B'!K33,4)</f>
        <v>5.8999999999999997E-2</v>
      </c>
      <c r="M44" s="113"/>
      <c r="N44" s="1205">
        <f>+J44*L44</f>
        <v>2.3717999999999999E-2</v>
      </c>
      <c r="O44" s="113"/>
      <c r="P44" s="173">
        <f>+'J-3 F'!E33*0.001</f>
        <v>2455780.4156833333</v>
      </c>
      <c r="Q44" s="113"/>
      <c r="R44" s="1204">
        <f>ROUND(P44/$P$54,4)</f>
        <v>0.40899999999999997</v>
      </c>
      <c r="S44" s="113"/>
      <c r="T44" s="170">
        <f>ROUND('J-3 F'!K33,4)</f>
        <v>5.8999999999999997E-2</v>
      </c>
      <c r="U44" s="1203"/>
      <c r="V44" s="1206">
        <f>ROUND(R44*T44,4)</f>
        <v>2.41E-2</v>
      </c>
    </row>
    <row r="45" spans="1:22">
      <c r="F45" s="10"/>
      <c r="G45" s="10"/>
      <c r="H45" s="113"/>
      <c r="I45" s="113"/>
      <c r="J45" s="113"/>
      <c r="K45" s="113"/>
      <c r="L45" s="170"/>
      <c r="M45" s="113"/>
      <c r="N45" s="170"/>
      <c r="O45" s="113"/>
      <c r="P45" s="113"/>
      <c r="Q45" s="113"/>
      <c r="R45" s="113"/>
      <c r="S45" s="113"/>
      <c r="T45" s="170"/>
      <c r="U45" s="1203"/>
      <c r="V45" s="170"/>
    </row>
    <row r="46" spans="1:22">
      <c r="A46" s="2">
        <v>10</v>
      </c>
      <c r="C46" s="4" t="s">
        <v>412</v>
      </c>
      <c r="F46" s="10"/>
      <c r="G46" s="10"/>
      <c r="H46" s="113">
        <f>H42+H44</f>
        <v>2871228.1359147499</v>
      </c>
      <c r="I46" s="113"/>
      <c r="J46" s="1203">
        <f>J42+J44</f>
        <v>0.47010000000000002</v>
      </c>
      <c r="K46" s="113"/>
      <c r="L46" s="170"/>
      <c r="M46" s="113"/>
      <c r="N46" s="170">
        <f>N42+N44</f>
        <v>2.4360187908504038E-2</v>
      </c>
      <c r="O46" s="113"/>
      <c r="P46" s="113">
        <f>P42+P44</f>
        <v>2871655.9933647499</v>
      </c>
      <c r="Q46" s="113"/>
      <c r="R46" s="1203">
        <f>R42+R44</f>
        <v>0.47829999999999995</v>
      </c>
      <c r="S46" s="113"/>
      <c r="T46" s="170"/>
      <c r="U46" s="1203"/>
      <c r="V46" s="170">
        <f>V42+V44</f>
        <v>2.4799999999999999E-2</v>
      </c>
    </row>
    <row r="47" spans="1:22">
      <c r="F47" s="10"/>
      <c r="G47" s="10"/>
      <c r="H47" s="113"/>
      <c r="I47" s="113"/>
      <c r="J47" s="113"/>
      <c r="K47" s="113"/>
      <c r="L47" s="170"/>
      <c r="M47" s="113"/>
      <c r="N47" s="170"/>
      <c r="O47" s="113"/>
      <c r="P47" s="113"/>
      <c r="Q47" s="113"/>
      <c r="R47" s="113"/>
      <c r="S47" s="113"/>
      <c r="T47" s="170"/>
      <c r="U47" s="1203"/>
      <c r="V47" s="170"/>
    </row>
    <row r="48" spans="1:22">
      <c r="A48" s="2">
        <v>11</v>
      </c>
      <c r="C48" s="4" t="s">
        <v>279</v>
      </c>
      <c r="F48" s="10"/>
      <c r="G48" s="10"/>
      <c r="H48" s="113">
        <v>0</v>
      </c>
      <c r="I48" s="113"/>
      <c r="J48" s="1203">
        <f>ROUND(H48/$H$54,4)</f>
        <v>0</v>
      </c>
      <c r="K48" s="113"/>
      <c r="L48" s="170">
        <v>0</v>
      </c>
      <c r="M48" s="113"/>
      <c r="N48" s="170">
        <f>+J48*L48</f>
        <v>0</v>
      </c>
      <c r="O48" s="113"/>
      <c r="P48" s="113">
        <v>0</v>
      </c>
      <c r="Q48" s="113"/>
      <c r="R48" s="1203">
        <f>ROUND(P48/$P$54,4)</f>
        <v>0</v>
      </c>
      <c r="S48" s="113"/>
      <c r="T48" s="170">
        <v>0</v>
      </c>
      <c r="U48" s="1203"/>
      <c r="V48" s="170">
        <f>ROUND(R48*T48,4)</f>
        <v>0</v>
      </c>
    </row>
    <row r="49" spans="1:22">
      <c r="H49" s="113"/>
      <c r="I49" s="123"/>
      <c r="J49" s="123"/>
      <c r="K49" s="123"/>
      <c r="L49" s="170"/>
      <c r="M49" s="123"/>
      <c r="N49" s="1207"/>
      <c r="O49" s="123"/>
      <c r="P49" s="113"/>
      <c r="Q49" s="123"/>
      <c r="R49" s="123"/>
      <c r="S49" s="123"/>
      <c r="T49" s="170"/>
      <c r="U49" s="1208"/>
      <c r="V49" s="1207"/>
    </row>
    <row r="50" spans="1:22">
      <c r="A50" s="2">
        <v>12</v>
      </c>
      <c r="C50" s="4" t="s">
        <v>280</v>
      </c>
      <c r="H50" s="113">
        <f>H25</f>
        <v>3236641.9515410024</v>
      </c>
      <c r="I50" s="123"/>
      <c r="J50" s="1203">
        <f>ROUND(H50/$H$54,5)</f>
        <v>0.52990999999999999</v>
      </c>
      <c r="K50" s="123"/>
      <c r="L50" s="170">
        <f>+N50/J50</f>
        <v>9.5287648501246963E-2</v>
      </c>
      <c r="M50" s="123"/>
      <c r="N50" s="170">
        <f>+N54-N46</f>
        <v>5.0493877817295779E-2</v>
      </c>
      <c r="O50" s="123"/>
      <c r="P50" s="113">
        <f>P25</f>
        <v>3132773.0361461542</v>
      </c>
      <c r="Q50" s="123"/>
      <c r="R50" s="1203">
        <f>+ROUND(P50/P54,5)</f>
        <v>0.52173999999999998</v>
      </c>
      <c r="S50" s="123"/>
      <c r="T50" s="170">
        <f>+V50/R50</f>
        <v>9.8516502472495882E-2</v>
      </c>
      <c r="U50" s="1208"/>
      <c r="V50" s="170">
        <f>+V54-V46</f>
        <v>5.1400000000000001E-2</v>
      </c>
    </row>
    <row r="51" spans="1:22">
      <c r="H51" s="113"/>
      <c r="I51" s="123"/>
      <c r="J51" s="123"/>
      <c r="K51" s="123"/>
      <c r="L51" s="170"/>
      <c r="M51" s="123"/>
      <c r="N51" s="1207"/>
      <c r="O51" s="123"/>
      <c r="P51" s="113"/>
      <c r="Q51" s="123"/>
      <c r="R51" s="123"/>
      <c r="S51" s="123"/>
      <c r="T51" s="170"/>
      <c r="U51" s="1208"/>
      <c r="V51" s="1207"/>
    </row>
    <row r="52" spans="1:22">
      <c r="A52" s="2">
        <v>13</v>
      </c>
      <c r="C52" s="4" t="s">
        <v>447</v>
      </c>
      <c r="H52" s="173">
        <v>0</v>
      </c>
      <c r="I52" s="123"/>
      <c r="J52" s="1209">
        <f>ROUND(H52/$H$29,4)</f>
        <v>0</v>
      </c>
      <c r="K52" s="123"/>
      <c r="L52" s="170">
        <v>0</v>
      </c>
      <c r="M52" s="123"/>
      <c r="N52" s="1205">
        <f>+J52*L52</f>
        <v>0</v>
      </c>
      <c r="O52" s="123"/>
      <c r="P52" s="173">
        <v>0</v>
      </c>
      <c r="Q52" s="123"/>
      <c r="R52" s="1209">
        <f>ROUND(P52/$H$54,4)</f>
        <v>0</v>
      </c>
      <c r="S52" s="123"/>
      <c r="T52" s="170">
        <v>0</v>
      </c>
      <c r="U52" s="1208"/>
      <c r="V52" s="1206">
        <f>ROUND(R52*T52,4)</f>
        <v>0</v>
      </c>
    </row>
    <row r="53" spans="1:22">
      <c r="H53" s="113"/>
      <c r="I53" s="123"/>
      <c r="J53" s="123"/>
      <c r="K53" s="123"/>
      <c r="L53" s="170"/>
      <c r="M53" s="123"/>
      <c r="N53" s="123"/>
      <c r="O53" s="123"/>
      <c r="P53" s="113"/>
      <c r="Q53" s="123"/>
      <c r="R53" s="123"/>
      <c r="S53" s="123"/>
      <c r="T53" s="1203"/>
      <c r="U53" s="1208"/>
      <c r="V53" s="1208"/>
    </row>
    <row r="54" spans="1:22" ht="15.75" thickBot="1">
      <c r="A54" s="2">
        <v>14</v>
      </c>
      <c r="C54" s="4" t="s">
        <v>413</v>
      </c>
      <c r="H54" s="1210">
        <f>H46+H50+H52</f>
        <v>6107870.0874557523</v>
      </c>
      <c r="I54" s="123"/>
      <c r="J54" s="1211">
        <f>SUM(J46:J52)</f>
        <v>1.0000100000000001</v>
      </c>
      <c r="K54" s="123"/>
      <c r="L54" s="1212"/>
      <c r="M54" s="123"/>
      <c r="N54" s="1213">
        <f>+C.2!D33/'B.1 B'!F27</f>
        <v>7.485406572579982E-2</v>
      </c>
      <c r="O54" s="123"/>
      <c r="P54" s="1210">
        <f>SUM(P46:P52)</f>
        <v>6004429.0295109041</v>
      </c>
      <c r="Q54" s="123"/>
      <c r="R54" s="1211">
        <f>SUM(R46:R52)</f>
        <v>1.0000399999999998</v>
      </c>
      <c r="S54" s="123"/>
      <c r="T54" s="1203"/>
      <c r="U54" s="1208"/>
      <c r="V54" s="1213">
        <f>+A.1!G20</f>
        <v>7.6200000000000004E-2</v>
      </c>
    </row>
    <row r="55" spans="1:22" ht="15.75" thickTop="1">
      <c r="H55" s="10"/>
      <c r="P55" s="10"/>
      <c r="T55" s="207"/>
      <c r="U55" s="207"/>
      <c r="V55" s="207"/>
    </row>
    <row r="56" spans="1:22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22">
      <c r="F57" s="10"/>
      <c r="G57" s="10"/>
      <c r="H57" s="10"/>
      <c r="I57" s="10"/>
      <c r="J57" s="11"/>
      <c r="K57" s="10"/>
      <c r="L57" s="3"/>
      <c r="M57" s="10"/>
      <c r="N57" s="3"/>
      <c r="O57" s="10"/>
      <c r="P57" s="10"/>
    </row>
    <row r="58" spans="1:22">
      <c r="F58" s="10"/>
      <c r="G58" s="10"/>
      <c r="H58" s="10"/>
      <c r="I58" s="10"/>
      <c r="J58" s="10"/>
      <c r="K58" s="10"/>
      <c r="L58" s="3"/>
      <c r="M58" s="10"/>
      <c r="N58" s="10"/>
      <c r="O58" s="10"/>
      <c r="P58" s="10"/>
    </row>
    <row r="59" spans="1:22">
      <c r="F59" s="10"/>
      <c r="G59" s="10"/>
      <c r="H59" s="10"/>
      <c r="I59" s="10"/>
      <c r="J59" s="11"/>
      <c r="K59" s="10"/>
      <c r="L59" s="3"/>
      <c r="M59" s="10"/>
      <c r="N59" s="3"/>
      <c r="O59" s="10"/>
      <c r="P59" s="10"/>
    </row>
    <row r="60" spans="1:22">
      <c r="F60" s="10"/>
      <c r="G60" s="10"/>
      <c r="H60" s="10"/>
      <c r="I60" s="10"/>
      <c r="J60" s="10"/>
      <c r="K60" s="10"/>
      <c r="L60" s="3"/>
      <c r="M60" s="10"/>
      <c r="N60" s="10"/>
      <c r="O60" s="10"/>
      <c r="P60" s="10"/>
    </row>
    <row r="61" spans="1:22">
      <c r="F61" s="10"/>
      <c r="G61" s="10"/>
      <c r="H61" s="10"/>
      <c r="I61" s="10"/>
      <c r="J61" s="11"/>
      <c r="K61" s="10"/>
      <c r="L61" s="3"/>
      <c r="M61" s="10"/>
      <c r="N61" s="3"/>
      <c r="O61" s="10"/>
      <c r="P61" s="10"/>
    </row>
    <row r="62" spans="1:22">
      <c r="F62" s="10"/>
      <c r="G62" s="10"/>
      <c r="H62" s="10"/>
      <c r="I62" s="10"/>
      <c r="J62" s="10"/>
      <c r="K62" s="10"/>
      <c r="L62" s="10"/>
      <c r="M62" s="10"/>
      <c r="N62" s="10"/>
      <c r="O62" s="10"/>
    </row>
  </sheetData>
  <mergeCells count="5">
    <mergeCell ref="A5:V5"/>
    <mergeCell ref="A1:V1"/>
    <mergeCell ref="A2:V2"/>
    <mergeCell ref="A3:V3"/>
    <mergeCell ref="A4:V4"/>
  </mergeCells>
  <phoneticPr fontId="24" type="noConversion"/>
  <printOptions horizontalCentered="1"/>
  <pageMargins left="0.74" right="0.43" top="0.91" bottom="1" header="0.5" footer="0.5"/>
  <pageSetup scale="63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FFFF00"/>
    <pageSetUpPr fitToPage="1"/>
  </sheetPr>
  <dimension ref="A1:W29"/>
  <sheetViews>
    <sheetView view="pageBreakPreview" zoomScale="60" zoomScaleNormal="90" workbookViewId="0">
      <selection sqref="A1:M1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O1" s="10"/>
    </row>
    <row r="2" spans="1:23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</row>
    <row r="3" spans="1:23">
      <c r="A3" s="1263" t="s">
        <v>2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</row>
    <row r="4" spans="1:23">
      <c r="A4" s="1263" t="s">
        <v>1410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</row>
    <row r="7" spans="1:23">
      <c r="A7" s="4" t="s">
        <v>1167</v>
      </c>
      <c r="M7" s="488" t="s">
        <v>1508</v>
      </c>
    </row>
    <row r="8" spans="1:23">
      <c r="A8" s="95" t="s">
        <v>631</v>
      </c>
      <c r="K8" s="4"/>
      <c r="M8" s="645" t="s">
        <v>793</v>
      </c>
    </row>
    <row r="9" spans="1:23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646" t="str">
        <f>'J-1 Base'!$M$9</f>
        <v>Witness:  Waller</v>
      </c>
    </row>
    <row r="10" spans="1:23">
      <c r="L10" s="16"/>
      <c r="M10" s="16"/>
      <c r="N10" s="16"/>
    </row>
    <row r="11" spans="1:23">
      <c r="A11" s="2" t="s">
        <v>98</v>
      </c>
      <c r="E11" s="2" t="s">
        <v>100</v>
      </c>
      <c r="I11" s="2" t="s">
        <v>108</v>
      </c>
      <c r="M11" s="2" t="s">
        <v>358</v>
      </c>
    </row>
    <row r="12" spans="1:23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  <c r="O12" s="1071"/>
      <c r="P12" s="10"/>
      <c r="Q12" s="10"/>
      <c r="R12" s="10"/>
      <c r="S12" s="10"/>
      <c r="T12" s="10"/>
    </row>
    <row r="13" spans="1:23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  <c r="O13" s="871"/>
      <c r="P13" s="10"/>
      <c r="Q13" s="10"/>
      <c r="R13" s="10"/>
      <c r="S13" s="10"/>
      <c r="T13" s="10"/>
    </row>
    <row r="14" spans="1:23">
      <c r="G14" s="2" t="s">
        <v>639</v>
      </c>
      <c r="K14" s="2" t="s">
        <v>154</v>
      </c>
      <c r="M14" s="2" t="s">
        <v>154</v>
      </c>
      <c r="O14" s="99"/>
      <c r="P14" s="99"/>
      <c r="Q14" s="107"/>
      <c r="R14" s="99"/>
      <c r="S14" s="99"/>
      <c r="T14" s="99"/>
      <c r="U14" s="107"/>
      <c r="V14" s="107"/>
      <c r="W14" s="107"/>
    </row>
    <row r="15" spans="1:23">
      <c r="O15" s="99"/>
      <c r="P15" s="99"/>
      <c r="Q15" s="107"/>
      <c r="R15" s="99"/>
      <c r="S15" s="99"/>
      <c r="T15" s="99"/>
      <c r="U15" s="107"/>
      <c r="V15" s="107"/>
      <c r="W15" s="107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65"/>
      <c r="J17" s="10"/>
      <c r="K17" s="10"/>
      <c r="L17" s="10"/>
      <c r="M17" s="10"/>
      <c r="N17" s="10"/>
      <c r="O17"/>
    </row>
    <row r="18" spans="1:20" ht="15.75">
      <c r="C18" s="268" t="s">
        <v>1602</v>
      </c>
      <c r="E18" s="10"/>
      <c r="F18" s="10"/>
      <c r="G18" s="254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1042">
        <v>6</v>
      </c>
      <c r="C20" s="4" t="s">
        <v>277</v>
      </c>
      <c r="E20" s="24"/>
      <c r="F20" s="10"/>
      <c r="G20" s="450">
        <f>J.1!P17</f>
        <v>248480.49283154123</v>
      </c>
      <c r="H20" s="10"/>
      <c r="I20" s="226">
        <v>5.16E-2</v>
      </c>
      <c r="J20" s="10"/>
      <c r="K20" s="170">
        <v>1.2500000000000001E-2</v>
      </c>
      <c r="L20" s="10"/>
      <c r="M20" s="66">
        <f>ROUND(I20*K20,4)</f>
        <v>5.9999999999999995E-4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88"/>
      <c r="H21" s="10"/>
      <c r="I21" s="226"/>
      <c r="J21" s="10"/>
      <c r="K21" s="170"/>
      <c r="L21" s="10"/>
      <c r="M21" s="66"/>
      <c r="N21" s="10"/>
      <c r="O21"/>
      <c r="P21" s="10"/>
      <c r="Q21" s="10"/>
      <c r="R21" s="10"/>
      <c r="S21" s="10"/>
      <c r="T21" s="10"/>
    </row>
    <row r="22" spans="1:20">
      <c r="A22" s="1042">
        <v>7</v>
      </c>
      <c r="C22" s="4" t="s">
        <v>278</v>
      </c>
      <c r="E22" s="24" t="s">
        <v>281</v>
      </c>
      <c r="F22" s="10"/>
      <c r="G22" s="90">
        <f>+J.1!P19</f>
        <v>2455326.2090518805</v>
      </c>
      <c r="H22" s="10"/>
      <c r="I22" s="226">
        <v>0.45679999999999998</v>
      </c>
      <c r="J22" s="10"/>
      <c r="K22" s="170">
        <v>6.1899999999999997E-2</v>
      </c>
      <c r="L22" s="10"/>
      <c r="M22" s="66">
        <f>ROUND(I22*K22,4)</f>
        <v>2.8299999999999999E-2</v>
      </c>
      <c r="N22" s="10"/>
      <c r="O22"/>
    </row>
    <row r="23" spans="1:20">
      <c r="E23" s="10"/>
      <c r="F23" s="10"/>
      <c r="G23" s="90"/>
      <c r="H23" s="10"/>
      <c r="I23" s="226"/>
      <c r="J23" s="10"/>
      <c r="K23" s="66"/>
      <c r="L23" s="10"/>
      <c r="M23" s="66"/>
      <c r="N23" s="10"/>
      <c r="O23"/>
    </row>
    <row r="24" spans="1:20">
      <c r="A24" s="1042">
        <v>8</v>
      </c>
      <c r="C24" s="4" t="s">
        <v>279</v>
      </c>
      <c r="E24" s="24" t="s">
        <v>282</v>
      </c>
      <c r="F24" s="10"/>
      <c r="G24" s="90">
        <f>+J.1!P23</f>
        <v>0</v>
      </c>
      <c r="H24" s="10"/>
      <c r="I24" s="226">
        <f>G24/$G$28</f>
        <v>0</v>
      </c>
      <c r="J24" s="10"/>
      <c r="K24" s="66">
        <v>0</v>
      </c>
      <c r="L24" s="10"/>
      <c r="M24" s="66">
        <f>ROUND(I24*K24,4)</f>
        <v>0</v>
      </c>
      <c r="N24" s="10"/>
      <c r="O24"/>
    </row>
    <row r="25" spans="1:20">
      <c r="E25" s="10"/>
      <c r="F25" s="10"/>
      <c r="G25" s="90"/>
      <c r="H25" s="10"/>
      <c r="I25" s="226"/>
      <c r="J25" s="10"/>
      <c r="K25" s="66"/>
      <c r="L25" s="10"/>
      <c r="M25" s="66"/>
      <c r="N25" s="10"/>
      <c r="O25"/>
    </row>
    <row r="26" spans="1:20">
      <c r="A26" s="1042">
        <v>9</v>
      </c>
      <c r="C26" s="4" t="s">
        <v>280</v>
      </c>
      <c r="E26" s="10"/>
      <c r="F26" s="10"/>
      <c r="G26" s="751">
        <f>+J.1!P25</f>
        <v>3132773.0361461542</v>
      </c>
      <c r="H26" s="10"/>
      <c r="I26" s="1246">
        <v>0.49159999999999998</v>
      </c>
      <c r="J26" s="10"/>
      <c r="K26" s="1241">
        <v>9.8000000000000004E-2</v>
      </c>
      <c r="L26" s="10"/>
      <c r="M26" s="67">
        <f>ROUND(I26*K26,4)</f>
        <v>4.82E-2</v>
      </c>
      <c r="N26" s="10"/>
      <c r="O26"/>
    </row>
    <row r="27" spans="1:20">
      <c r="G27" s="10"/>
      <c r="I27" s="269"/>
      <c r="K27" s="3"/>
      <c r="M27" s="68"/>
      <c r="O27"/>
    </row>
    <row r="28" spans="1:20" ht="15.75" thickBot="1">
      <c r="A28" s="2">
        <v>10</v>
      </c>
      <c r="C28" s="4" t="s">
        <v>413</v>
      </c>
      <c r="G28" s="417">
        <f>SUM(G20:G26)</f>
        <v>5836579.7380295759</v>
      </c>
      <c r="I28" s="270">
        <f>SUM(I20:I26)</f>
        <v>1</v>
      </c>
      <c r="K28" s="11"/>
      <c r="M28" s="69">
        <f>(+M20+M22+M24+M26)</f>
        <v>7.7100000000000002E-2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75" right="0.75" top="0.75" bottom="1.28" header="0.5" footer="0.43"/>
  <pageSetup scale="96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60" zoomScaleNormal="90" workbookViewId="0">
      <selection sqref="A1:L1"/>
    </sheetView>
  </sheetViews>
  <sheetFormatPr defaultColWidth="10.109375" defaultRowHeight="15"/>
  <cols>
    <col min="1" max="1" width="5.88671875" style="1" customWidth="1"/>
    <col min="2" max="2" width="2.109375" style="1" customWidth="1"/>
    <col min="3" max="3" width="16.109375" style="1" customWidth="1"/>
    <col min="4" max="4" width="11" style="1" customWidth="1"/>
    <col min="5" max="5" width="5.109375" style="1" customWidth="1"/>
    <col min="6" max="6" width="10.109375" style="1"/>
    <col min="7" max="7" width="4.21875" style="1" customWidth="1"/>
    <col min="8" max="8" width="10.109375" style="1"/>
    <col min="9" max="9" width="4.21875" style="1" customWidth="1"/>
    <col min="10" max="10" width="10.109375" style="1"/>
    <col min="11" max="11" width="5.77734375" style="1" customWidth="1"/>
    <col min="12" max="12" width="12.6640625" style="1" customWidth="1"/>
    <col min="13" max="16384" width="10.109375" style="1"/>
  </cols>
  <sheetData>
    <row r="1" spans="1:17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</row>
    <row r="2" spans="1:17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</row>
    <row r="3" spans="1:17">
      <c r="A3" s="1263" t="s">
        <v>1048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</row>
    <row r="4" spans="1:17">
      <c r="A4" s="1263" t="s">
        <v>1362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N4" s="10"/>
      <c r="O4" s="10"/>
      <c r="P4" s="10"/>
      <c r="Q4" s="10"/>
    </row>
    <row r="5" spans="1:17">
      <c r="N5" s="10"/>
      <c r="O5" s="10"/>
      <c r="P5" s="10"/>
      <c r="Q5" s="10"/>
    </row>
    <row r="6" spans="1:17">
      <c r="N6" s="10"/>
      <c r="O6" s="10"/>
      <c r="P6" s="10"/>
      <c r="Q6" s="10"/>
    </row>
    <row r="7" spans="1:17">
      <c r="A7" s="4" t="s">
        <v>1167</v>
      </c>
      <c r="L7" s="488" t="s">
        <v>1508</v>
      </c>
      <c r="N7" s="10"/>
      <c r="O7" s="10"/>
      <c r="P7" s="10"/>
      <c r="Q7" s="10"/>
    </row>
    <row r="8" spans="1:17">
      <c r="A8" s="95" t="s">
        <v>631</v>
      </c>
      <c r="K8" s="4"/>
      <c r="L8" s="645" t="s">
        <v>50</v>
      </c>
      <c r="N8" s="10"/>
      <c r="O8" s="10"/>
      <c r="P8" s="10"/>
      <c r="Q8" s="10"/>
    </row>
    <row r="9" spans="1:17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46" t="str">
        <f>'J-1 Base'!$M$9</f>
        <v>Witness:  Waller</v>
      </c>
      <c r="N9" s="10"/>
      <c r="O9" s="10"/>
      <c r="P9" s="10"/>
      <c r="Q9" s="10"/>
    </row>
    <row r="10" spans="1:17">
      <c r="J10" s="2" t="s">
        <v>360</v>
      </c>
      <c r="L10" s="2" t="s">
        <v>1165</v>
      </c>
    </row>
    <row r="11" spans="1:17">
      <c r="A11" s="2"/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/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F15" s="130"/>
      <c r="G15" s="130"/>
      <c r="H15" s="130"/>
      <c r="I15" s="130"/>
      <c r="J15" s="130"/>
      <c r="K15" s="130"/>
      <c r="L15" s="130"/>
    </row>
    <row r="16" spans="1:17">
      <c r="A16" s="2">
        <v>1</v>
      </c>
      <c r="B16" s="107"/>
      <c r="C16" s="115" t="s">
        <v>921</v>
      </c>
      <c r="D16" s="107"/>
      <c r="E16" s="107"/>
      <c r="F16" s="136">
        <f>'J-2 B'!F16</f>
        <v>415875.57768141665</v>
      </c>
      <c r="G16" s="136"/>
      <c r="H16" s="1224">
        <f>'J-2 B'!H16</f>
        <v>3.9642820751121799E-3</v>
      </c>
      <c r="I16" s="190"/>
      <c r="J16" s="136">
        <f>(F16*H16)</f>
        <v>1648.6480980793629</v>
      </c>
      <c r="K16" s="136"/>
      <c r="L16" s="136"/>
      <c r="M16" s="10"/>
    </row>
    <row r="17" spans="1:13">
      <c r="B17" s="107"/>
      <c r="C17" s="107"/>
      <c r="D17" s="107"/>
      <c r="E17" s="107"/>
      <c r="F17" s="130"/>
      <c r="G17" s="130"/>
      <c r="H17" s="130"/>
      <c r="I17" s="130"/>
      <c r="J17" s="130"/>
      <c r="K17" s="130"/>
      <c r="L17" s="136"/>
    </row>
    <row r="18" spans="1:13">
      <c r="A18" s="2">
        <v>2</v>
      </c>
      <c r="B18" s="107"/>
      <c r="C18" s="115" t="s">
        <v>1345</v>
      </c>
      <c r="D18" s="107"/>
      <c r="E18" s="107"/>
      <c r="F18" s="136"/>
      <c r="G18" s="136"/>
      <c r="H18" s="136"/>
      <c r="I18" s="190"/>
      <c r="J18" s="136">
        <f>'J-2 B'!J18</f>
        <v>2273.0885748888886</v>
      </c>
      <c r="K18" s="136"/>
      <c r="L18" s="136"/>
      <c r="M18" s="10"/>
    </row>
    <row r="19" spans="1:13">
      <c r="B19" s="107"/>
      <c r="C19" s="107"/>
      <c r="D19" s="107"/>
      <c r="E19" s="107"/>
      <c r="F19" s="136"/>
      <c r="G19" s="136"/>
      <c r="H19" s="753"/>
      <c r="I19" s="136"/>
      <c r="J19" s="136"/>
      <c r="K19" s="136"/>
      <c r="L19" s="136"/>
      <c r="M19" s="10"/>
    </row>
    <row r="20" spans="1:13">
      <c r="A20" s="2">
        <v>3</v>
      </c>
      <c r="B20" s="107"/>
      <c r="C20" s="115" t="s">
        <v>920</v>
      </c>
      <c r="D20" s="107"/>
      <c r="E20" s="107"/>
      <c r="F20" s="155">
        <f>SUM(F16:F18)</f>
        <v>415875.57768141665</v>
      </c>
      <c r="G20" s="136"/>
      <c r="H20" s="136"/>
      <c r="I20" s="190"/>
      <c r="J20" s="155">
        <f>SUM(J16:J18)</f>
        <v>3921.7366729682517</v>
      </c>
      <c r="K20" s="136"/>
      <c r="L20" s="156">
        <f>(J20/F20)</f>
        <v>9.4300720778860338E-3</v>
      </c>
      <c r="M20" s="10"/>
    </row>
    <row r="21" spans="1:13">
      <c r="B21" s="107"/>
      <c r="C21" s="107"/>
      <c r="D21" s="107"/>
      <c r="E21" s="107"/>
      <c r="F21" s="136"/>
      <c r="G21" s="136"/>
      <c r="H21" s="753"/>
      <c r="I21" s="190"/>
      <c r="J21" s="190"/>
      <c r="K21" s="136"/>
      <c r="L21" s="136"/>
      <c r="M21" s="10"/>
    </row>
    <row r="22" spans="1:13">
      <c r="B22" s="107"/>
      <c r="C22" s="107"/>
      <c r="D22" s="107"/>
      <c r="E22" s="107"/>
      <c r="F22" s="136"/>
      <c r="G22" s="136"/>
      <c r="H22" s="753"/>
      <c r="I22" s="190"/>
      <c r="J22" s="190"/>
      <c r="K22" s="136"/>
      <c r="L22" s="136"/>
      <c r="M22" s="10"/>
    </row>
    <row r="23" spans="1:13" ht="15.75">
      <c r="B23" s="157"/>
      <c r="C23" s="1242" t="s">
        <v>1635</v>
      </c>
      <c r="D23" s="1242"/>
      <c r="E23" s="1242"/>
      <c r="F23" s="107"/>
      <c r="G23" s="99"/>
      <c r="H23" s="107"/>
      <c r="I23" s="139"/>
      <c r="J23" s="107"/>
      <c r="K23" s="107"/>
      <c r="L23" s="107"/>
      <c r="M23" s="10"/>
    </row>
    <row r="24" spans="1:13">
      <c r="C24" s="115"/>
      <c r="D24" s="107"/>
      <c r="E24" s="107"/>
      <c r="F24" s="107"/>
      <c r="G24" s="99"/>
      <c r="H24" s="154"/>
      <c r="I24" s="139"/>
      <c r="J24" s="139"/>
      <c r="K24" s="107"/>
      <c r="L24" s="107"/>
    </row>
    <row r="25" spans="1:13">
      <c r="A25" s="1" t="s">
        <v>376</v>
      </c>
      <c r="C25" s="115" t="s">
        <v>919</v>
      </c>
      <c r="D25" s="107"/>
      <c r="E25" s="107"/>
      <c r="F25" s="107">
        <v>248480.49283154123</v>
      </c>
      <c r="G25" s="99"/>
      <c r="H25" s="1074">
        <f>J25/F25</f>
        <v>3.5857421157597666E-3</v>
      </c>
      <c r="I25" s="139"/>
      <c r="J25" s="139">
        <v>890.98696809080013</v>
      </c>
      <c r="K25" s="107"/>
      <c r="L25" s="107"/>
    </row>
    <row r="26" spans="1:13">
      <c r="C26" s="921"/>
      <c r="D26" s="130"/>
      <c r="E26" s="130"/>
      <c r="F26" s="130"/>
      <c r="G26" s="130"/>
      <c r="H26" s="130"/>
      <c r="I26" s="130"/>
      <c r="J26" s="130"/>
      <c r="K26" s="130"/>
      <c r="L26" s="107"/>
    </row>
    <row r="27" spans="1:13">
      <c r="A27" s="1">
        <v>2</v>
      </c>
      <c r="C27" s="238" t="s">
        <v>1345</v>
      </c>
      <c r="D27" s="130"/>
      <c r="E27" s="130"/>
      <c r="F27" s="130"/>
      <c r="G27" s="130"/>
      <c r="H27" s="130"/>
      <c r="I27" s="130"/>
      <c r="J27" s="130">
        <v>2210.8434844444446</v>
      </c>
      <c r="K27" s="130"/>
      <c r="L27" s="107"/>
    </row>
    <row r="28" spans="1:13">
      <c r="C28" s="158"/>
      <c r="D28" s="130"/>
      <c r="E28" s="130"/>
      <c r="F28" s="130"/>
      <c r="G28" s="130"/>
      <c r="H28" s="130"/>
      <c r="I28" s="130"/>
      <c r="J28" s="130"/>
      <c r="K28" s="130"/>
      <c r="L28" s="107"/>
    </row>
    <row r="29" spans="1:13">
      <c r="A29" s="1">
        <v>3</v>
      </c>
      <c r="C29" s="158" t="s">
        <v>920</v>
      </c>
      <c r="D29" s="130"/>
      <c r="E29" s="130"/>
      <c r="F29" s="383">
        <f>SUM(F25:F27)</f>
        <v>248480.49283154123</v>
      </c>
      <c r="G29" s="136"/>
      <c r="H29" s="130"/>
      <c r="I29" s="190"/>
      <c r="J29" s="383">
        <f>SUM(J25:J27)</f>
        <v>3101.8304525352446</v>
      </c>
      <c r="K29" s="130"/>
      <c r="L29" s="154">
        <f>(J29/F29)</f>
        <v>1.2483195027458949E-2</v>
      </c>
    </row>
    <row r="30" spans="1:13">
      <c r="C30" s="119"/>
      <c r="D30" s="130"/>
      <c r="E30" s="130"/>
      <c r="F30" s="130"/>
      <c r="G30" s="136"/>
      <c r="H30" s="136"/>
      <c r="I30" s="190"/>
      <c r="J30" s="190"/>
      <c r="K30" s="130"/>
      <c r="L30" s="107"/>
    </row>
    <row r="31" spans="1:13">
      <c r="C31" s="158"/>
      <c r="D31" s="130"/>
      <c r="E31" s="130"/>
      <c r="F31" s="130"/>
      <c r="G31" s="136"/>
      <c r="H31" s="130"/>
      <c r="I31" s="130"/>
      <c r="J31" s="130"/>
      <c r="K31" s="130"/>
      <c r="L31" s="107"/>
    </row>
    <row r="32" spans="1:13">
      <c r="C32" s="158"/>
      <c r="D32" s="130"/>
      <c r="E32" s="130"/>
      <c r="F32" s="130"/>
      <c r="G32" s="130"/>
      <c r="H32" s="130"/>
      <c r="I32" s="130"/>
      <c r="J32" s="130"/>
      <c r="K32" s="130"/>
      <c r="L32" s="107"/>
    </row>
    <row r="33" spans="1:12"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B35" s="107"/>
      <c r="C35" s="115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40" spans="1:12">
      <c r="A40" s="4"/>
      <c r="C40" s="4"/>
    </row>
    <row r="41" spans="1:12">
      <c r="C41" s="4"/>
    </row>
    <row r="42" spans="1:12">
      <c r="C42" s="4"/>
    </row>
    <row r="43" spans="1:12">
      <c r="C43" s="4"/>
    </row>
  </sheetData>
  <mergeCells count="4">
    <mergeCell ref="A1:L1"/>
    <mergeCell ref="A2:L2"/>
    <mergeCell ref="A3:L3"/>
    <mergeCell ref="A4:L4"/>
  </mergeCells>
  <phoneticPr fontId="24" type="noConversion"/>
  <pageMargins left="0.75" right="0.75" top="0.83" bottom="1.1499999999999999" header="0.5" footer="0.5"/>
  <pageSetup scale="93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V46"/>
  <sheetViews>
    <sheetView view="pageBreakPreview" zoomScale="80" zoomScaleNormal="90" zoomScaleSheetLayoutView="80" workbookViewId="0">
      <selection sqref="A1:K1"/>
    </sheetView>
  </sheetViews>
  <sheetFormatPr defaultColWidth="8.5546875" defaultRowHeight="15"/>
  <cols>
    <col min="1" max="1" width="3.88671875" style="1" customWidth="1"/>
    <col min="2" max="2" width="1" style="1" customWidth="1"/>
    <col min="3" max="3" width="34.77734375" style="1" customWidth="1"/>
    <col min="4" max="4" width="4.109375" style="1" customWidth="1"/>
    <col min="5" max="5" width="14.88671875" style="1" customWidth="1"/>
    <col min="6" max="6" width="1.6640625" style="1" customWidth="1"/>
    <col min="7" max="7" width="6.44140625" style="1" customWidth="1"/>
    <col min="8" max="8" width="2" style="1" customWidth="1"/>
    <col min="9" max="9" width="13.33203125" style="1" customWidth="1"/>
    <col min="10" max="10" width="2.109375" style="1" customWidth="1"/>
    <col min="11" max="11" width="8.5546875" style="1" customWidth="1"/>
    <col min="12" max="12" width="8.5546875" style="1"/>
    <col min="13" max="13" width="12.6640625" style="1" customWidth="1"/>
    <col min="14" max="16384" width="8.5546875" style="1"/>
  </cols>
  <sheetData>
    <row r="1" spans="1:12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</row>
    <row r="2" spans="1:12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</row>
    <row r="3" spans="1:12">
      <c r="A3" s="1263" t="s">
        <v>1104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</row>
    <row r="4" spans="1:12">
      <c r="A4" s="1263" t="str">
        <f>'Table of Contents'!A4:C4</f>
        <v>Forecasted Test Period: Twelve Months Ended May 31, 2017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</row>
    <row r="5" spans="1:12">
      <c r="A5" s="936"/>
      <c r="B5" s="936"/>
      <c r="C5" s="936"/>
      <c r="D5" s="936"/>
      <c r="E5" s="936"/>
      <c r="F5" s="936"/>
      <c r="G5" s="936"/>
      <c r="H5" s="936"/>
      <c r="I5" s="936"/>
      <c r="J5" s="936"/>
      <c r="K5" s="936"/>
    </row>
    <row r="6" spans="1:12">
      <c r="K6" s="488" t="s">
        <v>1508</v>
      </c>
    </row>
    <row r="7" spans="1:12">
      <c r="A7" s="4" t="s">
        <v>1167</v>
      </c>
      <c r="K7" s="645" t="s">
        <v>49</v>
      </c>
    </row>
    <row r="8" spans="1:12">
      <c r="A8" s="95" t="s">
        <v>631</v>
      </c>
      <c r="K8" s="645" t="s">
        <v>871</v>
      </c>
    </row>
    <row r="9" spans="1:12">
      <c r="A9" s="5" t="s">
        <v>375</v>
      </c>
      <c r="B9" s="6"/>
      <c r="C9" s="6"/>
      <c r="D9" s="6"/>
      <c r="E9" s="6"/>
      <c r="F9" s="6"/>
      <c r="G9" s="6"/>
      <c r="H9" s="6"/>
      <c r="I9" s="6"/>
      <c r="J9" s="45"/>
      <c r="K9" s="646" t="str">
        <f>'J-1 Base'!$M$9</f>
        <v>Witness:  Waller</v>
      </c>
    </row>
    <row r="10" spans="1:12">
      <c r="E10" s="913" t="s">
        <v>1069</v>
      </c>
      <c r="I10" s="2" t="s">
        <v>360</v>
      </c>
      <c r="K10" s="2" t="s">
        <v>1165</v>
      </c>
    </row>
    <row r="11" spans="1:12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2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2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2">
      <c r="E14" s="2"/>
      <c r="I14" s="2"/>
    </row>
    <row r="15" spans="1:12">
      <c r="E15" s="130"/>
      <c r="F15" s="130"/>
      <c r="G15" s="130"/>
      <c r="H15" s="130"/>
      <c r="I15" s="130"/>
      <c r="J15" s="130"/>
    </row>
    <row r="16" spans="1:12">
      <c r="A16" s="2">
        <v>1</v>
      </c>
      <c r="C16" s="4" t="str">
        <f>'J-3 B'!C16</f>
        <v>6.75% Debentures Unsecured due July 2028</v>
      </c>
      <c r="D16" s="119"/>
      <c r="E16" s="439">
        <f>'J-3 B'!E16</f>
        <v>150000000</v>
      </c>
      <c r="F16" s="136"/>
      <c r="G16" s="1198">
        <f>'J-3 B'!G16</f>
        <v>6.7500000000000004E-2</v>
      </c>
      <c r="H16" s="190"/>
      <c r="I16" s="749">
        <f t="shared" ref="I16" si="0">(E16*G16)</f>
        <v>10125000</v>
      </c>
      <c r="J16" s="136"/>
      <c r="K16" s="66"/>
      <c r="L16" s="10"/>
    </row>
    <row r="17" spans="1:22">
      <c r="A17" s="912">
        <f>A16+1</f>
        <v>2</v>
      </c>
      <c r="C17" s="4" t="str">
        <f>'J-3 B'!C17</f>
        <v>6.67% MTN A1 due Dec 2025</v>
      </c>
      <c r="E17" s="113">
        <f>'J-3 B'!E17</f>
        <v>10000000</v>
      </c>
      <c r="F17" s="136"/>
      <c r="G17" s="1198">
        <f>'J-3 B'!G17</f>
        <v>6.6699999999999995E-2</v>
      </c>
      <c r="H17" s="190"/>
      <c r="I17" s="820">
        <f t="shared" ref="I17:I24" si="1">(E17*G17)</f>
        <v>667000</v>
      </c>
      <c r="J17" s="130"/>
    </row>
    <row r="18" spans="1:22">
      <c r="A18" s="1006">
        <f t="shared" ref="A18:A33" si="2">A17+1</f>
        <v>3</v>
      </c>
      <c r="C18" s="4" t="str">
        <f>'J-3 B'!C18</f>
        <v>4.95% Sr Note due 10/15/2014</v>
      </c>
      <c r="D18" s="119"/>
      <c r="E18" s="113">
        <v>0</v>
      </c>
      <c r="F18" s="130"/>
      <c r="G18" s="1198">
        <f>'J-3 B'!G18</f>
        <v>4.9500000000000002E-2</v>
      </c>
      <c r="H18" s="190"/>
      <c r="I18" s="820">
        <f t="shared" si="1"/>
        <v>0</v>
      </c>
      <c r="J18" s="136"/>
      <c r="K18" s="66"/>
      <c r="L18" s="871"/>
    </row>
    <row r="19" spans="1:22">
      <c r="A19" s="1006">
        <f t="shared" si="2"/>
        <v>4</v>
      </c>
      <c r="C19" s="4" t="str">
        <f>'J-3 B'!C19</f>
        <v>5.95% Sr Note due 10/15/2034</v>
      </c>
      <c r="D19" s="119"/>
      <c r="E19" s="113">
        <f>'J-3 B'!E19</f>
        <v>200000000</v>
      </c>
      <c r="F19" s="130"/>
      <c r="G19" s="1198">
        <f>'J-3 B'!G19</f>
        <v>5.9499999999999997E-2</v>
      </c>
      <c r="H19" s="136"/>
      <c r="I19" s="820">
        <f t="shared" si="1"/>
        <v>11900000</v>
      </c>
      <c r="J19" s="136"/>
      <c r="K19" s="66"/>
      <c r="L19" s="10"/>
    </row>
    <row r="20" spans="1:22">
      <c r="A20" s="1006">
        <f t="shared" si="2"/>
        <v>5</v>
      </c>
      <c r="C20" s="4" t="str">
        <f>'J-3 B'!C20</f>
        <v>6.35% Sr Note due 6/15/2017</v>
      </c>
      <c r="D20" s="119"/>
      <c r="E20" s="113">
        <f>'J-3 B'!E20</f>
        <v>250000000</v>
      </c>
      <c r="F20" s="136"/>
      <c r="G20" s="1198">
        <f>'J-3 B'!G20</f>
        <v>6.3500000000000001E-2</v>
      </c>
      <c r="H20" s="190"/>
      <c r="I20" s="820">
        <f t="shared" si="1"/>
        <v>15875000</v>
      </c>
      <c r="J20" s="136"/>
      <c r="K20" s="66"/>
      <c r="L20" s="10"/>
    </row>
    <row r="21" spans="1:22">
      <c r="A21" s="1006">
        <f t="shared" si="2"/>
        <v>6</v>
      </c>
      <c r="C21" s="4" t="str">
        <f>'J-3 B'!C21</f>
        <v>Sr Note 5.50% Due 06/15/2041</v>
      </c>
      <c r="D21" s="119"/>
      <c r="E21" s="113">
        <f>'J-3 B'!E21</f>
        <v>400000000</v>
      </c>
      <c r="F21" s="130"/>
      <c r="G21" s="1198">
        <f>'J-3 B'!G21</f>
        <v>5.5E-2</v>
      </c>
      <c r="H21" s="190"/>
      <c r="I21" s="820">
        <f t="shared" si="1"/>
        <v>22000000</v>
      </c>
      <c r="J21" s="136"/>
      <c r="K21" s="66"/>
      <c r="L21" s="10"/>
    </row>
    <row r="22" spans="1:22">
      <c r="A22" s="1006">
        <f t="shared" si="2"/>
        <v>7</v>
      </c>
      <c r="C22" s="4" t="str">
        <f>'J-3 B'!C22</f>
        <v>8.50% Sr Note due 3/15/2019</v>
      </c>
      <c r="D22" s="119"/>
      <c r="E22" s="113">
        <f>'J-3 B'!E22</f>
        <v>450000000</v>
      </c>
      <c r="F22" s="130"/>
      <c r="G22" s="1198">
        <f>'J-3 B'!G22</f>
        <v>8.5000000000000006E-2</v>
      </c>
      <c r="H22" s="190"/>
      <c r="I22" s="820">
        <f t="shared" si="1"/>
        <v>38250000</v>
      </c>
      <c r="J22" s="136"/>
      <c r="K22" s="66"/>
      <c r="L22" s="10"/>
    </row>
    <row r="23" spans="1:22">
      <c r="A23" s="1006">
        <f t="shared" si="2"/>
        <v>8</v>
      </c>
      <c r="C23" s="4" t="str">
        <f>'J-3 B'!C23</f>
        <v>4.15% Sr Note due 1/15/2043</v>
      </c>
      <c r="D23" s="119"/>
      <c r="E23" s="113">
        <f>'J-3 B'!E23</f>
        <v>500000000</v>
      </c>
      <c r="F23" s="130"/>
      <c r="G23" s="1198">
        <f>'J-3 B'!G23</f>
        <v>4.1500000000000002E-2</v>
      </c>
      <c r="H23" s="190"/>
      <c r="I23" s="820">
        <f t="shared" si="1"/>
        <v>20750000</v>
      </c>
      <c r="J23" s="136"/>
      <c r="K23" s="66"/>
      <c r="L23" s="10"/>
    </row>
    <row r="24" spans="1:22">
      <c r="A24" s="1006">
        <f t="shared" si="2"/>
        <v>9</v>
      </c>
      <c r="C24" s="4" t="str">
        <f>'J-3 B'!C24</f>
        <v>4.125% Sr Note due 10/15/2044</v>
      </c>
      <c r="D24" s="119"/>
      <c r="E24" s="113">
        <v>500000000</v>
      </c>
      <c r="F24" s="130"/>
      <c r="G24" s="1198">
        <f>'J-3 B'!G24</f>
        <v>4.1250000000000002E-2</v>
      </c>
      <c r="H24" s="190"/>
      <c r="I24" s="820">
        <f t="shared" si="1"/>
        <v>20625000</v>
      </c>
      <c r="J24" s="130"/>
      <c r="K24" s="68"/>
      <c r="L24" s="1057"/>
    </row>
    <row r="25" spans="1:22">
      <c r="A25" s="1006">
        <f t="shared" si="2"/>
        <v>10</v>
      </c>
      <c r="C25" s="4" t="s">
        <v>101</v>
      </c>
      <c r="E25" s="967">
        <f>SUM(E16:E24)</f>
        <v>2460000000</v>
      </c>
      <c r="F25" s="136"/>
      <c r="G25" s="1203"/>
      <c r="H25" s="130"/>
      <c r="I25" s="932">
        <f>SUM(I16:I24)</f>
        <v>140192000</v>
      </c>
      <c r="J25" s="130"/>
    </row>
    <row r="26" spans="1:22">
      <c r="A26" s="1006">
        <f t="shared" si="2"/>
        <v>11</v>
      </c>
      <c r="C26" s="4"/>
      <c r="E26" s="113"/>
      <c r="F26" s="130"/>
      <c r="G26" s="1203"/>
      <c r="H26" s="130"/>
      <c r="I26" s="136"/>
      <c r="J26" s="130"/>
    </row>
    <row r="27" spans="1:22">
      <c r="A27" s="1006">
        <f t="shared" si="2"/>
        <v>12</v>
      </c>
      <c r="C27" s="4" t="s">
        <v>1360</v>
      </c>
      <c r="E27" s="123"/>
      <c r="F27" s="130"/>
      <c r="G27" s="1203"/>
      <c r="H27" s="130"/>
      <c r="I27" s="452">
        <f>'J-3 B'!I27</f>
        <v>4681606.9570000023</v>
      </c>
      <c r="J27" s="130"/>
      <c r="L27" s="768"/>
    </row>
    <row r="28" spans="1:22">
      <c r="A28" s="1006">
        <f t="shared" si="2"/>
        <v>13</v>
      </c>
      <c r="C28" s="4" t="s">
        <v>1361</v>
      </c>
      <c r="E28" s="547">
        <v>-4219584.3166666692</v>
      </c>
      <c r="F28" s="136"/>
      <c r="G28" s="1203"/>
      <c r="H28" s="190"/>
      <c r="I28" s="136"/>
      <c r="J28" s="130"/>
      <c r="L28" s="768"/>
      <c r="N28" s="158"/>
      <c r="O28" s="107"/>
      <c r="P28" s="107"/>
      <c r="Q28" s="107"/>
      <c r="R28" s="107"/>
      <c r="S28" s="107"/>
      <c r="T28" s="107"/>
      <c r="U28" s="107"/>
      <c r="V28" s="107"/>
    </row>
    <row r="29" spans="1:22">
      <c r="A29" s="1006">
        <f t="shared" si="2"/>
        <v>14</v>
      </c>
      <c r="C29" s="4"/>
      <c r="E29" s="136"/>
      <c r="F29" s="130"/>
      <c r="G29" s="1225"/>
      <c r="H29" s="130"/>
      <c r="I29" s="130"/>
      <c r="J29" s="130"/>
      <c r="N29" s="1057"/>
    </row>
    <row r="30" spans="1:22">
      <c r="A30" s="1006">
        <f t="shared" si="2"/>
        <v>15</v>
      </c>
      <c r="E30" s="130"/>
      <c r="F30" s="130"/>
      <c r="G30" s="130"/>
      <c r="H30" s="130"/>
      <c r="I30" s="130"/>
      <c r="J30" s="130"/>
    </row>
    <row r="31" spans="1:22">
      <c r="A31" s="1006">
        <f t="shared" si="2"/>
        <v>16</v>
      </c>
      <c r="E31" s="10"/>
      <c r="G31" s="149"/>
    </row>
    <row r="32" spans="1:22">
      <c r="A32" s="1006">
        <f t="shared" si="2"/>
        <v>17</v>
      </c>
    </row>
    <row r="33" spans="1:11" ht="15.75" thickBot="1">
      <c r="A33" s="1006">
        <f t="shared" si="2"/>
        <v>18</v>
      </c>
      <c r="C33" s="4" t="s">
        <v>1200</v>
      </c>
      <c r="E33" s="422">
        <f>+E25+E28</f>
        <v>2455780415.6833334</v>
      </c>
      <c r="G33" s="149"/>
      <c r="I33" s="422">
        <f>+I25+I27</f>
        <v>144873606.95700002</v>
      </c>
      <c r="K33" s="150">
        <f>+I33/E33</f>
        <v>5.8992899378052986E-2</v>
      </c>
    </row>
    <row r="34" spans="1:11" ht="15.75" thickTop="1"/>
    <row r="35" spans="1:11">
      <c r="A35" s="4"/>
      <c r="C35" s="4"/>
    </row>
    <row r="36" spans="1:11">
      <c r="C36" s="4"/>
    </row>
    <row r="37" spans="1:11">
      <c r="C37" s="4"/>
    </row>
    <row r="39" spans="1:11">
      <c r="G39" s="548"/>
    </row>
    <row r="40" spans="1:11">
      <c r="G40" s="548"/>
    </row>
    <row r="41" spans="1:11">
      <c r="G41" s="548"/>
    </row>
    <row r="42" spans="1:11">
      <c r="G42" s="548"/>
    </row>
    <row r="43" spans="1:11">
      <c r="G43" s="548"/>
    </row>
    <row r="44" spans="1:11">
      <c r="G44" s="548"/>
    </row>
    <row r="45" spans="1:11">
      <c r="G45" s="548"/>
    </row>
    <row r="46" spans="1:11">
      <c r="G46" s="548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60" zoomScaleNormal="90" workbookViewId="0">
      <pane xSplit="6" ySplit="13" topLeftCell="G14" activePane="bottomRight" state="frozen"/>
      <selection activeCell="D23" sqref="D23"/>
      <selection pane="topRight" activeCell="D23" sqref="D23"/>
      <selection pane="bottomLeft" activeCell="D23" sqref="D23"/>
      <selection pane="bottomRight" activeCell="G14" sqref="G14"/>
    </sheetView>
  </sheetViews>
  <sheetFormatPr defaultColWidth="6.44140625" defaultRowHeight="15"/>
  <cols>
    <col min="1" max="1" width="4.3320312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0" width="9.88671875" style="1" customWidth="1"/>
    <col min="11" max="11" width="9.44140625" style="1" customWidth="1"/>
    <col min="12" max="12" width="9.77734375" style="1" customWidth="1"/>
    <col min="13" max="13" width="9.44140625" style="1" bestFit="1" customWidth="1"/>
    <col min="14" max="14" width="9.88671875" style="1" customWidth="1"/>
    <col min="15" max="15" width="9.5546875" style="1" customWidth="1"/>
    <col min="16" max="18" width="9.77734375" style="1" customWidth="1"/>
    <col min="19" max="19" width="9.44140625" style="1" customWidth="1"/>
    <col min="20" max="20" width="7.21875" style="1" customWidth="1"/>
    <col min="21" max="22" width="6.44140625" style="1"/>
    <col min="23" max="23" width="9.33203125" style="1" customWidth="1"/>
    <col min="24" max="24" width="6.44140625" style="1"/>
    <col min="25" max="25" width="10.6640625" style="1" customWidth="1"/>
    <col min="26" max="16384" width="6.44140625" style="1"/>
  </cols>
  <sheetData>
    <row r="1" spans="1:36" ht="15.75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851"/>
    </row>
    <row r="2" spans="1:36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4"/>
    </row>
    <row r="3" spans="1:36">
      <c r="A3" s="1263" t="s">
        <v>25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3"/>
      <c r="R3" s="1263"/>
      <c r="S3" s="15"/>
    </row>
    <row r="4" spans="1:36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</row>
    <row r="5" spans="1:36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</row>
    <row r="6" spans="1:36">
      <c r="A6" s="1263" t="s">
        <v>1254</v>
      </c>
      <c r="B6" s="1263"/>
      <c r="C6" s="1263"/>
      <c r="D6" s="1263"/>
      <c r="E6" s="1263"/>
      <c r="F6" s="1263"/>
      <c r="G6" s="1263"/>
      <c r="H6" s="1263"/>
      <c r="I6" s="1263"/>
      <c r="J6" s="1263"/>
      <c r="K6" s="1263"/>
      <c r="L6" s="1263"/>
      <c r="M6" s="1263"/>
      <c r="N6" s="1263"/>
      <c r="O6" s="1263"/>
      <c r="P6" s="1263"/>
      <c r="Q6" s="1263"/>
      <c r="R6" s="1263"/>
      <c r="S6" s="768"/>
    </row>
    <row r="7" spans="1:36">
      <c r="A7" s="2"/>
      <c r="N7" s="4"/>
    </row>
    <row r="8" spans="1:36">
      <c r="A8" s="4" t="s">
        <v>203</v>
      </c>
      <c r="J8" s="107"/>
      <c r="K8" s="107"/>
      <c r="N8" s="4"/>
      <c r="O8" s="4"/>
      <c r="Q8" s="4"/>
      <c r="R8" s="488" t="s">
        <v>1509</v>
      </c>
    </row>
    <row r="9" spans="1:36">
      <c r="A9" s="95" t="s">
        <v>1068</v>
      </c>
      <c r="J9" s="107"/>
      <c r="K9" s="107"/>
      <c r="N9" s="4"/>
      <c r="O9" s="4"/>
      <c r="Q9" s="4"/>
      <c r="R9" s="645" t="s">
        <v>47</v>
      </c>
    </row>
    <row r="10" spans="1:36">
      <c r="A10" s="5" t="s">
        <v>375</v>
      </c>
      <c r="B10" s="6"/>
      <c r="C10" s="6"/>
      <c r="D10" s="6"/>
      <c r="E10" s="6"/>
      <c r="F10" s="6"/>
      <c r="G10" s="6"/>
      <c r="H10" s="6"/>
      <c r="I10" s="6"/>
      <c r="J10" s="206"/>
      <c r="K10" s="206"/>
      <c r="L10" s="6"/>
      <c r="M10" s="6"/>
      <c r="N10" s="6"/>
      <c r="O10" s="73"/>
      <c r="P10" s="6"/>
      <c r="Q10" s="5"/>
      <c r="R10" s="886" t="s">
        <v>1396</v>
      </c>
    </row>
    <row r="11" spans="1:36">
      <c r="T11" s="1057"/>
    </row>
    <row r="12" spans="1:36">
      <c r="A12" s="4" t="s">
        <v>98</v>
      </c>
      <c r="G12" s="2" t="s">
        <v>44</v>
      </c>
      <c r="H12" s="2" t="s">
        <v>45</v>
      </c>
      <c r="I12" s="6"/>
      <c r="J12" s="6"/>
      <c r="K12" s="6"/>
      <c r="L12" s="6"/>
      <c r="M12" s="9" t="s">
        <v>635</v>
      </c>
      <c r="N12" s="9"/>
      <c r="O12" s="6"/>
      <c r="P12" s="6"/>
      <c r="Q12" s="6"/>
      <c r="R12" s="6"/>
    </row>
    <row r="13" spans="1:36">
      <c r="A13" s="5" t="s">
        <v>104</v>
      </c>
      <c r="B13" s="6"/>
      <c r="C13" s="9" t="s">
        <v>1004</v>
      </c>
      <c r="D13" s="6"/>
      <c r="E13" s="6"/>
      <c r="F13" s="6"/>
      <c r="G13" s="9" t="s">
        <v>553</v>
      </c>
      <c r="H13" s="9" t="s">
        <v>553</v>
      </c>
      <c r="I13" s="910">
        <v>2014</v>
      </c>
      <c r="J13" s="910">
        <v>2013</v>
      </c>
      <c r="K13" s="910">
        <v>2012</v>
      </c>
      <c r="L13" s="910">
        <v>2011</v>
      </c>
      <c r="M13" s="910">
        <v>2010</v>
      </c>
      <c r="N13" s="910">
        <v>2009</v>
      </c>
      <c r="O13" s="910">
        <v>2008</v>
      </c>
      <c r="P13" s="910">
        <v>2007</v>
      </c>
      <c r="Q13" s="910">
        <v>2006</v>
      </c>
      <c r="R13" s="910">
        <v>2005</v>
      </c>
    </row>
    <row r="14" spans="1:36">
      <c r="K14" s="1" t="s">
        <v>332</v>
      </c>
    </row>
    <row r="15" spans="1:36" ht="15.75">
      <c r="A15" s="2">
        <v>1</v>
      </c>
      <c r="B15" s="17" t="s">
        <v>1175</v>
      </c>
      <c r="C15" s="16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85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.75">
      <c r="A16" s="2">
        <f>A15+1</f>
        <v>2</v>
      </c>
      <c r="B16" s="4" t="s">
        <v>316</v>
      </c>
      <c r="G16" s="130"/>
      <c r="H16" s="130"/>
      <c r="I16" s="130"/>
      <c r="J16" s="119"/>
      <c r="K16" s="119"/>
      <c r="L16" s="119"/>
      <c r="M16" s="119"/>
      <c r="N16" s="119"/>
      <c r="O16" s="119"/>
      <c r="P16" s="119"/>
      <c r="Q16" s="119"/>
      <c r="R16" s="119"/>
      <c r="S16" s="85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.75">
      <c r="A17" s="971">
        <f t="shared" ref="A17:A80" si="0">A16+1</f>
        <v>3</v>
      </c>
      <c r="B17" s="4" t="s">
        <v>183</v>
      </c>
      <c r="G17" s="136">
        <f>('B.2 F'!I19+'B.2 F'!I119)/1000</f>
        <v>763.83557112612095</v>
      </c>
      <c r="H17" s="136">
        <f>('B.2 B'!I19+'B.2 B'!I119)/1000</f>
        <v>763.83557112612095</v>
      </c>
      <c r="I17" s="136">
        <v>128</v>
      </c>
      <c r="J17" s="136">
        <v>128</v>
      </c>
      <c r="K17" s="136">
        <v>128</v>
      </c>
      <c r="L17" s="136">
        <v>128</v>
      </c>
      <c r="M17" s="136">
        <v>128</v>
      </c>
      <c r="N17" s="136">
        <v>128</v>
      </c>
      <c r="O17" s="136">
        <v>128</v>
      </c>
      <c r="P17" s="136">
        <v>128</v>
      </c>
      <c r="Q17" s="136">
        <v>128</v>
      </c>
      <c r="R17" s="136">
        <v>128</v>
      </c>
      <c r="S17" s="85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971">
        <f t="shared" si="0"/>
        <v>4</v>
      </c>
      <c r="B18" s="4" t="s">
        <v>26</v>
      </c>
      <c r="G18" s="136">
        <f>('B.2 F'!I26)/1000</f>
        <v>0</v>
      </c>
      <c r="H18" s="136">
        <f>('B.2 B'!I26)/1000</f>
        <v>0</v>
      </c>
      <c r="I18" s="136">
        <v>636</v>
      </c>
      <c r="J18" s="136">
        <v>901</v>
      </c>
      <c r="K18" s="136">
        <v>901</v>
      </c>
      <c r="L18" s="136">
        <v>901</v>
      </c>
      <c r="M18" s="136">
        <v>901</v>
      </c>
      <c r="N18" s="136">
        <v>901</v>
      </c>
      <c r="O18" s="136">
        <v>901</v>
      </c>
      <c r="P18" s="136">
        <v>901</v>
      </c>
      <c r="Q18" s="136">
        <v>907</v>
      </c>
      <c r="R18" s="136">
        <v>907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971">
        <f t="shared" si="0"/>
        <v>5</v>
      </c>
      <c r="B19" s="4" t="s">
        <v>27</v>
      </c>
      <c r="G19" s="136">
        <f>('B.2 F'!I47)/1000</f>
        <v>16268.116521237325</v>
      </c>
      <c r="H19" s="136">
        <f>('B.2 B'!I47)/1000</f>
        <v>14383.135569356229</v>
      </c>
      <c r="I19" s="136">
        <v>10792</v>
      </c>
      <c r="J19" s="136">
        <v>9630</v>
      </c>
      <c r="K19" s="136">
        <v>10104</v>
      </c>
      <c r="L19" s="136">
        <v>9388</v>
      </c>
      <c r="M19" s="136">
        <v>7731</v>
      </c>
      <c r="N19" s="136">
        <v>7540</v>
      </c>
      <c r="O19" s="136">
        <v>6950</v>
      </c>
      <c r="P19" s="136">
        <v>6878</v>
      </c>
      <c r="Q19" s="136">
        <v>6878</v>
      </c>
      <c r="R19" s="136">
        <v>6701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971">
        <f t="shared" si="0"/>
        <v>6</v>
      </c>
      <c r="B20" s="4" t="s">
        <v>28</v>
      </c>
      <c r="G20" s="136">
        <f>('B.2 F'!I59)/1000</f>
        <v>31836.989559999998</v>
      </c>
      <c r="H20" s="136">
        <f>('B.2 B'!I59)/1000</f>
        <v>31836.989559999998</v>
      </c>
      <c r="I20" s="136">
        <v>31877</v>
      </c>
      <c r="J20" s="136">
        <v>32962</v>
      </c>
      <c r="K20" s="136">
        <v>32836</v>
      </c>
      <c r="L20" s="136">
        <v>33144</v>
      </c>
      <c r="M20" s="136">
        <v>31189</v>
      </c>
      <c r="N20" s="136">
        <v>31202</v>
      </c>
      <c r="O20" s="136">
        <v>28807</v>
      </c>
      <c r="P20" s="136">
        <v>28746</v>
      </c>
      <c r="Q20" s="136">
        <v>25984</v>
      </c>
      <c r="R20" s="136">
        <v>26119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971">
        <f t="shared" si="0"/>
        <v>7</v>
      </c>
      <c r="B21" s="4" t="s">
        <v>514</v>
      </c>
      <c r="G21" s="136">
        <f>('B.2 F'!I83+'B.2 F'!I144)/1000</f>
        <v>476422.29757993505</v>
      </c>
      <c r="H21" s="136">
        <f>('B.2 B'!I83+'B.2 B'!I144)/1000</f>
        <v>430390.66926705942</v>
      </c>
      <c r="I21" s="136">
        <v>381623</v>
      </c>
      <c r="J21" s="136">
        <v>340200</v>
      </c>
      <c r="K21" s="136">
        <v>323036</v>
      </c>
      <c r="L21" s="136">
        <v>296493</v>
      </c>
      <c r="M21" s="136">
        <v>283474</v>
      </c>
      <c r="N21" s="136">
        <v>271463</v>
      </c>
      <c r="O21" s="136">
        <v>260621</v>
      </c>
      <c r="P21" s="136">
        <v>251843</v>
      </c>
      <c r="Q21" s="136">
        <v>241862</v>
      </c>
      <c r="R21" s="136">
        <v>230736</v>
      </c>
    </row>
    <row r="22" spans="1:36">
      <c r="A22" s="971">
        <f t="shared" si="0"/>
        <v>8</v>
      </c>
      <c r="B22" s="4" t="s">
        <v>975</v>
      </c>
      <c r="G22" s="136">
        <f>('B.2 F'!I107+'B.2 F'!I164+'B.2 F'!I198+'B.2 F'!I226)/1000</f>
        <v>42956.985518366644</v>
      </c>
      <c r="H22" s="136">
        <f>('B.2 B'!I107+'B.2 B'!I164+'B.2 B'!I198+'B.2 B'!I226)/1000</f>
        <v>39308.396778164788</v>
      </c>
      <c r="I22" s="136">
        <v>16683</v>
      </c>
      <c r="J22" s="136">
        <v>15589</v>
      </c>
      <c r="K22" s="136">
        <v>15238</v>
      </c>
      <c r="L22" s="136">
        <v>16000</v>
      </c>
      <c r="M22" s="136">
        <v>15103</v>
      </c>
      <c r="N22" s="136">
        <v>14696</v>
      </c>
      <c r="O22" s="136">
        <v>15422</v>
      </c>
      <c r="P22" s="136">
        <v>15165</v>
      </c>
      <c r="Q22" s="136">
        <v>14116</v>
      </c>
      <c r="R22" s="136">
        <v>16263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971">
        <f t="shared" si="0"/>
        <v>9</v>
      </c>
      <c r="B23" s="4" t="s">
        <v>393</v>
      </c>
      <c r="G23" s="136"/>
      <c r="H23" s="136"/>
      <c r="I23" s="136">
        <v>3279</v>
      </c>
      <c r="J23" s="136">
        <v>3279</v>
      </c>
      <c r="K23" s="136">
        <v>3279</v>
      </c>
      <c r="L23" s="136">
        <v>3279</v>
      </c>
      <c r="M23" s="136">
        <v>3337</v>
      </c>
      <c r="N23" s="136">
        <v>3337</v>
      </c>
      <c r="O23" s="136">
        <v>3337</v>
      </c>
      <c r="P23" s="136">
        <v>3337</v>
      </c>
      <c r="Q23" s="136">
        <v>3337</v>
      </c>
      <c r="R23" s="136">
        <v>3337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971">
        <f t="shared" si="0"/>
        <v>10</v>
      </c>
      <c r="B24" s="4" t="s">
        <v>332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971">
        <f t="shared" si="0"/>
        <v>11</v>
      </c>
      <c r="B25" s="4" t="s">
        <v>170</v>
      </c>
      <c r="G25" s="136">
        <f t="shared" ref="G25:R25" si="1">SUM(G17:G24)</f>
        <v>568248.22475066513</v>
      </c>
      <c r="H25" s="136">
        <f t="shared" si="1"/>
        <v>516683.02674570656</v>
      </c>
      <c r="I25" s="136">
        <f t="shared" si="1"/>
        <v>445018</v>
      </c>
      <c r="J25" s="136">
        <f t="shared" si="1"/>
        <v>402689</v>
      </c>
      <c r="K25" s="136">
        <f t="shared" si="1"/>
        <v>385522</v>
      </c>
      <c r="L25" s="136">
        <f t="shared" si="1"/>
        <v>359333</v>
      </c>
      <c r="M25" s="136">
        <f t="shared" si="1"/>
        <v>341863</v>
      </c>
      <c r="N25" s="136">
        <f t="shared" si="1"/>
        <v>329267</v>
      </c>
      <c r="O25" s="136">
        <f t="shared" si="1"/>
        <v>316166</v>
      </c>
      <c r="P25" s="136">
        <f t="shared" si="1"/>
        <v>306998</v>
      </c>
      <c r="Q25" s="136">
        <f t="shared" si="1"/>
        <v>293212</v>
      </c>
      <c r="R25" s="136">
        <f t="shared" si="1"/>
        <v>284191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971">
        <f t="shared" si="0"/>
        <v>12</v>
      </c>
      <c r="B26" s="4" t="s">
        <v>394</v>
      </c>
      <c r="G26" s="138">
        <f>-'B.1 F '!D17/1000</f>
        <v>186336.79135810057</v>
      </c>
      <c r="H26" s="573">
        <f>-'B.1 B'!D17/1000</f>
        <v>172025.70090940385</v>
      </c>
      <c r="I26" s="136">
        <v>160839</v>
      </c>
      <c r="J26" s="136">
        <v>158300</v>
      </c>
      <c r="K26" s="136">
        <v>151849</v>
      </c>
      <c r="L26" s="136">
        <v>150795</v>
      </c>
      <c r="M26" s="136">
        <v>147462</v>
      </c>
      <c r="N26" s="136">
        <v>144016</v>
      </c>
      <c r="O26" s="136">
        <v>139212</v>
      </c>
      <c r="P26" s="136">
        <v>134463</v>
      </c>
      <c r="Q26" s="136">
        <v>128208</v>
      </c>
      <c r="R26" s="136">
        <v>124069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971">
        <f t="shared" si="0"/>
        <v>13</v>
      </c>
      <c r="B27" s="4" t="s">
        <v>395</v>
      </c>
      <c r="G27" s="136">
        <f t="shared" ref="G27:R27" si="2">G25-G26</f>
        <v>381911.43339256453</v>
      </c>
      <c r="H27" s="904">
        <f t="shared" si="2"/>
        <v>344657.32583630271</v>
      </c>
      <c r="I27" s="1197">
        <f t="shared" si="2"/>
        <v>284179</v>
      </c>
      <c r="J27" s="1197">
        <f t="shared" si="2"/>
        <v>244389</v>
      </c>
      <c r="K27" s="1197">
        <f t="shared" si="2"/>
        <v>233673</v>
      </c>
      <c r="L27" s="1197">
        <f t="shared" si="2"/>
        <v>208538</v>
      </c>
      <c r="M27" s="1197">
        <f t="shared" si="2"/>
        <v>194401</v>
      </c>
      <c r="N27" s="1197">
        <f t="shared" si="2"/>
        <v>185251</v>
      </c>
      <c r="O27" s="1197">
        <f t="shared" si="2"/>
        <v>176954</v>
      </c>
      <c r="P27" s="1197">
        <f t="shared" si="2"/>
        <v>172535</v>
      </c>
      <c r="Q27" s="1197">
        <f t="shared" si="2"/>
        <v>165004</v>
      </c>
      <c r="R27" s="1197">
        <f t="shared" si="2"/>
        <v>160122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971">
        <f t="shared" si="0"/>
        <v>14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36">
      <c r="A29" s="971">
        <f t="shared" si="0"/>
        <v>15</v>
      </c>
      <c r="B29" s="4" t="s">
        <v>800</v>
      </c>
      <c r="G29" s="136">
        <f>'B.1 F '!D16/1000</f>
        <v>14731.738637158927</v>
      </c>
      <c r="H29" s="136">
        <f>'B.1 B'!D16/1000</f>
        <v>14905.45146043239</v>
      </c>
      <c r="I29" s="136">
        <v>12708</v>
      </c>
      <c r="J29" s="136">
        <v>16578</v>
      </c>
      <c r="K29" s="136">
        <v>6006</v>
      </c>
      <c r="L29" s="136">
        <v>3306</v>
      </c>
      <c r="M29" s="136">
        <v>7197</v>
      </c>
      <c r="N29" s="136">
        <v>4851</v>
      </c>
      <c r="O29" s="136">
        <v>5215</v>
      </c>
      <c r="P29" s="136">
        <v>1897</v>
      </c>
      <c r="Q29" s="136">
        <v>3573</v>
      </c>
      <c r="R29" s="136">
        <v>1983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971">
        <f t="shared" si="0"/>
        <v>16</v>
      </c>
      <c r="B30" s="4" t="s">
        <v>332</v>
      </c>
      <c r="G30" s="138"/>
      <c r="H30" s="138"/>
      <c r="I30" s="138"/>
      <c r="J30" s="138"/>
      <c r="K30" s="1226"/>
      <c r="L30" s="138"/>
      <c r="M30" s="138"/>
      <c r="N30" s="138"/>
      <c r="O30" s="138"/>
      <c r="P30" s="138"/>
      <c r="Q30" s="138"/>
      <c r="R30" s="13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971">
        <f t="shared" si="0"/>
        <v>17</v>
      </c>
      <c r="B31" s="4" t="s">
        <v>1199</v>
      </c>
      <c r="G31" s="136">
        <f t="shared" ref="G31:R31" si="3">SUM(G29:G30)</f>
        <v>14731.738637158927</v>
      </c>
      <c r="H31" s="136">
        <f t="shared" si="3"/>
        <v>14905.45146043239</v>
      </c>
      <c r="I31" s="136">
        <f t="shared" si="3"/>
        <v>12708</v>
      </c>
      <c r="J31" s="136">
        <f t="shared" si="3"/>
        <v>16578</v>
      </c>
      <c r="K31" s="136">
        <f t="shared" si="3"/>
        <v>6006</v>
      </c>
      <c r="L31" s="136">
        <f t="shared" si="3"/>
        <v>3306</v>
      </c>
      <c r="M31" s="136">
        <f t="shared" si="3"/>
        <v>7197</v>
      </c>
      <c r="N31" s="136">
        <f t="shared" si="3"/>
        <v>4851</v>
      </c>
      <c r="O31" s="136">
        <f t="shared" si="3"/>
        <v>5215</v>
      </c>
      <c r="P31" s="136">
        <f t="shared" si="3"/>
        <v>1897</v>
      </c>
      <c r="Q31" s="136">
        <f t="shared" si="3"/>
        <v>3573</v>
      </c>
      <c r="R31" s="136">
        <f t="shared" si="3"/>
        <v>1983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971">
        <f t="shared" si="0"/>
        <v>18</v>
      </c>
      <c r="G32" s="136"/>
      <c r="H32" s="136"/>
      <c r="I32" s="136"/>
      <c r="J32" s="136"/>
      <c r="K32" s="136"/>
      <c r="L32" s="136"/>
      <c r="M32" s="136"/>
      <c r="N32" s="136"/>
      <c r="O32" s="130"/>
      <c r="P32" s="136"/>
      <c r="Q32" s="136"/>
      <c r="R32" s="13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971">
        <f t="shared" si="0"/>
        <v>19</v>
      </c>
      <c r="B33" s="4" t="s">
        <v>101</v>
      </c>
      <c r="G33" s="155">
        <f t="shared" ref="G33:R33" si="4">G27+G31</f>
        <v>396643.17202972347</v>
      </c>
      <c r="H33" s="155">
        <f t="shared" si="4"/>
        <v>359562.77729673509</v>
      </c>
      <c r="I33" s="155">
        <f t="shared" si="4"/>
        <v>296887</v>
      </c>
      <c r="J33" s="155">
        <f t="shared" si="4"/>
        <v>260967</v>
      </c>
      <c r="K33" s="155">
        <f t="shared" si="4"/>
        <v>239679</v>
      </c>
      <c r="L33" s="155">
        <f t="shared" si="4"/>
        <v>211844</v>
      </c>
      <c r="M33" s="155">
        <f t="shared" si="4"/>
        <v>201598</v>
      </c>
      <c r="N33" s="155">
        <f t="shared" si="4"/>
        <v>190102</v>
      </c>
      <c r="O33" s="155">
        <f t="shared" si="4"/>
        <v>182169</v>
      </c>
      <c r="P33" s="155">
        <f t="shared" si="4"/>
        <v>174432</v>
      </c>
      <c r="Q33" s="155">
        <f t="shared" si="4"/>
        <v>168577</v>
      </c>
      <c r="R33" s="155">
        <f t="shared" si="4"/>
        <v>162105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971">
        <f t="shared" si="0"/>
        <v>20</v>
      </c>
      <c r="G34" s="136"/>
      <c r="H34" s="130"/>
      <c r="I34" s="136"/>
      <c r="J34" s="136"/>
      <c r="K34" s="136"/>
      <c r="L34" s="130"/>
      <c r="M34" s="136"/>
      <c r="N34" s="136"/>
      <c r="O34" s="136"/>
      <c r="P34" s="136"/>
      <c r="Q34" s="136"/>
      <c r="R34" s="13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971">
        <f t="shared" si="0"/>
        <v>21</v>
      </c>
      <c r="B35" s="4" t="s">
        <v>396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971">
        <f t="shared" si="0"/>
        <v>22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971">
        <f t="shared" si="0"/>
        <v>23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36">
      <c r="A38" s="971">
        <f t="shared" si="0"/>
        <v>24</v>
      </c>
      <c r="B38" s="168" t="s">
        <v>1255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0"/>
      <c r="T38" s="10"/>
      <c r="U38" s="10"/>
      <c r="AA38" s="3"/>
    </row>
    <row r="39" spans="1:36">
      <c r="A39" s="971">
        <f t="shared" si="0"/>
        <v>25</v>
      </c>
      <c r="B39" s="17" t="s">
        <v>1088</v>
      </c>
      <c r="C39" s="16"/>
      <c r="D39" s="1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0"/>
      <c r="T39" s="10"/>
      <c r="U39" s="10"/>
      <c r="X39" s="3"/>
      <c r="AA39" s="3"/>
      <c r="AC39" s="3"/>
      <c r="AD39" s="3"/>
      <c r="AE39" s="3"/>
      <c r="AF39" s="3"/>
      <c r="AG39" s="3"/>
      <c r="AH39" s="3"/>
    </row>
    <row r="40" spans="1:36" ht="15.75">
      <c r="A40" s="971">
        <f t="shared" si="0"/>
        <v>26</v>
      </c>
      <c r="B40" s="4" t="s">
        <v>1089</v>
      </c>
      <c r="G40" s="184">
        <f>'J-1 F'!G20</f>
        <v>248480.49283154123</v>
      </c>
      <c r="H40" s="184">
        <f>'J-1 Base'!G19</f>
        <v>415875.57768141665</v>
      </c>
      <c r="I40" s="184">
        <v>196695</v>
      </c>
      <c r="J40" s="184">
        <v>367984</v>
      </c>
      <c r="K40" s="184">
        <v>570929</v>
      </c>
      <c r="L40" s="184">
        <v>206396</v>
      </c>
      <c r="M40" s="184">
        <v>126100</v>
      </c>
      <c r="N40" s="184">
        <v>72550</v>
      </c>
      <c r="O40" s="184">
        <v>350542</v>
      </c>
      <c r="P40" s="184">
        <v>150599</v>
      </c>
      <c r="Q40" s="184">
        <v>382416</v>
      </c>
      <c r="R40" s="184">
        <v>144809</v>
      </c>
      <c r="S40" s="851"/>
      <c r="X40" s="3"/>
      <c r="Z40" s="3"/>
      <c r="AA40" s="3"/>
      <c r="AC40" s="3"/>
      <c r="AD40" s="3"/>
      <c r="AE40" s="3"/>
      <c r="AF40" s="3"/>
      <c r="AG40" s="3"/>
      <c r="AH40" s="3"/>
    </row>
    <row r="41" spans="1:36" ht="15.75">
      <c r="A41" s="971">
        <f t="shared" si="0"/>
        <v>27</v>
      </c>
      <c r="B41" s="4" t="s">
        <v>1090</v>
      </c>
      <c r="G41" s="184">
        <f>'J-1 F'!G22</f>
        <v>2455326.2090518805</v>
      </c>
      <c r="H41" s="184">
        <f>'J-1 Base'!G21</f>
        <v>2455352.5582333333</v>
      </c>
      <c r="I41" s="184">
        <v>2455986</v>
      </c>
      <c r="J41" s="184">
        <v>2455671</v>
      </c>
      <c r="K41" s="184">
        <v>1956305</v>
      </c>
      <c r="L41" s="184">
        <v>2206117</v>
      </c>
      <c r="M41" s="184">
        <v>1809551</v>
      </c>
      <c r="N41" s="184">
        <v>2169400</v>
      </c>
      <c r="O41" s="184">
        <v>2119792</v>
      </c>
      <c r="P41" s="184">
        <v>2126315</v>
      </c>
      <c r="Q41" s="184">
        <v>2180362</v>
      </c>
      <c r="R41" s="184">
        <v>2183104</v>
      </c>
      <c r="S41" s="851"/>
      <c r="AA41" s="3"/>
    </row>
    <row r="42" spans="1:36">
      <c r="A42" s="971">
        <f t="shared" si="0"/>
        <v>28</v>
      </c>
      <c r="B42" s="4" t="s">
        <v>261</v>
      </c>
      <c r="G42" s="905"/>
      <c r="H42" s="905"/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X42" s="3"/>
      <c r="AA42" s="3"/>
      <c r="AC42" s="3"/>
      <c r="AD42" s="3"/>
      <c r="AE42" s="3"/>
      <c r="AF42" s="3"/>
      <c r="AG42" s="3"/>
      <c r="AH42" s="3"/>
    </row>
    <row r="43" spans="1:36" ht="15.75">
      <c r="A43" s="971">
        <f t="shared" si="0"/>
        <v>29</v>
      </c>
      <c r="B43" s="4" t="s">
        <v>262</v>
      </c>
      <c r="G43" s="855">
        <f>'J-1 F'!G26</f>
        <v>3132773.0361461542</v>
      </c>
      <c r="H43" s="855">
        <f>'J-1 Base'!G25</f>
        <v>3236641.9515410024</v>
      </c>
      <c r="I43" s="184">
        <v>3086232</v>
      </c>
      <c r="J43" s="184">
        <v>2580409</v>
      </c>
      <c r="K43" s="184">
        <v>2359243</v>
      </c>
      <c r="L43" s="184">
        <v>2255421</v>
      </c>
      <c r="M43" s="184">
        <v>2178348</v>
      </c>
      <c r="N43" s="184">
        <v>2176761</v>
      </c>
      <c r="O43" s="184">
        <v>2052492</v>
      </c>
      <c r="P43" s="184">
        <v>1965754</v>
      </c>
      <c r="Q43" s="184">
        <v>1648098</v>
      </c>
      <c r="R43" s="184">
        <v>1602422</v>
      </c>
      <c r="S43" s="851"/>
      <c r="AA43" s="3"/>
    </row>
    <row r="44" spans="1:36">
      <c r="A44" s="971">
        <f t="shared" si="0"/>
        <v>30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X44" s="3"/>
      <c r="Z44" s="3"/>
      <c r="AA44" s="3"/>
      <c r="AC44" s="3"/>
      <c r="AD44" s="3"/>
      <c r="AE44" s="3"/>
      <c r="AF44" s="3"/>
      <c r="AG44" s="3"/>
      <c r="AH44" s="3"/>
    </row>
    <row r="45" spans="1:36">
      <c r="A45" s="971">
        <f t="shared" si="0"/>
        <v>31</v>
      </c>
      <c r="B45" s="4" t="s">
        <v>101</v>
      </c>
      <c r="G45" s="155">
        <f>'J-1 F'!G28</f>
        <v>5836579.7380295759</v>
      </c>
      <c r="H45" s="155">
        <f>'J-1 Base'!G27</f>
        <v>6107870.0874557523</v>
      </c>
      <c r="I45" s="155">
        <f t="shared" ref="I45:R45" si="5">SUM(I40:I43)</f>
        <v>5738913</v>
      </c>
      <c r="J45" s="155">
        <f t="shared" si="5"/>
        <v>5404064</v>
      </c>
      <c r="K45" s="155">
        <f t="shared" si="5"/>
        <v>4886477</v>
      </c>
      <c r="L45" s="155">
        <f t="shared" si="5"/>
        <v>4667934</v>
      </c>
      <c r="M45" s="155">
        <f t="shared" si="5"/>
        <v>4113999</v>
      </c>
      <c r="N45" s="155">
        <f t="shared" si="5"/>
        <v>4418711</v>
      </c>
      <c r="O45" s="155">
        <f>SUM(O40:O43)</f>
        <v>4522826</v>
      </c>
      <c r="P45" s="155">
        <f t="shared" si="5"/>
        <v>4242668</v>
      </c>
      <c r="Q45" s="155">
        <f t="shared" si="5"/>
        <v>4210876</v>
      </c>
      <c r="R45" s="155">
        <f t="shared" si="5"/>
        <v>3930335</v>
      </c>
      <c r="AA45" s="3"/>
    </row>
    <row r="46" spans="1:36">
      <c r="A46" s="971">
        <f t="shared" si="0"/>
        <v>32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X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6">
      <c r="A47" s="971">
        <f t="shared" si="0"/>
        <v>33</v>
      </c>
      <c r="B47" s="17" t="s">
        <v>263</v>
      </c>
      <c r="C47" s="16"/>
      <c r="D47" s="16"/>
      <c r="E47" s="16"/>
      <c r="F47" s="1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AA47" s="3"/>
    </row>
    <row r="48" spans="1:36" ht="15.75">
      <c r="A48" s="971">
        <f t="shared" si="0"/>
        <v>34</v>
      </c>
      <c r="B48" s="4" t="s">
        <v>1208</v>
      </c>
      <c r="G48" s="184">
        <f>+I.1!L19</f>
        <v>166804.6554724203</v>
      </c>
      <c r="H48" s="184">
        <f>+I.1!J19</f>
        <v>159871.89965203637</v>
      </c>
      <c r="I48" s="184">
        <v>196882</v>
      </c>
      <c r="J48" s="184">
        <v>162968</v>
      </c>
      <c r="K48" s="184">
        <v>134778</v>
      </c>
      <c r="L48" s="184">
        <v>149662</v>
      </c>
      <c r="M48" s="184">
        <v>156816</v>
      </c>
      <c r="N48" s="184">
        <v>190356</v>
      </c>
      <c r="O48" s="184">
        <v>244308.47516</v>
      </c>
      <c r="P48" s="184">
        <v>203286.68382000001</v>
      </c>
      <c r="Q48" s="184">
        <v>208077.45324999999</v>
      </c>
      <c r="R48" s="184">
        <v>244452</v>
      </c>
      <c r="S48" s="851"/>
      <c r="AA48" s="3"/>
    </row>
    <row r="49" spans="1:34" ht="15.75">
      <c r="A49" s="971">
        <f t="shared" si="0"/>
        <v>35</v>
      </c>
      <c r="B49" s="4" t="s">
        <v>293</v>
      </c>
      <c r="G49" s="136"/>
      <c r="H49" s="136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851"/>
      <c r="X49" s="3"/>
      <c r="Z49" s="3"/>
      <c r="AA49" s="3"/>
      <c r="AC49" s="3"/>
      <c r="AD49" s="3"/>
      <c r="AE49" s="3"/>
      <c r="AF49" s="3"/>
      <c r="AG49" s="3"/>
      <c r="AH49" s="3"/>
    </row>
    <row r="50" spans="1:34">
      <c r="A50" s="971">
        <f t="shared" si="0"/>
        <v>36</v>
      </c>
      <c r="B50" s="4" t="s">
        <v>636</v>
      </c>
      <c r="G50" s="184">
        <f>+I.1!L29+I.1!L21</f>
        <v>130510.40307244609</v>
      </c>
      <c r="H50" s="184">
        <f>+I.1!J29+I.1!J21</f>
        <v>128370.64270029796</v>
      </c>
      <c r="I50" s="184">
        <v>166452</v>
      </c>
      <c r="J50" s="184">
        <v>139358</v>
      </c>
      <c r="K50" s="184">
        <v>112027</v>
      </c>
      <c r="L50" s="184">
        <v>126219</v>
      </c>
      <c r="M50" s="184">
        <v>136649</v>
      </c>
      <c r="N50" s="184">
        <v>176587</v>
      </c>
      <c r="O50" s="184">
        <v>224347.66394</v>
      </c>
      <c r="P50" s="184">
        <v>187733.05102000001</v>
      </c>
      <c r="Q50" s="184">
        <v>194747.19339000003</v>
      </c>
      <c r="R50" s="184">
        <v>225449</v>
      </c>
      <c r="Z50" s="3"/>
      <c r="AA50" s="3"/>
    </row>
    <row r="51" spans="1:34">
      <c r="A51" s="971">
        <f t="shared" si="0"/>
        <v>37</v>
      </c>
      <c r="B51" s="4" t="s">
        <v>264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X51" s="3"/>
      <c r="Z51" s="3"/>
      <c r="AA51" s="3"/>
      <c r="AC51" s="3"/>
      <c r="AD51" s="3"/>
      <c r="AE51" s="3"/>
      <c r="AF51" s="3"/>
      <c r="AG51" s="3"/>
      <c r="AH51" s="3"/>
    </row>
    <row r="52" spans="1:34">
      <c r="A52" s="971">
        <f t="shared" si="0"/>
        <v>38</v>
      </c>
      <c r="B52" s="4" t="s">
        <v>265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Z52" s="3"/>
      <c r="AA52" s="3"/>
    </row>
    <row r="53" spans="1:34">
      <c r="A53" s="971">
        <f t="shared" si="0"/>
        <v>39</v>
      </c>
      <c r="B53" s="4" t="s">
        <v>266</v>
      </c>
      <c r="G53" s="136">
        <f>+I.1!L42</f>
        <v>11858.345578525346</v>
      </c>
      <c r="H53" s="136">
        <f>+I.1!J42</f>
        <v>10489.530660547796</v>
      </c>
      <c r="I53" s="184">
        <v>9671</v>
      </c>
      <c r="J53" s="184">
        <v>7060</v>
      </c>
      <c r="K53" s="184">
        <v>8157</v>
      </c>
      <c r="L53" s="184">
        <v>8094</v>
      </c>
      <c r="M53" s="184">
        <v>5654</v>
      </c>
      <c r="N53" s="184">
        <v>2889</v>
      </c>
      <c r="O53" s="184">
        <v>6985</v>
      </c>
      <c r="P53" s="184">
        <v>4307</v>
      </c>
      <c r="Q53" s="184">
        <v>3197.9320000000002</v>
      </c>
      <c r="R53" s="184">
        <v>5529</v>
      </c>
      <c r="X53" s="3"/>
      <c r="Z53" s="3"/>
      <c r="AA53" s="3"/>
      <c r="AC53" s="3"/>
      <c r="AD53" s="3"/>
      <c r="AE53" s="3"/>
      <c r="AF53" s="3"/>
      <c r="AG53" s="3"/>
      <c r="AH53" s="3"/>
    </row>
    <row r="54" spans="1:34">
      <c r="A54" s="971">
        <f t="shared" si="0"/>
        <v>40</v>
      </c>
      <c r="B54" s="4" t="s">
        <v>267</v>
      </c>
      <c r="G54" s="855">
        <v>0</v>
      </c>
      <c r="H54" s="855">
        <v>0</v>
      </c>
      <c r="I54" s="1227">
        <v>0</v>
      </c>
      <c r="J54" s="1227">
        <v>0</v>
      </c>
      <c r="K54" s="1227">
        <v>0</v>
      </c>
      <c r="L54" s="1227">
        <v>0</v>
      </c>
      <c r="M54" s="1227">
        <v>0</v>
      </c>
      <c r="N54" s="1227">
        <v>0</v>
      </c>
      <c r="O54" s="1227">
        <v>0</v>
      </c>
      <c r="P54" s="1227">
        <v>0</v>
      </c>
      <c r="Q54" s="1227">
        <v>0</v>
      </c>
      <c r="R54" s="1227">
        <v>0</v>
      </c>
      <c r="Z54" s="3"/>
      <c r="AA54" s="3"/>
    </row>
    <row r="55" spans="1:34">
      <c r="A55" s="971">
        <f t="shared" si="0"/>
        <v>41</v>
      </c>
      <c r="B55" s="4" t="s">
        <v>811</v>
      </c>
      <c r="G55" s="136">
        <f t="shared" ref="G55:R55" si="6">G48-G50-G53-G54</f>
        <v>24435.906821448865</v>
      </c>
      <c r="H55" s="136">
        <f t="shared" si="6"/>
        <v>21011.726291190615</v>
      </c>
      <c r="I55" s="136">
        <f t="shared" si="6"/>
        <v>20759</v>
      </c>
      <c r="J55" s="136">
        <f t="shared" si="6"/>
        <v>16550</v>
      </c>
      <c r="K55" s="136">
        <f t="shared" si="6"/>
        <v>14594</v>
      </c>
      <c r="L55" s="136">
        <f t="shared" si="6"/>
        <v>15349</v>
      </c>
      <c r="M55" s="136">
        <f t="shared" si="6"/>
        <v>14513</v>
      </c>
      <c r="N55" s="136">
        <f t="shared" si="6"/>
        <v>10880</v>
      </c>
      <c r="O55" s="136">
        <f t="shared" si="6"/>
        <v>12975.811220000003</v>
      </c>
      <c r="P55" s="136">
        <f t="shared" si="6"/>
        <v>11246.632799999992</v>
      </c>
      <c r="Q55" s="136">
        <f t="shared" si="6"/>
        <v>10132.327859999961</v>
      </c>
      <c r="R55" s="136">
        <f t="shared" si="6"/>
        <v>13474</v>
      </c>
      <c r="Z55" s="3"/>
      <c r="AA55" s="3"/>
    </row>
    <row r="56" spans="1:34" ht="15.75">
      <c r="A56" s="971">
        <f t="shared" si="0"/>
        <v>42</v>
      </c>
      <c r="B56" s="4" t="s">
        <v>993</v>
      </c>
      <c r="G56" s="184">
        <v>0</v>
      </c>
      <c r="H56" s="184">
        <v>0</v>
      </c>
      <c r="I56" s="184">
        <v>139</v>
      </c>
      <c r="J56" s="184">
        <v>88</v>
      </c>
      <c r="K56" s="184">
        <v>101</v>
      </c>
      <c r="L56" s="184">
        <v>22</v>
      </c>
      <c r="M56" s="184">
        <v>286</v>
      </c>
      <c r="N56" s="184">
        <v>199</v>
      </c>
      <c r="O56" s="184">
        <v>160</v>
      </c>
      <c r="P56" s="184">
        <v>94</v>
      </c>
      <c r="Q56" s="184">
        <v>104</v>
      </c>
      <c r="R56" s="184">
        <v>69</v>
      </c>
      <c r="S56" s="851"/>
      <c r="Z56" s="3"/>
      <c r="AA56" s="3"/>
      <c r="AC56" s="3"/>
      <c r="AD56" s="3"/>
      <c r="AE56" s="3"/>
      <c r="AF56" s="3"/>
      <c r="AG56" s="3"/>
      <c r="AH56" s="3"/>
    </row>
    <row r="57" spans="1:34">
      <c r="A57" s="971">
        <f t="shared" si="0"/>
        <v>43</v>
      </c>
      <c r="B57" s="4" t="s">
        <v>1091</v>
      </c>
      <c r="G57" s="855">
        <f>+I.1!L37</f>
        <v>2645.7341500000002</v>
      </c>
      <c r="H57" s="855">
        <f>+I.1!J37</f>
        <v>2635.7341500000002</v>
      </c>
      <c r="I57" s="1227">
        <v>2019</v>
      </c>
      <c r="J57" s="1227">
        <v>2033</v>
      </c>
      <c r="K57" s="1227">
        <v>2046</v>
      </c>
      <c r="L57" s="1227">
        <v>2657</v>
      </c>
      <c r="M57" s="1227">
        <v>1748</v>
      </c>
      <c r="N57" s="1227">
        <v>2278</v>
      </c>
      <c r="O57" s="1227">
        <v>2529</v>
      </c>
      <c r="P57" s="1227">
        <v>1547</v>
      </c>
      <c r="Q57" s="1227">
        <v>1732</v>
      </c>
      <c r="R57" s="1227">
        <v>1206</v>
      </c>
    </row>
    <row r="58" spans="1:34">
      <c r="A58" s="971">
        <f t="shared" si="0"/>
        <v>44</v>
      </c>
      <c r="B58" s="4" t="s">
        <v>1092</v>
      </c>
      <c r="G58" s="136">
        <f t="shared" ref="G58:R58" si="7">G55+G56+G57</f>
        <v>27081.640971448865</v>
      </c>
      <c r="H58" s="136">
        <f t="shared" si="7"/>
        <v>23647.460441190615</v>
      </c>
      <c r="I58" s="136">
        <f t="shared" si="7"/>
        <v>22917</v>
      </c>
      <c r="J58" s="136">
        <f t="shared" si="7"/>
        <v>18671</v>
      </c>
      <c r="K58" s="136">
        <f t="shared" si="7"/>
        <v>16741</v>
      </c>
      <c r="L58" s="136">
        <f t="shared" si="7"/>
        <v>18028</v>
      </c>
      <c r="M58" s="136">
        <f t="shared" si="7"/>
        <v>16547</v>
      </c>
      <c r="N58" s="136">
        <f>N55+N56+N57</f>
        <v>13357</v>
      </c>
      <c r="O58" s="136">
        <f t="shared" si="7"/>
        <v>15664.811220000003</v>
      </c>
      <c r="P58" s="136">
        <f t="shared" si="7"/>
        <v>12887.632799999992</v>
      </c>
      <c r="Q58" s="136">
        <f t="shared" si="7"/>
        <v>11968.327859999961</v>
      </c>
      <c r="R58" s="136">
        <f t="shared" si="7"/>
        <v>14749</v>
      </c>
    </row>
    <row r="59" spans="1:34">
      <c r="A59" s="971">
        <f t="shared" si="0"/>
        <v>45</v>
      </c>
      <c r="B59" s="4" t="s">
        <v>1093</v>
      </c>
      <c r="G59" s="855">
        <f>+I.1!L40</f>
        <v>8455.8076848704841</v>
      </c>
      <c r="H59" s="855">
        <f>+I.1!J40</f>
        <v>7171.6166530294149</v>
      </c>
      <c r="I59" s="1228">
        <v>6559</v>
      </c>
      <c r="J59" s="1228">
        <v>6524</v>
      </c>
      <c r="K59" s="1228">
        <v>5612</v>
      </c>
      <c r="L59" s="1228">
        <v>5792</v>
      </c>
      <c r="M59" s="1228">
        <v>6270</v>
      </c>
      <c r="N59" s="1228">
        <v>6633</v>
      </c>
      <c r="O59" s="1228">
        <v>6138</v>
      </c>
      <c r="P59" s="1228">
        <v>6155</v>
      </c>
      <c r="Q59" s="1228">
        <v>6782</v>
      </c>
      <c r="R59" s="1228">
        <v>6097</v>
      </c>
    </row>
    <row r="60" spans="1:34">
      <c r="A60" s="971">
        <f t="shared" si="0"/>
        <v>46</v>
      </c>
      <c r="B60" s="4" t="s">
        <v>1094</v>
      </c>
      <c r="G60" s="136">
        <f t="shared" ref="G60:R60" si="8">G58-G59</f>
        <v>18625.833286578381</v>
      </c>
      <c r="H60" s="136">
        <f t="shared" si="8"/>
        <v>16475.843788161201</v>
      </c>
      <c r="I60" s="136">
        <f t="shared" si="8"/>
        <v>16358</v>
      </c>
      <c r="J60" s="136">
        <f t="shared" si="8"/>
        <v>12147</v>
      </c>
      <c r="K60" s="136">
        <f t="shared" si="8"/>
        <v>11129</v>
      </c>
      <c r="L60" s="136">
        <f t="shared" si="8"/>
        <v>12236</v>
      </c>
      <c r="M60" s="136">
        <f t="shared" si="8"/>
        <v>10277</v>
      </c>
      <c r="N60" s="136">
        <f t="shared" si="8"/>
        <v>6724</v>
      </c>
      <c r="O60" s="136">
        <f t="shared" si="8"/>
        <v>9526.8112200000032</v>
      </c>
      <c r="P60" s="136">
        <f t="shared" si="8"/>
        <v>6732.6327999999921</v>
      </c>
      <c r="Q60" s="136">
        <f t="shared" si="8"/>
        <v>5186.3278599999612</v>
      </c>
      <c r="R60" s="136">
        <f t="shared" si="8"/>
        <v>8652</v>
      </c>
    </row>
    <row r="61" spans="1:34">
      <c r="A61" s="971">
        <f t="shared" si="0"/>
        <v>47</v>
      </c>
      <c r="B61" s="4" t="s">
        <v>1095</v>
      </c>
      <c r="G61" s="1229" t="s">
        <v>349</v>
      </c>
      <c r="H61" s="1229" t="s">
        <v>349</v>
      </c>
      <c r="I61" s="1229" t="s">
        <v>349</v>
      </c>
      <c r="J61" s="1229" t="s">
        <v>349</v>
      </c>
      <c r="K61" s="1229" t="s">
        <v>349</v>
      </c>
      <c r="L61" s="1229" t="s">
        <v>349</v>
      </c>
      <c r="M61" s="1229" t="s">
        <v>349</v>
      </c>
      <c r="N61" s="1229" t="s">
        <v>349</v>
      </c>
      <c r="O61" s="1229" t="s">
        <v>349</v>
      </c>
      <c r="P61" s="1229" t="s">
        <v>349</v>
      </c>
      <c r="Q61" s="1229" t="s">
        <v>349</v>
      </c>
      <c r="R61" s="1229" t="s">
        <v>349</v>
      </c>
    </row>
    <row r="62" spans="1:34" ht="15.75">
      <c r="A62" s="971">
        <f t="shared" si="0"/>
        <v>48</v>
      </c>
      <c r="B62" s="4" t="s">
        <v>392</v>
      </c>
      <c r="G62" s="155">
        <f t="shared" ref="G62:R62" si="9">G60</f>
        <v>18625.833286578381</v>
      </c>
      <c r="H62" s="155">
        <f t="shared" si="9"/>
        <v>16475.843788161201</v>
      </c>
      <c r="I62" s="155">
        <f t="shared" si="9"/>
        <v>16358</v>
      </c>
      <c r="J62" s="155">
        <f t="shared" si="9"/>
        <v>12147</v>
      </c>
      <c r="K62" s="155">
        <f t="shared" si="9"/>
        <v>11129</v>
      </c>
      <c r="L62" s="155">
        <f t="shared" si="9"/>
        <v>12236</v>
      </c>
      <c r="M62" s="155">
        <f t="shared" si="9"/>
        <v>10277</v>
      </c>
      <c r="N62" s="155">
        <f t="shared" si="9"/>
        <v>6724</v>
      </c>
      <c r="O62" s="155">
        <f t="shared" si="9"/>
        <v>9526.8112200000032</v>
      </c>
      <c r="P62" s="155">
        <f t="shared" si="9"/>
        <v>6732.6327999999921</v>
      </c>
      <c r="Q62" s="155">
        <f t="shared" si="9"/>
        <v>5186.3278599999612</v>
      </c>
      <c r="R62" s="155">
        <f t="shared" si="9"/>
        <v>8652</v>
      </c>
      <c r="S62" s="851"/>
    </row>
    <row r="63" spans="1:34">
      <c r="A63" s="971">
        <f t="shared" si="0"/>
        <v>49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34">
      <c r="A64" s="971">
        <f t="shared" si="0"/>
        <v>50</v>
      </c>
      <c r="B64" s="4" t="s">
        <v>743</v>
      </c>
      <c r="G64" s="753">
        <f t="shared" ref="G64:R64" si="10">ROUND(G56/G62,4)</f>
        <v>0</v>
      </c>
      <c r="H64" s="753">
        <f t="shared" si="10"/>
        <v>0</v>
      </c>
      <c r="I64" s="753">
        <f t="shared" ref="I64" si="11">ROUND(I56/I62,4)</f>
        <v>8.5000000000000006E-3</v>
      </c>
      <c r="J64" s="753">
        <f t="shared" si="10"/>
        <v>7.1999999999999998E-3</v>
      </c>
      <c r="K64" s="753">
        <f t="shared" si="10"/>
        <v>9.1000000000000004E-3</v>
      </c>
      <c r="L64" s="753">
        <f t="shared" si="10"/>
        <v>1.8E-3</v>
      </c>
      <c r="M64" s="753">
        <f t="shared" si="10"/>
        <v>2.7799999999999998E-2</v>
      </c>
      <c r="N64" s="753">
        <f t="shared" si="10"/>
        <v>2.9600000000000001E-2</v>
      </c>
      <c r="O64" s="753">
        <f t="shared" si="10"/>
        <v>1.6799999999999999E-2</v>
      </c>
      <c r="P64" s="753">
        <f t="shared" si="10"/>
        <v>1.4E-2</v>
      </c>
      <c r="Q64" s="753">
        <f t="shared" si="10"/>
        <v>2.01E-2</v>
      </c>
      <c r="R64" s="753">
        <f t="shared" si="10"/>
        <v>8.0000000000000002E-3</v>
      </c>
    </row>
    <row r="65" spans="1:19">
      <c r="A65" s="971">
        <f t="shared" si="0"/>
        <v>51</v>
      </c>
      <c r="B65" s="4" t="s">
        <v>744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9">
      <c r="A66" s="971">
        <f t="shared" si="0"/>
        <v>52</v>
      </c>
      <c r="B66" s="4" t="s">
        <v>745</v>
      </c>
      <c r="G66" s="753">
        <f t="shared" ref="G66:R66" si="12">ROUND(G56/G62,4)</f>
        <v>0</v>
      </c>
      <c r="H66" s="753">
        <f t="shared" si="12"/>
        <v>0</v>
      </c>
      <c r="I66" s="753">
        <f>ROUND(I56/I62,4)</f>
        <v>8.5000000000000006E-3</v>
      </c>
      <c r="J66" s="753">
        <f>ROUND(J56/J62,4)</f>
        <v>7.1999999999999998E-3</v>
      </c>
      <c r="K66" s="753">
        <f t="shared" si="12"/>
        <v>9.1000000000000004E-3</v>
      </c>
      <c r="L66" s="753">
        <f t="shared" si="12"/>
        <v>1.8E-3</v>
      </c>
      <c r="M66" s="753">
        <f t="shared" si="12"/>
        <v>2.7799999999999998E-2</v>
      </c>
      <c r="N66" s="753">
        <f t="shared" si="12"/>
        <v>2.9600000000000001E-2</v>
      </c>
      <c r="O66" s="753">
        <f t="shared" si="12"/>
        <v>1.6799999999999999E-2</v>
      </c>
      <c r="P66" s="753">
        <f t="shared" si="12"/>
        <v>1.4E-2</v>
      </c>
      <c r="Q66" s="753">
        <f t="shared" si="12"/>
        <v>2.01E-2</v>
      </c>
      <c r="R66" s="753">
        <f t="shared" si="12"/>
        <v>8.0000000000000002E-3</v>
      </c>
    </row>
    <row r="67" spans="1:19">
      <c r="A67" s="971">
        <f t="shared" si="0"/>
        <v>53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19">
      <c r="A68" s="971">
        <f t="shared" si="0"/>
        <v>54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9">
      <c r="A69" s="971">
        <f t="shared" si="0"/>
        <v>55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19">
      <c r="A70" s="971">
        <f t="shared" si="0"/>
        <v>56</v>
      </c>
      <c r="B70" s="17" t="s">
        <v>746</v>
      </c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9">
      <c r="A71" s="971">
        <f t="shared" si="0"/>
        <v>57</v>
      </c>
      <c r="B71" s="4" t="s">
        <v>747</v>
      </c>
      <c r="C71" s="16"/>
      <c r="G71" s="753">
        <f>+'J-1 F'!K20</f>
        <v>1.2500000000000001E-2</v>
      </c>
      <c r="H71" s="753">
        <f>+'J-1 Base'!K19</f>
        <v>9.4300720778860338E-3</v>
      </c>
      <c r="I71" s="753">
        <v>1.49E-2</v>
      </c>
      <c r="J71" s="753">
        <v>1.17E-2</v>
      </c>
      <c r="K71" s="753">
        <v>1.2200000000000001E-2</v>
      </c>
      <c r="L71" s="753">
        <v>1.03E-2</v>
      </c>
      <c r="M71" s="753">
        <v>3.2300000000000002E-2</v>
      </c>
      <c r="N71" s="753">
        <v>6.8000000000000005E-2</v>
      </c>
      <c r="O71" s="753">
        <v>4.3999999999999997E-2</v>
      </c>
      <c r="P71" s="753">
        <v>5.6000000000000001E-2</v>
      </c>
      <c r="Q71" s="753">
        <v>0.05</v>
      </c>
      <c r="R71" s="753">
        <v>3.3000000000000002E-2</v>
      </c>
    </row>
    <row r="72" spans="1:19">
      <c r="A72" s="971">
        <f t="shared" si="0"/>
        <v>58</v>
      </c>
      <c r="B72" s="4" t="s">
        <v>748</v>
      </c>
      <c r="F72" s="10"/>
      <c r="G72" s="753">
        <f>+'J-1 F'!K22</f>
        <v>6.1899999999999997E-2</v>
      </c>
      <c r="H72" s="753">
        <f>+'J-1 Base'!K21</f>
        <v>5.8999999999999997E-2</v>
      </c>
      <c r="I72" s="753">
        <v>6.0299999999999999E-2</v>
      </c>
      <c r="J72" s="753">
        <v>6.2600000000000003E-2</v>
      </c>
      <c r="K72" s="753">
        <v>6.5100000000000005E-2</v>
      </c>
      <c r="L72" s="753">
        <v>6.7500000000000004E-2</v>
      </c>
      <c r="M72" s="753">
        <v>6.88E-2</v>
      </c>
      <c r="N72" s="753">
        <v>6.9000000000000006E-2</v>
      </c>
      <c r="O72" s="753">
        <v>6.0999999999999999E-2</v>
      </c>
      <c r="P72" s="753">
        <v>6.0999999999999999E-2</v>
      </c>
      <c r="Q72" s="753">
        <v>6.0999999999999999E-2</v>
      </c>
      <c r="R72" s="753">
        <v>5.6000000000000001E-2</v>
      </c>
    </row>
    <row r="73" spans="1:19">
      <c r="A73" s="971">
        <f t="shared" si="0"/>
        <v>59</v>
      </c>
      <c r="B73" s="4" t="s">
        <v>995</v>
      </c>
      <c r="F73" s="10"/>
      <c r="G73" s="905" t="s">
        <v>349</v>
      </c>
      <c r="H73" s="905" t="s">
        <v>349</v>
      </c>
      <c r="I73" s="905" t="s">
        <v>349</v>
      </c>
      <c r="J73" s="905" t="s">
        <v>349</v>
      </c>
      <c r="K73" s="905" t="s">
        <v>349</v>
      </c>
      <c r="L73" s="905" t="s">
        <v>349</v>
      </c>
      <c r="M73" s="905" t="s">
        <v>349</v>
      </c>
      <c r="N73" s="905" t="s">
        <v>349</v>
      </c>
      <c r="O73" s="905" t="s">
        <v>349</v>
      </c>
      <c r="P73" s="905" t="s">
        <v>349</v>
      </c>
      <c r="Q73" s="905" t="s">
        <v>349</v>
      </c>
      <c r="R73" s="905" t="s">
        <v>349</v>
      </c>
    </row>
    <row r="74" spans="1:19">
      <c r="A74" s="971">
        <f t="shared" si="0"/>
        <v>60</v>
      </c>
      <c r="F74" s="10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9">
      <c r="A75" s="971">
        <f t="shared" si="0"/>
        <v>61</v>
      </c>
      <c r="B75" s="17" t="s">
        <v>1003</v>
      </c>
      <c r="F75" s="10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9" ht="15.75">
      <c r="A76" s="971">
        <f t="shared" si="0"/>
        <v>62</v>
      </c>
      <c r="B76" s="4" t="s">
        <v>826</v>
      </c>
      <c r="C76" s="16"/>
      <c r="D76" s="16"/>
      <c r="F76" s="10"/>
      <c r="G76" s="906">
        <f>(+G53+G58)/G59</f>
        <v>4.6051173348759349</v>
      </c>
      <c r="H76" s="906">
        <f>(+H53+H58)/H59</f>
        <v>4.760013362861268</v>
      </c>
      <c r="I76" s="906">
        <v>4.6900000000000004</v>
      </c>
      <c r="J76" s="906">
        <v>3.91</v>
      </c>
      <c r="K76" s="906">
        <v>3.0571918341904318</v>
      </c>
      <c r="L76" s="906">
        <v>2.9660460457804634</v>
      </c>
      <c r="M76" s="906">
        <v>3.0043972293563703</v>
      </c>
      <c r="N76" s="906">
        <v>2.8387360945505051</v>
      </c>
      <c r="O76" s="906">
        <v>3.06</v>
      </c>
      <c r="P76" s="906">
        <v>2.75</v>
      </c>
      <c r="Q76" s="906">
        <v>2.5499999999999998</v>
      </c>
      <c r="R76" s="906">
        <v>2.59</v>
      </c>
      <c r="S76" s="851"/>
    </row>
    <row r="77" spans="1:19">
      <c r="A77" s="971">
        <f t="shared" si="0"/>
        <v>63</v>
      </c>
      <c r="B77" s="4" t="s">
        <v>827</v>
      </c>
      <c r="F77" s="10"/>
      <c r="G77" s="906">
        <f>(+G53+G58-G56)/G59</f>
        <v>4.6051173348759349</v>
      </c>
      <c r="H77" s="906">
        <f>(+H53+H58-H56)/H59</f>
        <v>4.760013362861268</v>
      </c>
      <c r="I77" s="906">
        <v>4.7</v>
      </c>
      <c r="J77" s="906">
        <v>3.92</v>
      </c>
      <c r="K77" s="906">
        <v>3.0409960261804581</v>
      </c>
      <c r="L77" s="906">
        <v>2.9527909831987955</v>
      </c>
      <c r="M77" s="906">
        <v>2.9852512711754482</v>
      </c>
      <c r="N77" s="906">
        <v>2.8022744139729294</v>
      </c>
      <c r="O77" s="906">
        <v>3.12</v>
      </c>
      <c r="P77" s="906">
        <v>2.81</v>
      </c>
      <c r="Q77" s="906">
        <v>2.62</v>
      </c>
      <c r="R77" s="906">
        <v>2.64</v>
      </c>
    </row>
    <row r="78" spans="1:19">
      <c r="A78" s="971">
        <f t="shared" si="0"/>
        <v>64</v>
      </c>
      <c r="B78" s="4" t="s">
        <v>1125</v>
      </c>
      <c r="F78" s="10"/>
      <c r="G78" s="906">
        <f>G58/G59</f>
        <v>3.2027266916091968</v>
      </c>
      <c r="H78" s="906">
        <f>H58/H59</f>
        <v>3.2973681647082347</v>
      </c>
      <c r="I78" s="906">
        <v>3.24</v>
      </c>
      <c r="J78" s="906">
        <v>2.89</v>
      </c>
      <c r="K78" s="906">
        <v>2.3614121580460989</v>
      </c>
      <c r="L78" s="906">
        <v>2.2575233976506173</v>
      </c>
      <c r="M78" s="906">
        <v>2.2312955612628738</v>
      </c>
      <c r="N78" s="906">
        <v>2.200873963233271</v>
      </c>
      <c r="O78" s="906">
        <v>2.2599999999999998</v>
      </c>
      <c r="P78" s="906">
        <v>2.12</v>
      </c>
      <c r="Q78" s="906">
        <v>1.96</v>
      </c>
      <c r="R78" s="906">
        <v>1.99</v>
      </c>
    </row>
    <row r="79" spans="1:19">
      <c r="A79" s="971">
        <f t="shared" si="0"/>
        <v>65</v>
      </c>
      <c r="B79" s="4" t="s">
        <v>1126</v>
      </c>
      <c r="F79" s="10"/>
      <c r="G79" s="906">
        <f>(+G53+G58+((1/3)*'C.2.1 F'!D114/1000))/(G59+((1/3)*'C.2.1 F'!D114/1000))</f>
        <v>4.5485106803982758</v>
      </c>
      <c r="H79" s="906">
        <f>(+H53+H58+((1/3)*'C.2.1 B'!D118/1000))/(H59+((1/3)*'C.2.1 B'!D118/1000))</f>
        <v>4.683810353272964</v>
      </c>
      <c r="I79" s="906">
        <v>4.32</v>
      </c>
      <c r="J79" s="906">
        <v>3.6</v>
      </c>
      <c r="K79" s="906">
        <v>2.84</v>
      </c>
      <c r="L79" s="906">
        <v>2.78</v>
      </c>
      <c r="M79" s="906">
        <v>2.78</v>
      </c>
      <c r="N79" s="906">
        <v>2.5499999999999998</v>
      </c>
      <c r="O79" s="906">
        <v>2.76</v>
      </c>
      <c r="P79" s="906">
        <v>2.687794631619842</v>
      </c>
      <c r="Q79" s="906">
        <v>2.4970447584226276</v>
      </c>
      <c r="R79" s="906">
        <v>2.54</v>
      </c>
    </row>
    <row r="80" spans="1:19">
      <c r="A80" s="971">
        <f t="shared" si="0"/>
        <v>66</v>
      </c>
      <c r="B80" s="4" t="s">
        <v>1127</v>
      </c>
      <c r="F80" s="10"/>
      <c r="G80" s="906">
        <f>(G58-G56)/G59</f>
        <v>3.2027266916091968</v>
      </c>
      <c r="H80" s="906">
        <f>(H58-H56)/H59</f>
        <v>3.2973681647082347</v>
      </c>
      <c r="I80" s="906">
        <v>3.25</v>
      </c>
      <c r="J80" s="906">
        <v>2.81</v>
      </c>
      <c r="K80" s="906">
        <v>2.3452163500361256</v>
      </c>
      <c r="L80" s="906">
        <v>2.244268335068949</v>
      </c>
      <c r="M80" s="906">
        <v>2.2121496030819521</v>
      </c>
      <c r="N80" s="906">
        <v>2.1644122826556949</v>
      </c>
      <c r="O80" s="906">
        <v>2.31</v>
      </c>
      <c r="P80" s="906">
        <v>2.16</v>
      </c>
      <c r="Q80" s="906">
        <v>2.0099999999999998</v>
      </c>
      <c r="R80" s="906">
        <v>2.02</v>
      </c>
    </row>
    <row r="81" spans="1:19">
      <c r="A81" s="971">
        <f t="shared" ref="A81:A132" si="13">A80+1</f>
        <v>67</v>
      </c>
      <c r="B81" s="4" t="s">
        <v>1128</v>
      </c>
      <c r="F81" s="10"/>
      <c r="G81" s="905" t="s">
        <v>349</v>
      </c>
      <c r="H81" s="905" t="s">
        <v>349</v>
      </c>
      <c r="I81" s="906" t="s">
        <v>349</v>
      </c>
      <c r="J81" s="906" t="s">
        <v>349</v>
      </c>
      <c r="K81" s="906" t="s">
        <v>349</v>
      </c>
      <c r="L81" s="906" t="s">
        <v>349</v>
      </c>
      <c r="M81" s="906" t="s">
        <v>349</v>
      </c>
      <c r="N81" s="906" t="s">
        <v>349</v>
      </c>
      <c r="O81" s="906" t="s">
        <v>349</v>
      </c>
      <c r="P81" s="906" t="s">
        <v>349</v>
      </c>
      <c r="Q81" s="906" t="s">
        <v>349</v>
      </c>
      <c r="R81" s="906" t="s">
        <v>349</v>
      </c>
    </row>
    <row r="82" spans="1:19">
      <c r="A82" s="971">
        <f t="shared" si="13"/>
        <v>68</v>
      </c>
      <c r="B82" s="4" t="s">
        <v>1129</v>
      </c>
      <c r="G82" s="906">
        <f>(+G53+G58)/(G59*(1-0.35))</f>
        <v>7.08479589980913</v>
      </c>
      <c r="H82" s="906">
        <f>(+H53+H58)/(H59*(1-0.35))</f>
        <v>7.3230974813250267</v>
      </c>
      <c r="I82" s="906">
        <v>3.02</v>
      </c>
      <c r="J82" s="906">
        <v>2.6</v>
      </c>
      <c r="K82" s="906">
        <v>2.2116799519301451</v>
      </c>
      <c r="L82" s="906">
        <v>2.1340881930445068</v>
      </c>
      <c r="M82" s="906">
        <v>2.0837815317021438</v>
      </c>
      <c r="N82" s="906">
        <v>2.1800332256334456</v>
      </c>
      <c r="O82" s="906">
        <v>2.15</v>
      </c>
      <c r="P82" s="906">
        <v>2.04</v>
      </c>
      <c r="Q82" s="906">
        <v>1.89</v>
      </c>
      <c r="R82" s="906">
        <v>1.92</v>
      </c>
    </row>
    <row r="83" spans="1:19">
      <c r="A83" s="971">
        <f t="shared" si="13"/>
        <v>69</v>
      </c>
      <c r="F83" s="11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1:19">
      <c r="A84" s="971">
        <f t="shared" si="13"/>
        <v>70</v>
      </c>
      <c r="B84" s="17" t="s">
        <v>1130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9" ht="15.75">
      <c r="A85" s="971">
        <f t="shared" si="13"/>
        <v>71</v>
      </c>
      <c r="B85" s="4" t="s">
        <v>761</v>
      </c>
      <c r="C85" s="16"/>
      <c r="D85" s="16"/>
      <c r="G85" s="905" t="s">
        <v>349</v>
      </c>
      <c r="H85" s="905" t="s">
        <v>1638</v>
      </c>
      <c r="I85" s="905" t="s">
        <v>1638</v>
      </c>
      <c r="J85" s="905" t="s">
        <v>1639</v>
      </c>
      <c r="K85" s="905" t="s">
        <v>1639</v>
      </c>
      <c r="L85" s="905" t="s">
        <v>1639</v>
      </c>
      <c r="M85" s="905" t="s">
        <v>1640</v>
      </c>
      <c r="N85" s="905" t="s">
        <v>1640</v>
      </c>
      <c r="O85" s="905" t="s">
        <v>1641</v>
      </c>
      <c r="P85" s="905" t="s">
        <v>1641</v>
      </c>
      <c r="Q85" s="905" t="s">
        <v>1641</v>
      </c>
      <c r="R85" s="905" t="s">
        <v>1641</v>
      </c>
      <c r="S85" s="851"/>
    </row>
    <row r="86" spans="1:19" ht="15.75">
      <c r="A86" s="971">
        <f t="shared" si="13"/>
        <v>72</v>
      </c>
      <c r="B86" s="4" t="s">
        <v>762</v>
      </c>
      <c r="F86" s="10"/>
      <c r="G86" s="905" t="s">
        <v>349</v>
      </c>
      <c r="H86" s="905" t="s">
        <v>1642</v>
      </c>
      <c r="I86" s="905" t="s">
        <v>1642</v>
      </c>
      <c r="J86" s="905" t="s">
        <v>1642</v>
      </c>
      <c r="K86" s="905" t="s">
        <v>1643</v>
      </c>
      <c r="L86" s="905" t="s">
        <v>1643</v>
      </c>
      <c r="M86" s="905" t="s">
        <v>1643</v>
      </c>
      <c r="N86" s="905" t="s">
        <v>1643</v>
      </c>
      <c r="O86" s="905" t="s">
        <v>1644</v>
      </c>
      <c r="P86" s="905" t="s">
        <v>1644</v>
      </c>
      <c r="Q86" s="905" t="s">
        <v>1644</v>
      </c>
      <c r="R86" s="905" t="s">
        <v>1644</v>
      </c>
      <c r="S86" s="851"/>
    </row>
    <row r="87" spans="1:19">
      <c r="A87" s="971">
        <f t="shared" si="13"/>
        <v>73</v>
      </c>
      <c r="B87" s="4" t="s">
        <v>592</v>
      </c>
      <c r="G87" s="905" t="s">
        <v>349</v>
      </c>
      <c r="H87" s="905" t="s">
        <v>349</v>
      </c>
      <c r="I87" s="905"/>
      <c r="J87" s="905" t="s">
        <v>349</v>
      </c>
      <c r="K87" s="905" t="s">
        <v>349</v>
      </c>
      <c r="L87" s="905" t="s">
        <v>349</v>
      </c>
      <c r="M87" s="905" t="s">
        <v>349</v>
      </c>
      <c r="N87" s="905" t="s">
        <v>349</v>
      </c>
      <c r="O87" s="905" t="s">
        <v>349</v>
      </c>
      <c r="P87" s="905" t="s">
        <v>349</v>
      </c>
      <c r="Q87" s="905" t="s">
        <v>349</v>
      </c>
      <c r="R87" s="905" t="s">
        <v>349</v>
      </c>
    </row>
    <row r="88" spans="1:19">
      <c r="A88" s="971">
        <f t="shared" si="13"/>
        <v>74</v>
      </c>
      <c r="B88" s="4" t="s">
        <v>593</v>
      </c>
      <c r="G88" s="905" t="s">
        <v>349</v>
      </c>
      <c r="H88" s="905" t="s">
        <v>349</v>
      </c>
      <c r="I88" s="905"/>
      <c r="J88" s="905" t="s">
        <v>349</v>
      </c>
      <c r="K88" s="905" t="s">
        <v>349</v>
      </c>
      <c r="L88" s="905" t="s">
        <v>349</v>
      </c>
      <c r="M88" s="905" t="s">
        <v>349</v>
      </c>
      <c r="N88" s="905" t="s">
        <v>349</v>
      </c>
      <c r="O88" s="905" t="s">
        <v>349</v>
      </c>
      <c r="P88" s="905" t="s">
        <v>349</v>
      </c>
      <c r="Q88" s="905" t="s">
        <v>349</v>
      </c>
      <c r="R88" s="905" t="s">
        <v>349</v>
      </c>
    </row>
    <row r="89" spans="1:19">
      <c r="A89" s="971">
        <f t="shared" si="13"/>
        <v>75</v>
      </c>
      <c r="G89" s="905" t="s">
        <v>332</v>
      </c>
      <c r="H89" s="905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1:19">
      <c r="A90" s="971">
        <f t="shared" si="13"/>
        <v>76</v>
      </c>
      <c r="B90" s="17" t="s">
        <v>594</v>
      </c>
      <c r="G90" s="905"/>
      <c r="H90" s="905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1:19" ht="15.75">
      <c r="A91" s="971">
        <f t="shared" si="13"/>
        <v>77</v>
      </c>
      <c r="B91" s="4" t="s">
        <v>595</v>
      </c>
      <c r="C91" s="16"/>
      <c r="D91" s="16"/>
      <c r="E91" s="16"/>
      <c r="G91" s="905" t="s">
        <v>349</v>
      </c>
      <c r="H91" s="905" t="s">
        <v>349</v>
      </c>
      <c r="I91" s="136">
        <v>100388</v>
      </c>
      <c r="J91" s="136">
        <v>90640</v>
      </c>
      <c r="K91" s="136">
        <v>90240</v>
      </c>
      <c r="L91" s="136">
        <v>90296</v>
      </c>
      <c r="M91" s="136">
        <v>90164</v>
      </c>
      <c r="N91" s="136">
        <v>92552</v>
      </c>
      <c r="O91" s="136">
        <v>90814</v>
      </c>
      <c r="P91" s="136">
        <v>89326</v>
      </c>
      <c r="Q91" s="136">
        <v>81739</v>
      </c>
      <c r="R91" s="136">
        <v>80539</v>
      </c>
      <c r="S91" s="851"/>
    </row>
    <row r="92" spans="1:19">
      <c r="A92" s="971">
        <f t="shared" si="13"/>
        <v>78</v>
      </c>
      <c r="B92" s="4" t="s">
        <v>877</v>
      </c>
      <c r="G92" s="905" t="s">
        <v>349</v>
      </c>
      <c r="H92" s="905" t="s">
        <v>349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1:19" ht="15.75">
      <c r="A93" s="971">
        <f t="shared" si="13"/>
        <v>79</v>
      </c>
      <c r="B93" s="4" t="s">
        <v>647</v>
      </c>
      <c r="G93" s="905" t="s">
        <v>349</v>
      </c>
      <c r="H93" s="905" t="s">
        <v>349</v>
      </c>
      <c r="I93" s="136">
        <v>97608</v>
      </c>
      <c r="J93" s="136">
        <v>91711</v>
      </c>
      <c r="K93" s="136">
        <v>91172</v>
      </c>
      <c r="L93" s="136">
        <v>90652</v>
      </c>
      <c r="M93" s="136">
        <v>92422</v>
      </c>
      <c r="N93" s="136">
        <v>91620</v>
      </c>
      <c r="O93" s="136">
        <v>89941</v>
      </c>
      <c r="P93" s="136">
        <v>87486</v>
      </c>
      <c r="Q93" s="136">
        <v>81173</v>
      </c>
      <c r="R93" s="136">
        <v>79012</v>
      </c>
      <c r="S93" s="851"/>
    </row>
    <row r="94" spans="1:19">
      <c r="A94" s="971">
        <f t="shared" si="13"/>
        <v>80</v>
      </c>
      <c r="B94" s="4" t="s">
        <v>1049</v>
      </c>
      <c r="G94" s="905" t="s">
        <v>349</v>
      </c>
      <c r="H94" s="905" t="s">
        <v>349</v>
      </c>
      <c r="I94" s="906">
        <v>2.96</v>
      </c>
      <c r="J94" s="906">
        <v>2.64</v>
      </c>
      <c r="K94" s="906">
        <v>2.37</v>
      </c>
      <c r="L94" s="906">
        <v>2.27</v>
      </c>
      <c r="M94" s="906">
        <v>2.2000000000000002</v>
      </c>
      <c r="N94" s="906">
        <v>2.0699999999999998</v>
      </c>
      <c r="O94" s="906">
        <v>1.99</v>
      </c>
      <c r="P94" s="906">
        <v>1.91</v>
      </c>
      <c r="Q94" s="906">
        <v>1.81</v>
      </c>
      <c r="R94" s="906">
        <v>1.72</v>
      </c>
    </row>
    <row r="95" spans="1:19">
      <c r="A95" s="971">
        <f t="shared" si="13"/>
        <v>81</v>
      </c>
      <c r="B95" s="4" t="s">
        <v>1050</v>
      </c>
      <c r="G95" s="905" t="s">
        <v>349</v>
      </c>
      <c r="H95" s="905" t="s">
        <v>349</v>
      </c>
      <c r="I95" s="906">
        <v>1.48</v>
      </c>
      <c r="J95" s="906">
        <v>1.4</v>
      </c>
      <c r="K95" s="906">
        <v>1.38</v>
      </c>
      <c r="L95" s="906">
        <v>1.36</v>
      </c>
      <c r="M95" s="906">
        <v>1.34</v>
      </c>
      <c r="N95" s="906">
        <v>1.32</v>
      </c>
      <c r="O95" s="906">
        <v>1.3</v>
      </c>
      <c r="P95" s="906">
        <v>1.28</v>
      </c>
      <c r="Q95" s="906">
        <v>1.26</v>
      </c>
      <c r="R95" s="906">
        <v>1.24</v>
      </c>
    </row>
    <row r="96" spans="1:19" ht="15.75">
      <c r="A96" s="971">
        <f t="shared" si="13"/>
        <v>82</v>
      </c>
      <c r="B96" s="4" t="s">
        <v>860</v>
      </c>
      <c r="G96" s="905" t="s">
        <v>349</v>
      </c>
      <c r="H96" s="905" t="s">
        <v>349</v>
      </c>
      <c r="I96" s="906">
        <v>1.48</v>
      </c>
      <c r="J96" s="906">
        <v>1.4</v>
      </c>
      <c r="K96" s="906">
        <v>1.38</v>
      </c>
      <c r="L96" s="906">
        <v>1.36</v>
      </c>
      <c r="M96" s="906">
        <v>1.34</v>
      </c>
      <c r="N96" s="906">
        <v>1.32</v>
      </c>
      <c r="O96" s="906">
        <v>1.3</v>
      </c>
      <c r="P96" s="906">
        <v>1.28</v>
      </c>
      <c r="Q96" s="906">
        <v>1.26</v>
      </c>
      <c r="R96" s="906">
        <v>1.24</v>
      </c>
      <c r="S96" s="851"/>
    </row>
    <row r="97" spans="1:19">
      <c r="A97" s="971">
        <f t="shared" si="13"/>
        <v>83</v>
      </c>
      <c r="B97" s="4" t="s">
        <v>546</v>
      </c>
      <c r="G97" s="905" t="s">
        <v>349</v>
      </c>
      <c r="H97" s="905" t="s">
        <v>349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1:19">
      <c r="A98" s="971">
        <f t="shared" si="13"/>
        <v>84</v>
      </c>
      <c r="B98" s="4" t="s">
        <v>34</v>
      </c>
      <c r="G98" s="905" t="s">
        <v>349</v>
      </c>
      <c r="H98" s="905" t="s">
        <v>349</v>
      </c>
      <c r="I98" s="907">
        <f>I96/I94</f>
        <v>0.5</v>
      </c>
      <c r="J98" s="907">
        <f>J96/J94</f>
        <v>0.53030303030303028</v>
      </c>
      <c r="K98" s="907">
        <f>K96/K94</f>
        <v>0.58227848101265811</v>
      </c>
      <c r="L98" s="907">
        <f>L96/L94</f>
        <v>0.59911894273127753</v>
      </c>
      <c r="M98" s="1230">
        <f t="shared" ref="M98:R98" si="14">M96/M94</f>
        <v>0.60909090909090913</v>
      </c>
      <c r="N98" s="1230">
        <f t="shared" si="14"/>
        <v>0.63768115942028991</v>
      </c>
      <c r="O98" s="1230">
        <f t="shared" si="14"/>
        <v>0.65326633165829151</v>
      </c>
      <c r="P98" s="1230">
        <f t="shared" si="14"/>
        <v>0.67015706806282727</v>
      </c>
      <c r="Q98" s="1230">
        <f t="shared" si="14"/>
        <v>0.69613259668508287</v>
      </c>
      <c r="R98" s="1230">
        <f t="shared" si="14"/>
        <v>0.72093023255813959</v>
      </c>
    </row>
    <row r="99" spans="1:19">
      <c r="A99" s="971">
        <f t="shared" si="13"/>
        <v>85</v>
      </c>
      <c r="B99" s="4" t="s">
        <v>547</v>
      </c>
      <c r="G99" s="905" t="s">
        <v>349</v>
      </c>
      <c r="H99" s="905" t="s">
        <v>349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1:19" ht="15.75">
      <c r="A100" s="971">
        <f t="shared" si="13"/>
        <v>86</v>
      </c>
      <c r="B100" s="4" t="s">
        <v>548</v>
      </c>
      <c r="G100" s="905" t="s">
        <v>349</v>
      </c>
      <c r="H100" s="905" t="s">
        <v>349</v>
      </c>
      <c r="I100" s="1231">
        <v>47.06</v>
      </c>
      <c r="J100" s="1231">
        <v>36.86</v>
      </c>
      <c r="K100" s="1231">
        <v>35.4</v>
      </c>
      <c r="L100" s="1231">
        <v>31.72</v>
      </c>
      <c r="M100" s="1231">
        <v>30.06</v>
      </c>
      <c r="N100" s="1231">
        <v>27.88</v>
      </c>
      <c r="O100" s="1231">
        <v>29.46</v>
      </c>
      <c r="P100" s="1231">
        <v>33.01</v>
      </c>
      <c r="Q100" s="1231">
        <v>28.36</v>
      </c>
      <c r="R100" s="1231">
        <v>27.43</v>
      </c>
      <c r="S100" s="851"/>
    </row>
    <row r="101" spans="1:19">
      <c r="A101" s="971">
        <f t="shared" si="13"/>
        <v>87</v>
      </c>
      <c r="B101" s="4" t="s">
        <v>549</v>
      </c>
      <c r="G101" s="905" t="s">
        <v>349</v>
      </c>
      <c r="H101" s="905" t="s">
        <v>349</v>
      </c>
      <c r="I101" s="1231">
        <v>41.08</v>
      </c>
      <c r="J101" s="1231">
        <v>33.200000000000003</v>
      </c>
      <c r="K101" s="1231">
        <v>30.97</v>
      </c>
      <c r="L101" s="1231">
        <v>29.1</v>
      </c>
      <c r="M101" s="1231">
        <v>27.39</v>
      </c>
      <c r="N101" s="1231">
        <v>21.17</v>
      </c>
      <c r="O101" s="1231">
        <v>26.11</v>
      </c>
      <c r="P101" s="1231">
        <v>28.45</v>
      </c>
      <c r="Q101" s="1231">
        <v>25.79</v>
      </c>
      <c r="R101" s="1231">
        <v>24.85</v>
      </c>
    </row>
    <row r="102" spans="1:19">
      <c r="A102" s="971">
        <f t="shared" si="13"/>
        <v>88</v>
      </c>
      <c r="B102" s="4" t="s">
        <v>550</v>
      </c>
      <c r="G102" s="905" t="s">
        <v>349</v>
      </c>
      <c r="H102" s="905" t="s">
        <v>349</v>
      </c>
      <c r="I102" s="1231">
        <v>48.01</v>
      </c>
      <c r="J102" s="1231">
        <v>42.69</v>
      </c>
      <c r="K102" s="1231">
        <v>33.15</v>
      </c>
      <c r="L102" s="1231">
        <v>34.979999999999997</v>
      </c>
      <c r="M102" s="1231">
        <v>29.52</v>
      </c>
      <c r="N102" s="1231">
        <v>25.95</v>
      </c>
      <c r="O102" s="1231">
        <v>28.96</v>
      </c>
      <c r="P102" s="1231">
        <v>33</v>
      </c>
      <c r="Q102" s="1231">
        <v>27</v>
      </c>
      <c r="R102" s="1231">
        <v>29.09</v>
      </c>
    </row>
    <row r="103" spans="1:19">
      <c r="A103" s="971">
        <f t="shared" si="13"/>
        <v>89</v>
      </c>
      <c r="B103" s="4" t="s">
        <v>551</v>
      </c>
      <c r="G103" s="905" t="s">
        <v>349</v>
      </c>
      <c r="H103" s="905" t="s">
        <v>349</v>
      </c>
      <c r="I103" s="1231">
        <v>44.19</v>
      </c>
      <c r="J103" s="1231">
        <v>35.11</v>
      </c>
      <c r="K103" s="1231">
        <v>30.6</v>
      </c>
      <c r="L103" s="1231">
        <v>31.51</v>
      </c>
      <c r="M103" s="1231">
        <v>26.52</v>
      </c>
      <c r="N103" s="1231">
        <v>20.2</v>
      </c>
      <c r="O103" s="1231">
        <v>25.09</v>
      </c>
      <c r="P103" s="1231">
        <v>30.63</v>
      </c>
      <c r="Q103" s="1231">
        <v>26.1</v>
      </c>
      <c r="R103" s="1231">
        <v>26.19</v>
      </c>
    </row>
    <row r="104" spans="1:19">
      <c r="A104" s="971">
        <f t="shared" si="13"/>
        <v>90</v>
      </c>
      <c r="B104" s="4" t="s">
        <v>552</v>
      </c>
      <c r="G104" s="905" t="s">
        <v>349</v>
      </c>
      <c r="H104" s="905" t="s">
        <v>349</v>
      </c>
      <c r="I104" s="1231">
        <v>53.4</v>
      </c>
      <c r="J104" s="1231">
        <v>44.87</v>
      </c>
      <c r="K104" s="1231">
        <v>35.07</v>
      </c>
      <c r="L104" s="1231">
        <v>34.94</v>
      </c>
      <c r="M104" s="1231">
        <v>29.98</v>
      </c>
      <c r="N104" s="1231">
        <v>26.37</v>
      </c>
      <c r="O104" s="1231">
        <v>28.54</v>
      </c>
      <c r="P104" s="1231">
        <v>33.11</v>
      </c>
      <c r="Q104" s="1231">
        <v>27.91</v>
      </c>
      <c r="R104" s="1231">
        <v>28.87</v>
      </c>
    </row>
    <row r="105" spans="1:19">
      <c r="A105" s="971">
        <f t="shared" si="13"/>
        <v>91</v>
      </c>
      <c r="B105" s="4" t="s">
        <v>1080</v>
      </c>
      <c r="G105" s="905" t="s">
        <v>349</v>
      </c>
      <c r="H105" s="905" t="s">
        <v>349</v>
      </c>
      <c r="I105" s="1231">
        <v>46.94</v>
      </c>
      <c r="J105" s="1231">
        <v>38.590000000000003</v>
      </c>
      <c r="K105" s="1231">
        <v>30.91</v>
      </c>
      <c r="L105" s="1231">
        <v>31.34</v>
      </c>
      <c r="M105" s="1231">
        <v>26.41</v>
      </c>
      <c r="N105" s="1231">
        <v>22.81</v>
      </c>
      <c r="O105" s="1231">
        <v>25.81</v>
      </c>
      <c r="P105" s="1231">
        <v>29.38</v>
      </c>
      <c r="Q105" s="1231">
        <v>26</v>
      </c>
      <c r="R105" s="1231">
        <v>25.94</v>
      </c>
    </row>
    <row r="106" spans="1:19">
      <c r="A106" s="971">
        <f t="shared" si="13"/>
        <v>92</v>
      </c>
      <c r="B106" s="4" t="s">
        <v>1081</v>
      </c>
      <c r="G106" s="905" t="s">
        <v>349</v>
      </c>
      <c r="H106" s="905" t="s">
        <v>349</v>
      </c>
      <c r="I106" s="1231">
        <v>52.68</v>
      </c>
      <c r="J106" s="1231">
        <v>45.19</v>
      </c>
      <c r="K106" s="1231">
        <v>36.94</v>
      </c>
      <c r="L106" s="1231">
        <v>34.32</v>
      </c>
      <c r="M106" s="1231">
        <v>29.81</v>
      </c>
      <c r="N106" s="1231">
        <v>28.8</v>
      </c>
      <c r="O106" s="1231">
        <v>28.25</v>
      </c>
      <c r="P106" s="1231">
        <v>30.66</v>
      </c>
      <c r="Q106" s="1231">
        <v>29.11</v>
      </c>
      <c r="R106" s="1231">
        <v>29.76</v>
      </c>
    </row>
    <row r="107" spans="1:19">
      <c r="A107" s="971">
        <f t="shared" si="13"/>
        <v>93</v>
      </c>
      <c r="B107" s="4" t="s">
        <v>1082</v>
      </c>
      <c r="G107" s="905" t="s">
        <v>349</v>
      </c>
      <c r="H107" s="905" t="s">
        <v>349</v>
      </c>
      <c r="I107" s="1231">
        <v>47.01</v>
      </c>
      <c r="J107" s="1231">
        <v>39.4</v>
      </c>
      <c r="K107" s="1231">
        <v>34.94</v>
      </c>
      <c r="L107" s="1231">
        <v>28.87</v>
      </c>
      <c r="M107" s="1231">
        <v>26.82</v>
      </c>
      <c r="N107" s="1231">
        <v>24.65</v>
      </c>
      <c r="O107" s="1231">
        <v>25.49</v>
      </c>
      <c r="P107" s="1231">
        <v>26.47</v>
      </c>
      <c r="Q107" s="1231">
        <v>27.96</v>
      </c>
      <c r="R107" s="1231">
        <v>28.23</v>
      </c>
    </row>
    <row r="108" spans="1:19">
      <c r="A108" s="971">
        <f t="shared" si="13"/>
        <v>94</v>
      </c>
      <c r="B108" s="4" t="s">
        <v>1083</v>
      </c>
      <c r="G108" s="905" t="s">
        <v>349</v>
      </c>
      <c r="H108" s="905" t="s">
        <v>349</v>
      </c>
      <c r="I108" s="1231">
        <v>31.62</v>
      </c>
      <c r="J108" s="1231">
        <v>28.14</v>
      </c>
      <c r="K108" s="1231">
        <v>25.876837186855614</v>
      </c>
      <c r="L108" s="1231">
        <v>24.879991616290869</v>
      </c>
      <c r="M108" s="1231">
        <v>23.569582999718683</v>
      </c>
      <c r="N108" s="1231">
        <v>23.758578912901115</v>
      </c>
      <c r="O108" s="1231">
        <v>22.820426724185854</v>
      </c>
      <c r="P108" s="1231">
        <v>22.469355096815491</v>
      </c>
      <c r="Q108" s="1231">
        <v>20.303524570978034</v>
      </c>
      <c r="R108" s="1231">
        <v>19.899999999999999</v>
      </c>
    </row>
    <row r="109" spans="1:19">
      <c r="A109" s="971">
        <f t="shared" si="13"/>
        <v>95</v>
      </c>
      <c r="G109" s="905"/>
      <c r="H109" s="905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1:19">
      <c r="A110" s="971">
        <f t="shared" si="13"/>
        <v>96</v>
      </c>
      <c r="B110" s="1" t="s">
        <v>849</v>
      </c>
      <c r="G110" s="136"/>
      <c r="H110" s="136"/>
      <c r="I110" s="136"/>
      <c r="J110" s="136"/>
      <c r="K110" s="136"/>
      <c r="L110" s="136"/>
      <c r="M110" s="136"/>
      <c r="N110" s="136"/>
      <c r="O110" s="908"/>
      <c r="P110" s="908"/>
      <c r="Q110" s="908"/>
      <c r="R110" s="908"/>
    </row>
    <row r="111" spans="1:19">
      <c r="A111" s="971">
        <f t="shared" si="13"/>
        <v>97</v>
      </c>
      <c r="G111" s="136"/>
      <c r="H111" s="136"/>
      <c r="I111" s="136"/>
      <c r="J111" s="136"/>
      <c r="K111" s="136"/>
      <c r="L111" s="136"/>
      <c r="M111" s="136"/>
      <c r="N111" s="136"/>
      <c r="O111" s="908"/>
      <c r="P111" s="136"/>
      <c r="Q111" s="136"/>
      <c r="R111" s="136"/>
    </row>
    <row r="112" spans="1:19">
      <c r="A112" s="971">
        <f t="shared" si="13"/>
        <v>98</v>
      </c>
      <c r="B112" s="17" t="s">
        <v>1106</v>
      </c>
      <c r="C112" s="16"/>
      <c r="D112" s="16"/>
      <c r="E112" s="1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1:19" ht="15.75">
      <c r="A113" s="971">
        <f t="shared" si="13"/>
        <v>99</v>
      </c>
      <c r="B113" s="4" t="s">
        <v>634</v>
      </c>
      <c r="G113" s="909" t="s">
        <v>349</v>
      </c>
      <c r="H113" s="909" t="s">
        <v>349</v>
      </c>
      <c r="I113" s="908">
        <v>0.10199999999999999</v>
      </c>
      <c r="J113" s="908">
        <v>9.8000000000000004E-2</v>
      </c>
      <c r="K113" s="908">
        <v>8.3297938918196424E-2</v>
      </c>
      <c r="L113" s="908">
        <v>8.5520016942695926E-2</v>
      </c>
      <c r="M113" s="908">
        <v>8.7185418321332489E-2</v>
      </c>
      <c r="N113" s="908">
        <v>8.6681501437724351E-2</v>
      </c>
      <c r="O113" s="908">
        <v>8.7999999999999995E-2</v>
      </c>
      <c r="P113" s="908">
        <v>8.7999999999999995E-2</v>
      </c>
      <c r="Q113" s="908">
        <v>8.8999999999999996E-2</v>
      </c>
      <c r="R113" s="908">
        <v>0.09</v>
      </c>
      <c r="S113" s="851"/>
    </row>
    <row r="114" spans="1:19">
      <c r="A114" s="971">
        <f t="shared" si="13"/>
        <v>100</v>
      </c>
      <c r="B114" s="4" t="s">
        <v>339</v>
      </c>
      <c r="G114" s="908">
        <f>(G55)/G45</f>
        <v>4.1866825980687115E-3</v>
      </c>
      <c r="H114" s="908">
        <f>(H55)/H45</f>
        <v>3.4401069424092974E-3</v>
      </c>
      <c r="I114" s="908">
        <v>5.1999999999999998E-2</v>
      </c>
      <c r="J114" s="908">
        <v>4.8000000000000001E-2</v>
      </c>
      <c r="K114" s="908">
        <v>4.0231888705646007E-2</v>
      </c>
      <c r="L114" s="908">
        <v>4.3176826787451009E-2</v>
      </c>
      <c r="M114" s="908">
        <v>4.4499578680161404E-2</v>
      </c>
      <c r="N114" s="908">
        <v>4.2668457525681526E-2</v>
      </c>
      <c r="O114" s="908">
        <v>4.2999999999999997E-2</v>
      </c>
      <c r="P114" s="908">
        <v>4.2999999999999997E-2</v>
      </c>
      <c r="Q114" s="908">
        <v>3.9E-2</v>
      </c>
      <c r="R114" s="908">
        <v>3.933224430652113E-2</v>
      </c>
    </row>
    <row r="115" spans="1:19">
      <c r="A115" s="971">
        <f t="shared" si="13"/>
        <v>101</v>
      </c>
      <c r="B115" s="4" t="s">
        <v>340</v>
      </c>
      <c r="G115" s="908">
        <f>G55/G27</f>
        <v>6.3983176948597245E-2</v>
      </c>
      <c r="H115" s="908">
        <f>H55/H27</f>
        <v>6.0964107581947272E-2</v>
      </c>
      <c r="I115" s="908">
        <v>4.4999999999999998E-2</v>
      </c>
      <c r="J115" s="908">
        <v>4.2999999999999997E-2</v>
      </c>
      <c r="K115" s="908">
        <v>3.618310387082551E-2</v>
      </c>
      <c r="L115" s="908">
        <v>3.8142668443685655E-2</v>
      </c>
      <c r="M115" s="908">
        <v>4.1128106498813176E-2</v>
      </c>
      <c r="N115" s="908">
        <v>4.2747157694961804E-2</v>
      </c>
      <c r="O115" s="908">
        <v>4.4999999999999998E-2</v>
      </c>
      <c r="P115" s="908">
        <v>4.4999999999999998E-2</v>
      </c>
      <c r="Q115" s="908">
        <v>4.2000000000000003E-2</v>
      </c>
      <c r="R115" s="908">
        <v>4.5637607983685879E-2</v>
      </c>
    </row>
    <row r="116" spans="1:19">
      <c r="A116" s="971">
        <f t="shared" si="13"/>
        <v>102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1:19">
      <c r="A117" s="971">
        <f t="shared" si="13"/>
        <v>103</v>
      </c>
      <c r="B117" s="17" t="s">
        <v>1174</v>
      </c>
      <c r="C117" s="16"/>
      <c r="D117" s="16"/>
      <c r="E117" s="1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9">
      <c r="A118" s="971">
        <f t="shared" si="13"/>
        <v>104</v>
      </c>
      <c r="B118" s="4" t="s">
        <v>341</v>
      </c>
      <c r="D118" s="4" t="s">
        <v>60</v>
      </c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9" ht="15.75">
      <c r="A119" s="971">
        <f t="shared" si="13"/>
        <v>105</v>
      </c>
      <c r="B119" s="4" t="s">
        <v>1057</v>
      </c>
      <c r="G119" s="136">
        <f>+I.3!O16/1000</f>
        <v>10336.50697122786</v>
      </c>
      <c r="H119" s="136">
        <f>+I.3!M16/1000</f>
        <v>10302.984841957554</v>
      </c>
      <c r="I119" s="136">
        <v>11729</v>
      </c>
      <c r="J119" s="136">
        <v>10695</v>
      </c>
      <c r="K119" s="136">
        <v>8433</v>
      </c>
      <c r="L119" s="136">
        <v>10187</v>
      </c>
      <c r="M119" s="136">
        <v>10735</v>
      </c>
      <c r="N119" s="136">
        <v>10261</v>
      </c>
      <c r="O119" s="136">
        <v>10854.609817299999</v>
      </c>
      <c r="P119" s="136">
        <v>10384.574465399999</v>
      </c>
      <c r="Q119" s="136">
        <v>9751.4825102999985</v>
      </c>
      <c r="R119" s="136">
        <v>11112</v>
      </c>
      <c r="S119" s="851"/>
    </row>
    <row r="120" spans="1:19">
      <c r="A120" s="971">
        <f t="shared" si="13"/>
        <v>106</v>
      </c>
      <c r="B120" s="4" t="s">
        <v>1058</v>
      </c>
      <c r="G120" s="136">
        <f>+I.3!O17/1000</f>
        <v>5105.6072177000005</v>
      </c>
      <c r="H120" s="136">
        <f>+I.3!M17/1000</f>
        <v>5105.6072176999996</v>
      </c>
      <c r="I120" s="136">
        <v>5650</v>
      </c>
      <c r="J120" s="136">
        <v>5143</v>
      </c>
      <c r="K120" s="136">
        <v>3972</v>
      </c>
      <c r="L120" s="136">
        <v>4642</v>
      </c>
      <c r="M120" s="136">
        <v>5049</v>
      </c>
      <c r="N120" s="136">
        <v>4659</v>
      </c>
      <c r="O120" s="136">
        <v>5017.1545153999996</v>
      </c>
      <c r="P120" s="136">
        <v>4793.0605848999994</v>
      </c>
      <c r="Q120" s="136">
        <v>4642.0205508999979</v>
      </c>
      <c r="R120" s="136">
        <v>5362</v>
      </c>
    </row>
    <row r="121" spans="1:19">
      <c r="A121" s="971">
        <f t="shared" si="13"/>
        <v>107</v>
      </c>
      <c r="B121" s="4" t="s">
        <v>178</v>
      </c>
      <c r="G121" s="136">
        <f>+I.3!O18/1000</f>
        <v>921.68530780000003</v>
      </c>
      <c r="H121" s="136">
        <f>+I.3!M18/1000</f>
        <v>921.68530780000003</v>
      </c>
      <c r="I121" s="136">
        <v>810</v>
      </c>
      <c r="J121" s="136">
        <v>811</v>
      </c>
      <c r="K121" s="136">
        <v>995</v>
      </c>
      <c r="L121" s="136">
        <v>821</v>
      </c>
      <c r="M121" s="136">
        <v>724</v>
      </c>
      <c r="N121" s="136">
        <v>960</v>
      </c>
      <c r="O121" s="136">
        <v>1714.5599533</v>
      </c>
      <c r="P121" s="136">
        <v>1757.0290563999999</v>
      </c>
      <c r="Q121" s="136">
        <v>1327.230196</v>
      </c>
      <c r="R121" s="136">
        <v>2268</v>
      </c>
    </row>
    <row r="122" spans="1:19">
      <c r="A122" s="971">
        <f t="shared" si="13"/>
        <v>108</v>
      </c>
      <c r="B122" s="4" t="s">
        <v>799</v>
      </c>
      <c r="G122" s="136">
        <f>+I.3!O19/1000</f>
        <v>1084.7042238000001</v>
      </c>
      <c r="H122" s="136">
        <f>+I.3!M19/1000</f>
        <v>1084.7042238000001</v>
      </c>
      <c r="I122" s="136">
        <v>1234</v>
      </c>
      <c r="J122" s="136">
        <v>1179</v>
      </c>
      <c r="K122" s="136">
        <v>980</v>
      </c>
      <c r="L122" s="136">
        <v>1111</v>
      </c>
      <c r="M122" s="136">
        <v>1192</v>
      </c>
      <c r="N122" s="136">
        <v>1176</v>
      </c>
      <c r="O122" s="136">
        <v>1252.6995403999999</v>
      </c>
      <c r="P122" s="136">
        <v>1194.8405935000001</v>
      </c>
      <c r="Q122" s="136">
        <v>1261.0670940999998</v>
      </c>
      <c r="R122" s="136">
        <v>1479</v>
      </c>
    </row>
    <row r="123" spans="1:19">
      <c r="A123" s="971">
        <f t="shared" si="13"/>
        <v>109</v>
      </c>
      <c r="B123" s="225" t="s">
        <v>90</v>
      </c>
      <c r="G123" s="573">
        <f>+I.3!O20/1000</f>
        <v>0</v>
      </c>
      <c r="H123" s="573">
        <f>+I.3!M20/1000</f>
        <v>0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9">
      <c r="A124" s="971">
        <f t="shared" si="13"/>
        <v>110</v>
      </c>
      <c r="B124" s="4" t="s">
        <v>313</v>
      </c>
      <c r="G124" s="136">
        <f>SUM(G119:G123)</f>
        <v>17448.50372052786</v>
      </c>
      <c r="H124" s="136">
        <f>SUM(H119:H123)</f>
        <v>17414.981591257554</v>
      </c>
      <c r="I124" s="1197">
        <f t="shared" ref="I124:R124" si="15">I119+I120+I121+I122</f>
        <v>19423</v>
      </c>
      <c r="J124" s="1197">
        <f t="shared" si="15"/>
        <v>17828</v>
      </c>
      <c r="K124" s="1197">
        <f t="shared" si="15"/>
        <v>14380</v>
      </c>
      <c r="L124" s="1197">
        <f t="shared" si="15"/>
        <v>16761</v>
      </c>
      <c r="M124" s="1197">
        <f t="shared" si="15"/>
        <v>17700</v>
      </c>
      <c r="N124" s="1197">
        <f t="shared" si="15"/>
        <v>17056</v>
      </c>
      <c r="O124" s="1197">
        <f t="shared" si="15"/>
        <v>18839.0238264</v>
      </c>
      <c r="P124" s="1197">
        <f t="shared" si="15"/>
        <v>18129.504700199999</v>
      </c>
      <c r="Q124" s="1197">
        <f t="shared" si="15"/>
        <v>16981.800351299997</v>
      </c>
      <c r="R124" s="1197">
        <f t="shared" si="15"/>
        <v>20221</v>
      </c>
    </row>
    <row r="125" spans="1:19">
      <c r="A125" s="971">
        <f t="shared" si="13"/>
        <v>111</v>
      </c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1:19">
      <c r="A126" s="971">
        <f t="shared" si="13"/>
        <v>112</v>
      </c>
      <c r="B126" s="4" t="s">
        <v>314</v>
      </c>
      <c r="D126" s="4" t="s">
        <v>60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9">
      <c r="A127" s="971">
        <f t="shared" si="13"/>
        <v>113</v>
      </c>
      <c r="B127" s="4"/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</row>
    <row r="128" spans="1:19">
      <c r="A128" s="971">
        <f t="shared" si="13"/>
        <v>114</v>
      </c>
      <c r="B128" s="4" t="s">
        <v>446</v>
      </c>
      <c r="G128" s="136">
        <f t="shared" ref="G128:R128" si="16">G130-G127</f>
        <v>17780.025291217891</v>
      </c>
      <c r="H128" s="136">
        <f t="shared" si="16"/>
        <v>17745.866241491447</v>
      </c>
      <c r="I128" s="136">
        <f t="shared" si="16"/>
        <v>21324</v>
      </c>
      <c r="J128" s="136">
        <f t="shared" si="16"/>
        <v>18367</v>
      </c>
      <c r="K128" s="136">
        <f t="shared" si="16"/>
        <v>17441</v>
      </c>
      <c r="L128" s="136">
        <f t="shared" si="16"/>
        <v>16748</v>
      </c>
      <c r="M128" s="136">
        <f t="shared" si="16"/>
        <v>17596</v>
      </c>
      <c r="N128" s="136">
        <f t="shared" si="16"/>
        <v>17034</v>
      </c>
      <c r="O128" s="136">
        <f t="shared" si="16"/>
        <v>18789.664000000001</v>
      </c>
      <c r="P128" s="136">
        <f t="shared" si="16"/>
        <v>19493.048999999999</v>
      </c>
      <c r="Q128" s="136">
        <f t="shared" si="16"/>
        <v>19334.194</v>
      </c>
      <c r="R128" s="136">
        <f t="shared" si="16"/>
        <v>19589</v>
      </c>
    </row>
    <row r="129" spans="1:20">
      <c r="A129" s="971">
        <f t="shared" si="13"/>
        <v>115</v>
      </c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20" ht="15.75">
      <c r="A130" s="971">
        <f t="shared" si="13"/>
        <v>116</v>
      </c>
      <c r="B130" s="4" t="s">
        <v>1184</v>
      </c>
      <c r="G130" s="136">
        <f>+G124+(0.019*G124)</f>
        <v>17780.025291217891</v>
      </c>
      <c r="H130" s="136">
        <f>+H124+(0.019*H124)</f>
        <v>17745.866241491447</v>
      </c>
      <c r="I130" s="136">
        <v>21324</v>
      </c>
      <c r="J130" s="136">
        <v>18367</v>
      </c>
      <c r="K130" s="136">
        <v>17441</v>
      </c>
      <c r="L130" s="136">
        <v>16748</v>
      </c>
      <c r="M130" s="136">
        <v>17596</v>
      </c>
      <c r="N130" s="136">
        <v>17034</v>
      </c>
      <c r="O130" s="136">
        <v>18789.664000000001</v>
      </c>
      <c r="P130" s="136">
        <v>19493.048999999999</v>
      </c>
      <c r="Q130" s="136">
        <v>19334.194</v>
      </c>
      <c r="R130" s="136">
        <v>19589</v>
      </c>
      <c r="S130" s="851"/>
    </row>
    <row r="131" spans="1:20">
      <c r="A131" s="971">
        <f t="shared" si="13"/>
        <v>117</v>
      </c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1:20" ht="15.75">
      <c r="A132" s="971">
        <f t="shared" si="13"/>
        <v>118</v>
      </c>
      <c r="B132" s="4" t="s">
        <v>315</v>
      </c>
      <c r="G132" s="753">
        <v>3.3350954403158675E-2</v>
      </c>
      <c r="H132" s="753">
        <v>3.4700027478474914E-2</v>
      </c>
      <c r="I132" s="753">
        <v>3.5000000000000003E-2</v>
      </c>
      <c r="J132" s="753">
        <v>3.3099999999999997E-2</v>
      </c>
      <c r="K132" s="753">
        <v>3.49E-2</v>
      </c>
      <c r="L132" s="753">
        <v>3.5799999999999998E-2</v>
      </c>
      <c r="M132" s="753">
        <v>3.4000000000000002E-2</v>
      </c>
      <c r="N132" s="753">
        <v>3.4299999999999997E-2</v>
      </c>
      <c r="O132" s="753">
        <v>3.1732611870051476E-2</v>
      </c>
      <c r="P132" s="753">
        <v>3.4804141665331238E-2</v>
      </c>
      <c r="Q132" s="753">
        <v>3.69678612587429E-2</v>
      </c>
      <c r="R132" s="753">
        <v>3.7400000000000003E-2</v>
      </c>
      <c r="S132" s="851"/>
      <c r="T132" s="768"/>
    </row>
    <row r="133" spans="1:20">
      <c r="A133" s="4"/>
      <c r="B133" s="4"/>
      <c r="G133" s="753"/>
      <c r="H133" s="753"/>
      <c r="I133" s="753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20">
      <c r="B134" s="1" t="s">
        <v>911</v>
      </c>
      <c r="G134" s="130"/>
      <c r="H134" s="130"/>
      <c r="I134" s="130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20">
      <c r="B135" s="4" t="s">
        <v>1185</v>
      </c>
      <c r="G135" s="130"/>
      <c r="H135" s="130"/>
      <c r="I135" s="130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20"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20"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20"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</sheetData>
  <mergeCells count="6">
    <mergeCell ref="A5:R5"/>
    <mergeCell ref="A6:R6"/>
    <mergeCell ref="A1:R1"/>
    <mergeCell ref="A2:R2"/>
    <mergeCell ref="A3:R3"/>
    <mergeCell ref="A4:R4"/>
  </mergeCells>
  <phoneticPr fontId="24" type="noConversion"/>
  <printOptions horizontalCentered="1"/>
  <pageMargins left="0.75" right="0.75" top="0.62" bottom="0.81" header="0.5" footer="0.39"/>
  <pageSetup scale="61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A13" sqref="A13"/>
    </sheetView>
  </sheetViews>
  <sheetFormatPr defaultRowHeight="15"/>
  <cols>
    <col min="1" max="1" width="4.88671875" customWidth="1"/>
    <col min="2" max="2" width="6.88671875" customWidth="1"/>
    <col min="3" max="3" width="37" customWidth="1"/>
    <col min="4" max="4" width="13.5546875" customWidth="1"/>
    <col min="5" max="5" width="11.109375" bestFit="1" customWidth="1"/>
    <col min="6" max="6" width="14.33203125" customWidth="1"/>
    <col min="7" max="7" width="12.77734375" style="76" customWidth="1"/>
    <col min="8" max="8" width="12.6640625" style="76" customWidth="1"/>
    <col min="9" max="9" width="13.77734375" customWidth="1"/>
    <col min="10" max="10" width="3.21875" customWidth="1"/>
    <col min="11" max="11" width="15.6640625" customWidth="1"/>
    <col min="12" max="12" width="12.6640625" style="76" customWidth="1"/>
    <col min="13" max="13" width="9.77734375" style="76" bestFit="1" customWidth="1"/>
    <col min="14" max="14" width="14.21875" customWidth="1"/>
    <col min="15" max="15" width="5.44140625" customWidth="1"/>
    <col min="16" max="17" width="12" bestFit="1" customWidth="1"/>
  </cols>
  <sheetData>
    <row r="1" spans="1:17">
      <c r="A1" s="1253" t="str">
        <f>'Table of Contents'!A1:C1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7">
      <c r="A2" s="1253" t="str">
        <f>'Table of Contents'!A2:C2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</row>
    <row r="3" spans="1:17">
      <c r="A3" s="1253" t="s">
        <v>511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</row>
    <row r="4" spans="1:17" ht="15.75">
      <c r="A4" s="1254" t="str">
        <f>'B.1 B'!A4</f>
        <v>as of February 29, 2016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</row>
    <row r="5" spans="1:17">
      <c r="A5" s="40"/>
      <c r="B5" s="40"/>
      <c r="C5" s="40"/>
      <c r="D5" s="40"/>
      <c r="E5" s="780"/>
      <c r="G5" s="77"/>
      <c r="H5" s="77"/>
      <c r="J5" s="1"/>
      <c r="K5" s="40"/>
    </row>
    <row r="6" spans="1:17" ht="15.75">
      <c r="A6" s="4" t="str">
        <f>'B.1 B'!A6</f>
        <v>Data:__X___Base Period______Forecasted Period</v>
      </c>
      <c r="B6" s="1"/>
      <c r="C6" s="1"/>
      <c r="D6" s="1"/>
      <c r="E6" s="769"/>
      <c r="F6" s="769"/>
      <c r="G6" s="77"/>
      <c r="K6" s="1"/>
      <c r="N6" s="924" t="s">
        <v>1512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5" t="s">
        <v>1028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6"/>
      <c r="H8" s="91"/>
      <c r="I8" s="70"/>
      <c r="J8" s="70"/>
      <c r="K8" s="47"/>
      <c r="L8" s="91"/>
      <c r="N8" s="721" t="str">
        <f>'B.1 B'!F8</f>
        <v>Witness:   Waller</v>
      </c>
    </row>
    <row r="9" spans="1:17">
      <c r="A9" s="503"/>
      <c r="B9" s="85"/>
      <c r="C9" s="504"/>
      <c r="D9" s="323"/>
      <c r="E9" s="85"/>
      <c r="F9" s="85"/>
      <c r="G9" s="436"/>
      <c r="H9" s="437"/>
      <c r="I9" s="427"/>
      <c r="J9" s="70"/>
      <c r="K9" s="323"/>
      <c r="L9" s="470"/>
      <c r="M9" s="470"/>
      <c r="N9" s="94"/>
    </row>
    <row r="10" spans="1:17" ht="15.75">
      <c r="A10" s="505"/>
      <c r="B10" s="47"/>
      <c r="C10" s="506"/>
      <c r="D10" s="770">
        <v>42429</v>
      </c>
      <c r="E10" s="47"/>
      <c r="F10" s="47"/>
      <c r="G10" s="296" t="s">
        <v>13</v>
      </c>
      <c r="H10" s="46" t="s">
        <v>11</v>
      </c>
      <c r="I10" s="428"/>
      <c r="J10" s="70"/>
      <c r="K10" s="93"/>
      <c r="L10" s="296" t="s">
        <v>13</v>
      </c>
      <c r="M10" s="46" t="s">
        <v>11</v>
      </c>
      <c r="N10" s="428"/>
    </row>
    <row r="11" spans="1:17" ht="15.75">
      <c r="A11" s="505" t="s">
        <v>98</v>
      </c>
      <c r="B11" s="46" t="s">
        <v>273</v>
      </c>
      <c r="C11" s="429" t="s">
        <v>221</v>
      </c>
      <c r="D11" s="943" t="s">
        <v>1372</v>
      </c>
      <c r="E11" s="46"/>
      <c r="F11" s="46" t="s">
        <v>10</v>
      </c>
      <c r="G11" s="46" t="s">
        <v>14</v>
      </c>
      <c r="H11" s="101" t="s">
        <v>610</v>
      </c>
      <c r="I11" s="429" t="s">
        <v>12</v>
      </c>
      <c r="J11" s="46"/>
      <c r="K11" s="619" t="s">
        <v>46</v>
      </c>
      <c r="L11" s="46" t="s">
        <v>14</v>
      </c>
      <c r="M11" s="101" t="s">
        <v>610</v>
      </c>
      <c r="N11" s="429" t="s">
        <v>12</v>
      </c>
    </row>
    <row r="12" spans="1:17">
      <c r="A12" s="430" t="s">
        <v>104</v>
      </c>
      <c r="B12" s="44" t="s">
        <v>104</v>
      </c>
      <c r="C12" s="431" t="s">
        <v>304</v>
      </c>
      <c r="D12" s="430" t="s">
        <v>110</v>
      </c>
      <c r="E12" s="44" t="s">
        <v>1006</v>
      </c>
      <c r="F12" s="44" t="s">
        <v>110</v>
      </c>
      <c r="G12" s="255" t="s">
        <v>643</v>
      </c>
      <c r="H12" s="255" t="s">
        <v>643</v>
      </c>
      <c r="I12" s="431" t="s">
        <v>109</v>
      </c>
      <c r="J12" s="46"/>
      <c r="K12" s="430" t="s">
        <v>103</v>
      </c>
      <c r="L12" s="255" t="s">
        <v>643</v>
      </c>
      <c r="M12" s="255" t="s">
        <v>643</v>
      </c>
      <c r="N12" s="431" t="s">
        <v>109</v>
      </c>
      <c r="P12" s="575"/>
      <c r="Q12" s="575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58">
        <v>1</v>
      </c>
      <c r="B15" s="60"/>
      <c r="C15" s="17" t="s">
        <v>305</v>
      </c>
    </row>
    <row r="16" spans="1:17">
      <c r="A16" s="258">
        <f>A15+1</f>
        <v>2</v>
      </c>
      <c r="B16" s="403">
        <v>30100</v>
      </c>
      <c r="C16" s="245" t="s">
        <v>299</v>
      </c>
      <c r="D16" s="414">
        <v>8329.7199999999993</v>
      </c>
      <c r="E16" s="612">
        <v>0</v>
      </c>
      <c r="F16" s="459">
        <f>D16+E16</f>
        <v>8329.7199999999993</v>
      </c>
      <c r="G16" s="434">
        <v>1</v>
      </c>
      <c r="H16" s="434">
        <f>$G$16</f>
        <v>1</v>
      </c>
      <c r="I16" s="459">
        <f>F16*G16*H16</f>
        <v>8329.7199999999993</v>
      </c>
      <c r="J16" s="574"/>
      <c r="K16" s="414">
        <v>8329.7199999999993</v>
      </c>
      <c r="L16" s="435">
        <f t="shared" ref="L16:M17" si="0">$G$16</f>
        <v>1</v>
      </c>
      <c r="M16" s="435">
        <f t="shared" si="0"/>
        <v>1</v>
      </c>
      <c r="N16" s="404">
        <f>K16*L16*M16</f>
        <v>8329.7199999999993</v>
      </c>
    </row>
    <row r="17" spans="1:14">
      <c r="A17" s="258">
        <f t="shared" ref="A17:A80" si="1">A16+1</f>
        <v>3</v>
      </c>
      <c r="B17" s="403">
        <v>30200</v>
      </c>
      <c r="C17" s="245" t="s">
        <v>158</v>
      </c>
      <c r="D17" s="414">
        <v>119852.69</v>
      </c>
      <c r="E17" s="806">
        <v>0</v>
      </c>
      <c r="F17" s="806">
        <f>D17+E17</f>
        <v>119852.69</v>
      </c>
      <c r="G17" s="434">
        <f>$G$16</f>
        <v>1</v>
      </c>
      <c r="H17" s="434">
        <f>$G$16</f>
        <v>1</v>
      </c>
      <c r="I17" s="806">
        <f>F17*G17*H17</f>
        <v>119852.69</v>
      </c>
      <c r="J17" s="106"/>
      <c r="K17" s="414">
        <v>119852.68999999996</v>
      </c>
      <c r="L17" s="435">
        <f t="shared" si="0"/>
        <v>1</v>
      </c>
      <c r="M17" s="435">
        <f t="shared" si="0"/>
        <v>1</v>
      </c>
      <c r="N17" s="387">
        <f>K17*L17*M17</f>
        <v>119852.68999999996</v>
      </c>
    </row>
    <row r="18" spans="1:14">
      <c r="A18" s="258">
        <f t="shared" si="1"/>
        <v>4</v>
      </c>
      <c r="B18" s="402"/>
      <c r="C18" s="245"/>
      <c r="D18" s="809"/>
      <c r="E18" s="809"/>
      <c r="F18" s="809"/>
      <c r="G18" s="434"/>
      <c r="H18" s="434"/>
      <c r="I18" s="809"/>
      <c r="J18" s="106"/>
      <c r="K18" s="809"/>
      <c r="N18" s="786"/>
    </row>
    <row r="19" spans="1:14">
      <c r="A19" s="258">
        <f t="shared" si="1"/>
        <v>5</v>
      </c>
      <c r="B19" s="402"/>
      <c r="C19" s="245" t="s">
        <v>306</v>
      </c>
      <c r="D19" s="459">
        <f>SUM(D16:D17)</f>
        <v>128182.41</v>
      </c>
      <c r="E19" s="459">
        <f>SUM(E16:E17)</f>
        <v>0</v>
      </c>
      <c r="F19" s="459">
        <f>SUM(F16:F17)</f>
        <v>128182.41</v>
      </c>
      <c r="G19" s="1133"/>
      <c r="H19" s="1133"/>
      <c r="I19" s="459">
        <f>SUM(I16:I17)</f>
        <v>128182.41</v>
      </c>
      <c r="J19" s="106"/>
      <c r="K19" s="459">
        <f>SUM(K16:K17)</f>
        <v>128182.40999999996</v>
      </c>
      <c r="N19" s="404">
        <f>SUM(N16:N17)</f>
        <v>128182.40999999996</v>
      </c>
    </row>
    <row r="20" spans="1:14">
      <c r="A20" s="258">
        <f t="shared" si="1"/>
        <v>6</v>
      </c>
      <c r="B20" s="402"/>
      <c r="C20" s="60"/>
      <c r="D20" s="106"/>
      <c r="E20" s="106"/>
      <c r="F20" s="106"/>
      <c r="G20" s="434"/>
      <c r="H20" s="434"/>
      <c r="I20" s="106"/>
      <c r="J20" s="106"/>
      <c r="K20" s="106"/>
    </row>
    <row r="21" spans="1:14">
      <c r="A21" s="258">
        <f t="shared" si="1"/>
        <v>7</v>
      </c>
      <c r="B21" s="402"/>
      <c r="C21" s="17" t="s">
        <v>159</v>
      </c>
      <c r="D21" s="106"/>
      <c r="E21" s="106"/>
      <c r="F21" s="106"/>
      <c r="G21" s="434"/>
      <c r="H21" s="434"/>
      <c r="I21" s="106"/>
      <c r="J21" s="106"/>
      <c r="K21" s="106"/>
    </row>
    <row r="22" spans="1:14">
      <c r="A22" s="258">
        <f t="shared" si="1"/>
        <v>8</v>
      </c>
      <c r="B22" s="403">
        <v>32540</v>
      </c>
      <c r="C22" s="245" t="s">
        <v>166</v>
      </c>
      <c r="D22" s="414">
        <v>0</v>
      </c>
      <c r="E22" s="612">
        <v>0</v>
      </c>
      <c r="F22" s="459">
        <f t="shared" ref="F22:F24" si="2">D22+E22</f>
        <v>0</v>
      </c>
      <c r="G22" s="434">
        <f t="shared" ref="G22:H44" si="3">$G$16</f>
        <v>1</v>
      </c>
      <c r="H22" s="434">
        <f t="shared" si="3"/>
        <v>1</v>
      </c>
      <c r="I22" s="459">
        <f t="shared" ref="I22:I24" si="4">F22*G22*H22</f>
        <v>0</v>
      </c>
      <c r="J22" s="106"/>
      <c r="K22" s="414">
        <v>0</v>
      </c>
      <c r="L22" s="435">
        <f t="shared" ref="L22:M24" si="5">$G$16</f>
        <v>1</v>
      </c>
      <c r="M22" s="435">
        <f t="shared" si="5"/>
        <v>1</v>
      </c>
      <c r="N22" s="404">
        <f t="shared" ref="N22:N24" si="6">K22*L22*M22</f>
        <v>0</v>
      </c>
    </row>
    <row r="23" spans="1:14">
      <c r="A23" s="258">
        <f t="shared" si="1"/>
        <v>9</v>
      </c>
      <c r="B23" s="403">
        <v>33202</v>
      </c>
      <c r="C23" s="245" t="s">
        <v>612</v>
      </c>
      <c r="D23" s="414">
        <v>0</v>
      </c>
      <c r="E23" s="806">
        <v>0</v>
      </c>
      <c r="F23" s="806">
        <f t="shared" si="2"/>
        <v>0</v>
      </c>
      <c r="G23" s="434">
        <f t="shared" si="3"/>
        <v>1</v>
      </c>
      <c r="H23" s="434">
        <f t="shared" si="3"/>
        <v>1</v>
      </c>
      <c r="I23" s="806">
        <f t="shared" si="4"/>
        <v>0</v>
      </c>
      <c r="J23" s="106"/>
      <c r="K23" s="414">
        <v>0</v>
      </c>
      <c r="L23" s="435">
        <f t="shared" si="5"/>
        <v>1</v>
      </c>
      <c r="M23" s="435">
        <f t="shared" si="5"/>
        <v>1</v>
      </c>
      <c r="N23" s="387">
        <f t="shared" si="6"/>
        <v>0</v>
      </c>
    </row>
    <row r="24" spans="1:14">
      <c r="A24" s="258">
        <f t="shared" si="1"/>
        <v>10</v>
      </c>
      <c r="B24" s="403">
        <v>33400</v>
      </c>
      <c r="C24" s="245" t="s">
        <v>1140</v>
      </c>
      <c r="D24" s="414">
        <v>0</v>
      </c>
      <c r="E24" s="806">
        <v>0</v>
      </c>
      <c r="F24" s="806">
        <f t="shared" si="2"/>
        <v>0</v>
      </c>
      <c r="G24" s="434">
        <f t="shared" si="3"/>
        <v>1</v>
      </c>
      <c r="H24" s="434">
        <f t="shared" si="3"/>
        <v>1</v>
      </c>
      <c r="I24" s="806">
        <f t="shared" si="4"/>
        <v>0</v>
      </c>
      <c r="J24" s="106"/>
      <c r="K24" s="414">
        <v>0</v>
      </c>
      <c r="L24" s="435">
        <f t="shared" si="5"/>
        <v>1</v>
      </c>
      <c r="M24" s="435">
        <f t="shared" si="5"/>
        <v>1</v>
      </c>
      <c r="N24" s="387">
        <f t="shared" si="6"/>
        <v>0</v>
      </c>
    </row>
    <row r="25" spans="1:14">
      <c r="A25" s="258">
        <f t="shared" si="1"/>
        <v>11</v>
      </c>
      <c r="B25" s="402"/>
      <c r="C25" s="60"/>
      <c r="D25" s="809"/>
      <c r="E25" s="809"/>
      <c r="F25" s="809"/>
      <c r="G25" s="434"/>
      <c r="H25" s="434"/>
      <c r="I25" s="809"/>
      <c r="J25" s="106"/>
      <c r="K25" s="809"/>
      <c r="N25" s="786"/>
    </row>
    <row r="26" spans="1:14">
      <c r="A26" s="258">
        <f t="shared" si="1"/>
        <v>12</v>
      </c>
      <c r="B26" s="402"/>
      <c r="C26" s="60" t="s">
        <v>283</v>
      </c>
      <c r="D26" s="459">
        <f>SUM(D22:D25)</f>
        <v>0</v>
      </c>
      <c r="E26" s="459">
        <f>SUM(E22:E25)</f>
        <v>0</v>
      </c>
      <c r="F26" s="459">
        <f>SUM(F22:F25)</f>
        <v>0</v>
      </c>
      <c r="G26" s="434"/>
      <c r="H26" s="434"/>
      <c r="I26" s="459">
        <f>SUM(I22:I25)</f>
        <v>0</v>
      </c>
      <c r="J26" s="106"/>
      <c r="K26" s="459">
        <f>SUM(K22:K25)</f>
        <v>0</v>
      </c>
      <c r="N26" s="404">
        <f>SUM(N22:N25)</f>
        <v>0</v>
      </c>
    </row>
    <row r="27" spans="1:14">
      <c r="A27" s="258">
        <f t="shared" si="1"/>
        <v>13</v>
      </c>
      <c r="B27" s="402"/>
      <c r="C27" s="245"/>
      <c r="D27" s="106"/>
      <c r="E27" s="106"/>
      <c r="F27" s="106"/>
      <c r="G27" s="434"/>
      <c r="H27" s="434"/>
      <c r="I27" s="106"/>
      <c r="J27" s="106"/>
      <c r="K27" s="106"/>
    </row>
    <row r="28" spans="1:14">
      <c r="A28" s="258">
        <f t="shared" si="1"/>
        <v>14</v>
      </c>
      <c r="B28" s="402"/>
      <c r="C28" s="17" t="s">
        <v>284</v>
      </c>
      <c r="D28" s="106"/>
      <c r="E28" s="106"/>
      <c r="F28" s="106"/>
      <c r="G28" s="434"/>
      <c r="H28" s="434"/>
      <c r="I28" s="106"/>
      <c r="J28" s="106"/>
      <c r="K28" s="106"/>
    </row>
    <row r="29" spans="1:14">
      <c r="A29" s="258">
        <f t="shared" si="1"/>
        <v>15</v>
      </c>
      <c r="B29" s="403">
        <v>35010</v>
      </c>
      <c r="C29" s="245" t="s">
        <v>300</v>
      </c>
      <c r="D29" s="414">
        <v>261126.69</v>
      </c>
      <c r="E29" s="612">
        <v>0</v>
      </c>
      <c r="F29" s="459">
        <f>D29+E29</f>
        <v>261126.69</v>
      </c>
      <c r="G29" s="434">
        <f t="shared" si="3"/>
        <v>1</v>
      </c>
      <c r="H29" s="434">
        <f t="shared" si="3"/>
        <v>1</v>
      </c>
      <c r="I29" s="459">
        <f>F29*G29*H29</f>
        <v>261126.69</v>
      </c>
      <c r="J29" s="106"/>
      <c r="K29" s="414">
        <v>261126.68999999997</v>
      </c>
      <c r="L29" s="435">
        <f t="shared" ref="L29:M45" si="7">$G$16</f>
        <v>1</v>
      </c>
      <c r="M29" s="435">
        <f t="shared" si="7"/>
        <v>1</v>
      </c>
      <c r="N29" s="404">
        <f>K29*L29*M29</f>
        <v>261126.68999999997</v>
      </c>
    </row>
    <row r="30" spans="1:14">
      <c r="A30" s="258">
        <f t="shared" si="1"/>
        <v>16</v>
      </c>
      <c r="B30" s="403">
        <v>35020</v>
      </c>
      <c r="C30" s="245" t="s">
        <v>809</v>
      </c>
      <c r="D30" s="414">
        <v>4681.58</v>
      </c>
      <c r="E30" s="806">
        <v>0</v>
      </c>
      <c r="F30" s="806">
        <f>D30+E30</f>
        <v>4681.58</v>
      </c>
      <c r="G30" s="434">
        <f t="shared" si="3"/>
        <v>1</v>
      </c>
      <c r="H30" s="434">
        <f t="shared" si="3"/>
        <v>1</v>
      </c>
      <c r="I30" s="806">
        <f t="shared" ref="I30:I45" si="8">F30*G30*H30</f>
        <v>4681.58</v>
      </c>
      <c r="J30" s="106"/>
      <c r="K30" s="414">
        <v>4681.5800000000008</v>
      </c>
      <c r="L30" s="435">
        <f t="shared" si="7"/>
        <v>1</v>
      </c>
      <c r="M30" s="435">
        <f t="shared" si="7"/>
        <v>1</v>
      </c>
      <c r="N30" s="387">
        <f t="shared" ref="N30:N45" si="9">K30*L30*M30</f>
        <v>4681.5800000000008</v>
      </c>
    </row>
    <row r="31" spans="1:14">
      <c r="A31" s="258">
        <f t="shared" si="1"/>
        <v>17</v>
      </c>
      <c r="B31" s="403">
        <v>35100</v>
      </c>
      <c r="C31" s="245" t="s">
        <v>988</v>
      </c>
      <c r="D31" s="414">
        <v>17916.189999999999</v>
      </c>
      <c r="E31" s="806">
        <v>0</v>
      </c>
      <c r="F31" s="806">
        <f t="shared" ref="F31:F45" si="10">D31+E31</f>
        <v>17916.189999999999</v>
      </c>
      <c r="G31" s="434">
        <f t="shared" si="3"/>
        <v>1</v>
      </c>
      <c r="H31" s="434">
        <f t="shared" si="3"/>
        <v>1</v>
      </c>
      <c r="I31" s="806">
        <f t="shared" si="8"/>
        <v>17916.189999999999</v>
      </c>
      <c r="J31" s="106"/>
      <c r="K31" s="414">
        <v>17916.189999999999</v>
      </c>
      <c r="L31" s="435">
        <f t="shared" si="7"/>
        <v>1</v>
      </c>
      <c r="M31" s="435">
        <f t="shared" si="7"/>
        <v>1</v>
      </c>
      <c r="N31" s="387">
        <f t="shared" si="9"/>
        <v>17916.189999999999</v>
      </c>
    </row>
    <row r="32" spans="1:14">
      <c r="A32" s="258">
        <f t="shared" si="1"/>
        <v>18</v>
      </c>
      <c r="B32" s="403">
        <v>35102</v>
      </c>
      <c r="C32" s="245" t="s">
        <v>285</v>
      </c>
      <c r="D32" s="414">
        <v>153261.29999999999</v>
      </c>
      <c r="E32" s="806">
        <v>0</v>
      </c>
      <c r="F32" s="806">
        <f t="shared" si="10"/>
        <v>153261.29999999999</v>
      </c>
      <c r="G32" s="434">
        <f t="shared" si="3"/>
        <v>1</v>
      </c>
      <c r="H32" s="434">
        <f t="shared" si="3"/>
        <v>1</v>
      </c>
      <c r="I32" s="806">
        <f t="shared" si="8"/>
        <v>153261.29999999999</v>
      </c>
      <c r="J32" s="106"/>
      <c r="K32" s="414">
        <v>153261.30000000002</v>
      </c>
      <c r="L32" s="435">
        <f t="shared" si="7"/>
        <v>1</v>
      </c>
      <c r="M32" s="435">
        <f t="shared" si="7"/>
        <v>1</v>
      </c>
      <c r="N32" s="387">
        <f t="shared" si="9"/>
        <v>153261.30000000002</v>
      </c>
    </row>
    <row r="33" spans="1:15">
      <c r="A33" s="258">
        <f t="shared" si="1"/>
        <v>19</v>
      </c>
      <c r="B33" s="403">
        <v>35103</v>
      </c>
      <c r="C33" s="245" t="s">
        <v>601</v>
      </c>
      <c r="D33" s="414">
        <v>23138.38</v>
      </c>
      <c r="E33" s="806">
        <v>0</v>
      </c>
      <c r="F33" s="806">
        <f t="shared" si="10"/>
        <v>23138.38</v>
      </c>
      <c r="G33" s="434">
        <f t="shared" si="3"/>
        <v>1</v>
      </c>
      <c r="H33" s="434">
        <f t="shared" si="3"/>
        <v>1</v>
      </c>
      <c r="I33" s="806">
        <f t="shared" si="8"/>
        <v>23138.38</v>
      </c>
      <c r="J33" s="106"/>
      <c r="K33" s="414">
        <v>23138.38</v>
      </c>
      <c r="L33" s="435">
        <f t="shared" si="7"/>
        <v>1</v>
      </c>
      <c r="M33" s="435">
        <f t="shared" si="7"/>
        <v>1</v>
      </c>
      <c r="N33" s="387">
        <f t="shared" si="9"/>
        <v>23138.38</v>
      </c>
    </row>
    <row r="34" spans="1:15">
      <c r="A34" s="258">
        <f t="shared" si="1"/>
        <v>20</v>
      </c>
      <c r="B34" s="403">
        <v>35104</v>
      </c>
      <c r="C34" s="245" t="s">
        <v>602</v>
      </c>
      <c r="D34" s="414">
        <v>137442.53</v>
      </c>
      <c r="E34" s="806">
        <v>0</v>
      </c>
      <c r="F34" s="806">
        <f t="shared" si="10"/>
        <v>137442.53</v>
      </c>
      <c r="G34" s="434">
        <f t="shared" si="3"/>
        <v>1</v>
      </c>
      <c r="H34" s="434">
        <f t="shared" si="3"/>
        <v>1</v>
      </c>
      <c r="I34" s="806">
        <f t="shared" si="8"/>
        <v>137442.53</v>
      </c>
      <c r="J34" s="106"/>
      <c r="K34" s="414">
        <v>137442.53</v>
      </c>
      <c r="L34" s="435">
        <f t="shared" si="7"/>
        <v>1</v>
      </c>
      <c r="M34" s="435">
        <f t="shared" si="7"/>
        <v>1</v>
      </c>
      <c r="N34" s="387">
        <f t="shared" si="9"/>
        <v>137442.53</v>
      </c>
    </row>
    <row r="35" spans="1:15">
      <c r="A35" s="258">
        <f t="shared" si="1"/>
        <v>21</v>
      </c>
      <c r="B35" s="403">
        <v>35200</v>
      </c>
      <c r="C35" s="245" t="s">
        <v>455</v>
      </c>
      <c r="D35" s="414">
        <v>7774826.5393562289</v>
      </c>
      <c r="E35" s="806">
        <v>0</v>
      </c>
      <c r="F35" s="806">
        <f t="shared" si="10"/>
        <v>7774826.5393562289</v>
      </c>
      <c r="G35" s="434">
        <f t="shared" si="3"/>
        <v>1</v>
      </c>
      <c r="H35" s="434">
        <f t="shared" si="3"/>
        <v>1</v>
      </c>
      <c r="I35" s="806">
        <f t="shared" si="8"/>
        <v>7774826.5393562289</v>
      </c>
      <c r="J35" s="106"/>
      <c r="K35" s="414">
        <v>6629572.2265448561</v>
      </c>
      <c r="L35" s="435">
        <f t="shared" si="7"/>
        <v>1</v>
      </c>
      <c r="M35" s="435">
        <f t="shared" si="7"/>
        <v>1</v>
      </c>
      <c r="N35" s="387">
        <f t="shared" si="9"/>
        <v>6629572.2265448561</v>
      </c>
    </row>
    <row r="36" spans="1:15">
      <c r="A36" s="258">
        <f t="shared" si="1"/>
        <v>22</v>
      </c>
      <c r="B36" s="403">
        <v>35201</v>
      </c>
      <c r="C36" s="245" t="s">
        <v>603</v>
      </c>
      <c r="D36" s="414">
        <v>1699998.54</v>
      </c>
      <c r="E36" s="806">
        <v>0</v>
      </c>
      <c r="F36" s="806">
        <f t="shared" si="10"/>
        <v>1699998.54</v>
      </c>
      <c r="G36" s="434">
        <f t="shared" si="3"/>
        <v>1</v>
      </c>
      <c r="H36" s="434">
        <f t="shared" si="3"/>
        <v>1</v>
      </c>
      <c r="I36" s="806">
        <f t="shared" si="8"/>
        <v>1699998.54</v>
      </c>
      <c r="J36" s="106"/>
      <c r="K36" s="414">
        <v>1699998.5399999993</v>
      </c>
      <c r="L36" s="435">
        <f t="shared" si="7"/>
        <v>1</v>
      </c>
      <c r="M36" s="435">
        <f t="shared" si="7"/>
        <v>1</v>
      </c>
      <c r="N36" s="387">
        <f t="shared" si="9"/>
        <v>1699998.5399999993</v>
      </c>
    </row>
    <row r="37" spans="1:15">
      <c r="A37" s="258">
        <f t="shared" si="1"/>
        <v>23</v>
      </c>
      <c r="B37" s="403">
        <v>35202</v>
      </c>
      <c r="C37" s="245" t="s">
        <v>604</v>
      </c>
      <c r="D37" s="414">
        <v>415818.86</v>
      </c>
      <c r="E37" s="806">
        <v>0</v>
      </c>
      <c r="F37" s="806">
        <f t="shared" si="10"/>
        <v>415818.86</v>
      </c>
      <c r="G37" s="434">
        <f t="shared" si="3"/>
        <v>1</v>
      </c>
      <c r="H37" s="434">
        <f t="shared" si="3"/>
        <v>1</v>
      </c>
      <c r="I37" s="806">
        <f t="shared" si="8"/>
        <v>415818.86</v>
      </c>
      <c r="J37" s="106"/>
      <c r="K37" s="414">
        <v>419941.03538461548</v>
      </c>
      <c r="L37" s="435">
        <f t="shared" si="7"/>
        <v>1</v>
      </c>
      <c r="M37" s="435">
        <f t="shared" si="7"/>
        <v>1</v>
      </c>
      <c r="N37" s="387">
        <f t="shared" si="9"/>
        <v>419941.03538461548</v>
      </c>
    </row>
    <row r="38" spans="1:15">
      <c r="A38" s="258">
        <f t="shared" si="1"/>
        <v>24</v>
      </c>
      <c r="B38" s="403">
        <v>35203</v>
      </c>
      <c r="C38" s="245" t="s">
        <v>353</v>
      </c>
      <c r="D38" s="414">
        <v>1694832.96</v>
      </c>
      <c r="E38" s="806">
        <v>0</v>
      </c>
      <c r="F38" s="806">
        <f t="shared" si="10"/>
        <v>1694832.96</v>
      </c>
      <c r="G38" s="434">
        <f t="shared" si="3"/>
        <v>1</v>
      </c>
      <c r="H38" s="434">
        <f t="shared" si="3"/>
        <v>1</v>
      </c>
      <c r="I38" s="806">
        <f t="shared" si="8"/>
        <v>1694832.96</v>
      </c>
      <c r="J38" s="106"/>
      <c r="K38" s="414">
        <v>1694832.9600000007</v>
      </c>
      <c r="L38" s="435">
        <f t="shared" si="7"/>
        <v>1</v>
      </c>
      <c r="M38" s="435">
        <f t="shared" si="7"/>
        <v>1</v>
      </c>
      <c r="N38" s="387">
        <f t="shared" si="9"/>
        <v>1694832.9600000007</v>
      </c>
    </row>
    <row r="39" spans="1:15">
      <c r="A39" s="258">
        <f t="shared" si="1"/>
        <v>25</v>
      </c>
      <c r="B39" s="403">
        <v>35210</v>
      </c>
      <c r="C39" s="245" t="s">
        <v>605</v>
      </c>
      <c r="D39" s="414">
        <v>178530.09</v>
      </c>
      <c r="E39" s="806">
        <v>0</v>
      </c>
      <c r="F39" s="806">
        <f t="shared" si="10"/>
        <v>178530.09</v>
      </c>
      <c r="G39" s="434">
        <f t="shared" si="3"/>
        <v>1</v>
      </c>
      <c r="H39" s="434">
        <f t="shared" si="3"/>
        <v>1</v>
      </c>
      <c r="I39" s="806">
        <f t="shared" si="8"/>
        <v>178530.09</v>
      </c>
      <c r="J39" s="106"/>
      <c r="K39" s="414">
        <v>178530.09000000003</v>
      </c>
      <c r="L39" s="435">
        <f t="shared" si="7"/>
        <v>1</v>
      </c>
      <c r="M39" s="435">
        <f t="shared" si="7"/>
        <v>1</v>
      </c>
      <c r="N39" s="387">
        <f t="shared" si="9"/>
        <v>178530.09000000003</v>
      </c>
    </row>
    <row r="40" spans="1:15">
      <c r="A40" s="258">
        <f t="shared" si="1"/>
        <v>26</v>
      </c>
      <c r="B40" s="403">
        <v>35211</v>
      </c>
      <c r="C40" s="245" t="s">
        <v>606</v>
      </c>
      <c r="D40" s="414">
        <v>54614.27</v>
      </c>
      <c r="E40" s="806">
        <v>0</v>
      </c>
      <c r="F40" s="806">
        <f t="shared" si="10"/>
        <v>54614.27</v>
      </c>
      <c r="G40" s="434">
        <f t="shared" si="3"/>
        <v>1</v>
      </c>
      <c r="H40" s="434">
        <f t="shared" si="3"/>
        <v>1</v>
      </c>
      <c r="I40" s="806">
        <f t="shared" si="8"/>
        <v>54614.27</v>
      </c>
      <c r="J40" s="106"/>
      <c r="K40" s="414">
        <v>54614.270000000011</v>
      </c>
      <c r="L40" s="435">
        <f t="shared" si="7"/>
        <v>1</v>
      </c>
      <c r="M40" s="435">
        <f t="shared" si="7"/>
        <v>1</v>
      </c>
      <c r="N40" s="387">
        <f t="shared" si="9"/>
        <v>54614.270000000011</v>
      </c>
    </row>
    <row r="41" spans="1:15">
      <c r="A41" s="258">
        <f t="shared" si="1"/>
        <v>27</v>
      </c>
      <c r="B41" s="403">
        <v>35301</v>
      </c>
      <c r="C41" s="60" t="s">
        <v>167</v>
      </c>
      <c r="D41" s="414">
        <v>178496.9</v>
      </c>
      <c r="E41" s="806">
        <v>0</v>
      </c>
      <c r="F41" s="806">
        <f t="shared" si="10"/>
        <v>178496.9</v>
      </c>
      <c r="G41" s="434">
        <f t="shared" si="3"/>
        <v>1</v>
      </c>
      <c r="H41" s="434">
        <f t="shared" si="3"/>
        <v>1</v>
      </c>
      <c r="I41" s="806">
        <f t="shared" si="8"/>
        <v>178496.9</v>
      </c>
      <c r="J41" s="106"/>
      <c r="K41" s="414">
        <v>178496.89999999994</v>
      </c>
      <c r="L41" s="435">
        <f t="shared" si="7"/>
        <v>1</v>
      </c>
      <c r="M41" s="435">
        <f t="shared" si="7"/>
        <v>1</v>
      </c>
      <c r="N41" s="387">
        <f t="shared" si="9"/>
        <v>178496.89999999994</v>
      </c>
    </row>
    <row r="42" spans="1:15">
      <c r="A42" s="258">
        <f t="shared" si="1"/>
        <v>28</v>
      </c>
      <c r="B42" s="403">
        <v>35302</v>
      </c>
      <c r="C42" s="245" t="s">
        <v>612</v>
      </c>
      <c r="D42" s="414">
        <v>209458.21</v>
      </c>
      <c r="E42" s="806">
        <v>0</v>
      </c>
      <c r="F42" s="806">
        <f t="shared" si="10"/>
        <v>209458.21</v>
      </c>
      <c r="G42" s="434">
        <f t="shared" si="3"/>
        <v>1</v>
      </c>
      <c r="H42" s="434">
        <f t="shared" si="3"/>
        <v>1</v>
      </c>
      <c r="I42" s="806">
        <f t="shared" si="8"/>
        <v>209458.21</v>
      </c>
      <c r="J42" s="106"/>
      <c r="K42" s="414">
        <v>209458.21</v>
      </c>
      <c r="L42" s="435">
        <f t="shared" si="7"/>
        <v>1</v>
      </c>
      <c r="M42" s="435">
        <f t="shared" si="7"/>
        <v>1</v>
      </c>
      <c r="N42" s="387">
        <f t="shared" si="9"/>
        <v>209458.21</v>
      </c>
    </row>
    <row r="43" spans="1:15">
      <c r="A43" s="258">
        <f t="shared" si="1"/>
        <v>29</v>
      </c>
      <c r="B43" s="403">
        <v>35400</v>
      </c>
      <c r="C43" s="245" t="s">
        <v>607</v>
      </c>
      <c r="D43" s="414">
        <v>923446.05</v>
      </c>
      <c r="E43" s="806">
        <v>0</v>
      </c>
      <c r="F43" s="806">
        <f t="shared" si="10"/>
        <v>923446.05</v>
      </c>
      <c r="G43" s="434">
        <f t="shared" si="3"/>
        <v>1</v>
      </c>
      <c r="H43" s="434">
        <f t="shared" si="3"/>
        <v>1</v>
      </c>
      <c r="I43" s="806">
        <f t="shared" si="8"/>
        <v>923446.05</v>
      </c>
      <c r="J43" s="106"/>
      <c r="K43" s="414">
        <v>923446.05000000016</v>
      </c>
      <c r="L43" s="435">
        <f t="shared" si="7"/>
        <v>1</v>
      </c>
      <c r="M43" s="435">
        <f t="shared" si="7"/>
        <v>1</v>
      </c>
      <c r="N43" s="387">
        <f t="shared" si="9"/>
        <v>923446.05000000016</v>
      </c>
    </row>
    <row r="44" spans="1:15">
      <c r="A44" s="258">
        <f t="shared" si="1"/>
        <v>30</v>
      </c>
      <c r="B44" s="403">
        <v>35500</v>
      </c>
      <c r="C44" s="245" t="s">
        <v>1011</v>
      </c>
      <c r="D44" s="414">
        <v>240883.03</v>
      </c>
      <c r="E44" s="806">
        <v>0</v>
      </c>
      <c r="F44" s="806">
        <f t="shared" si="10"/>
        <v>240883.03</v>
      </c>
      <c r="G44" s="434">
        <f t="shared" si="3"/>
        <v>1</v>
      </c>
      <c r="H44" s="434">
        <f t="shared" si="3"/>
        <v>1</v>
      </c>
      <c r="I44" s="806">
        <f t="shared" si="8"/>
        <v>240883.03</v>
      </c>
      <c r="J44" s="106"/>
      <c r="K44" s="414">
        <v>240883.02999999994</v>
      </c>
      <c r="L44" s="435">
        <f t="shared" si="7"/>
        <v>1</v>
      </c>
      <c r="M44" s="435">
        <f t="shared" si="7"/>
        <v>1</v>
      </c>
      <c r="N44" s="387">
        <f t="shared" si="9"/>
        <v>240883.02999999994</v>
      </c>
    </row>
    <row r="45" spans="1:15">
      <c r="A45" s="258">
        <f t="shared" si="1"/>
        <v>31</v>
      </c>
      <c r="B45" s="403">
        <v>35600</v>
      </c>
      <c r="C45" s="245" t="s">
        <v>1060</v>
      </c>
      <c r="D45" s="414">
        <v>414663.45</v>
      </c>
      <c r="E45" s="1134">
        <v>0</v>
      </c>
      <c r="F45" s="1134">
        <f t="shared" si="10"/>
        <v>414663.45</v>
      </c>
      <c r="G45" s="434">
        <f t="shared" ref="G45:H76" si="11">$G$16</f>
        <v>1</v>
      </c>
      <c r="H45" s="434">
        <f t="shared" si="11"/>
        <v>1</v>
      </c>
      <c r="I45" s="1135">
        <f t="shared" si="8"/>
        <v>414663.45</v>
      </c>
      <c r="J45" s="106"/>
      <c r="K45" s="414">
        <v>414663.45000000013</v>
      </c>
      <c r="L45" s="435">
        <f t="shared" si="7"/>
        <v>1</v>
      </c>
      <c r="M45" s="435">
        <f t="shared" si="7"/>
        <v>1</v>
      </c>
      <c r="N45" s="390">
        <f t="shared" si="9"/>
        <v>414663.45000000013</v>
      </c>
    </row>
    <row r="46" spans="1:15">
      <c r="A46" s="258">
        <f t="shared" si="1"/>
        <v>32</v>
      </c>
      <c r="B46" s="402"/>
      <c r="C46" s="245"/>
      <c r="D46" s="809"/>
      <c r="E46" s="809"/>
      <c r="F46" s="809"/>
      <c r="G46" s="434"/>
      <c r="H46" s="434"/>
      <c r="I46" s="961"/>
      <c r="J46" s="106"/>
      <c r="K46" s="809"/>
      <c r="N46" s="786"/>
    </row>
    <row r="47" spans="1:15">
      <c r="A47" s="258">
        <f t="shared" si="1"/>
        <v>33</v>
      </c>
      <c r="B47" s="402"/>
      <c r="C47" s="245" t="s">
        <v>220</v>
      </c>
      <c r="D47" s="459">
        <f>SUM(D29:D46)</f>
        <v>14383135.569356229</v>
      </c>
      <c r="E47" s="459">
        <f>SUM(E29:E46)</f>
        <v>0</v>
      </c>
      <c r="F47" s="459">
        <f>SUM(F29:F46)</f>
        <v>14383135.569356229</v>
      </c>
      <c r="G47" s="434"/>
      <c r="H47" s="434"/>
      <c r="I47" s="459">
        <f>SUM(I29:I46)</f>
        <v>14383135.569356229</v>
      </c>
      <c r="J47" s="106"/>
      <c r="K47" s="459">
        <f>SUM(K29:K46)</f>
        <v>13242003.431929473</v>
      </c>
      <c r="N47" s="404">
        <f>SUM(N29:N46)</f>
        <v>13242003.431929473</v>
      </c>
      <c r="O47" s="768"/>
    </row>
    <row r="48" spans="1:15">
      <c r="A48" s="258">
        <f t="shared" si="1"/>
        <v>34</v>
      </c>
      <c r="B48" s="402"/>
      <c r="C48" s="245"/>
      <c r="D48" s="106"/>
      <c r="E48" s="106"/>
      <c r="F48" s="106"/>
      <c r="G48" s="434"/>
      <c r="H48" s="434"/>
      <c r="I48" s="459"/>
      <c r="J48" s="106"/>
      <c r="K48" s="106"/>
    </row>
    <row r="49" spans="1:14">
      <c r="A49" s="258">
        <f t="shared" si="1"/>
        <v>35</v>
      </c>
      <c r="B49" s="402"/>
      <c r="C49" s="17" t="s">
        <v>1012</v>
      </c>
      <c r="D49" s="106"/>
      <c r="E49" s="106"/>
      <c r="F49" s="106"/>
      <c r="G49" s="434"/>
      <c r="H49" s="434"/>
      <c r="I49" s="459"/>
      <c r="J49" s="106"/>
      <c r="K49" s="106"/>
    </row>
    <row r="50" spans="1:14">
      <c r="A50" s="258">
        <f t="shared" si="1"/>
        <v>36</v>
      </c>
      <c r="B50" s="403">
        <v>36510</v>
      </c>
      <c r="C50" s="245" t="s">
        <v>300</v>
      </c>
      <c r="D50" s="414">
        <v>26970.37</v>
      </c>
      <c r="E50" s="612">
        <v>0</v>
      </c>
      <c r="F50" s="459">
        <f>D50+E50</f>
        <v>26970.37</v>
      </c>
      <c r="G50" s="434">
        <f t="shared" si="11"/>
        <v>1</v>
      </c>
      <c r="H50" s="434">
        <f t="shared" si="11"/>
        <v>1</v>
      </c>
      <c r="I50" s="459">
        <f>F50*G50*H50</f>
        <v>26970.37</v>
      </c>
      <c r="J50" s="106"/>
      <c r="K50" s="414">
        <v>26970.37</v>
      </c>
      <c r="L50" s="435">
        <f t="shared" ref="L50:M57" si="12">$G$16</f>
        <v>1</v>
      </c>
      <c r="M50" s="435">
        <f t="shared" si="12"/>
        <v>1</v>
      </c>
      <c r="N50" s="404">
        <f>K50*L50*M50</f>
        <v>26970.37</v>
      </c>
    </row>
    <row r="51" spans="1:14">
      <c r="A51" s="258">
        <f t="shared" si="1"/>
        <v>37</v>
      </c>
      <c r="B51" s="403">
        <v>36520</v>
      </c>
      <c r="C51" s="245" t="s">
        <v>809</v>
      </c>
      <c r="D51" s="414">
        <v>867772</v>
      </c>
      <c r="E51" s="806">
        <v>0</v>
      </c>
      <c r="F51" s="806">
        <f>D51+E51</f>
        <v>867772</v>
      </c>
      <c r="G51" s="434">
        <f t="shared" si="11"/>
        <v>1</v>
      </c>
      <c r="H51" s="434">
        <f t="shared" si="11"/>
        <v>1</v>
      </c>
      <c r="I51" s="806">
        <f t="shared" ref="I51:I57" si="13">F51*G51*H51</f>
        <v>867772</v>
      </c>
      <c r="J51" s="106"/>
      <c r="K51" s="414">
        <v>867772</v>
      </c>
      <c r="L51" s="435">
        <f t="shared" si="12"/>
        <v>1</v>
      </c>
      <c r="M51" s="435">
        <f t="shared" si="12"/>
        <v>1</v>
      </c>
      <c r="N51" s="387">
        <f t="shared" ref="N51:N57" si="14">K51*L51*M51</f>
        <v>867772</v>
      </c>
    </row>
    <row r="52" spans="1:14">
      <c r="A52" s="258">
        <f t="shared" si="1"/>
        <v>38</v>
      </c>
      <c r="B52" s="403">
        <v>36602</v>
      </c>
      <c r="C52" s="245" t="s">
        <v>874</v>
      </c>
      <c r="D52" s="414">
        <v>49001.72</v>
      </c>
      <c r="E52" s="806">
        <v>0</v>
      </c>
      <c r="F52" s="806">
        <f t="shared" ref="F52:F57" si="15">D52+E52</f>
        <v>49001.72</v>
      </c>
      <c r="G52" s="434">
        <f t="shared" si="11"/>
        <v>1</v>
      </c>
      <c r="H52" s="434">
        <f t="shared" si="11"/>
        <v>1</v>
      </c>
      <c r="I52" s="806">
        <f t="shared" si="13"/>
        <v>49001.72</v>
      </c>
      <c r="J52" s="106"/>
      <c r="K52" s="414">
        <v>49001.719999999987</v>
      </c>
      <c r="L52" s="435">
        <f t="shared" si="12"/>
        <v>1</v>
      </c>
      <c r="M52" s="435">
        <f t="shared" si="12"/>
        <v>1</v>
      </c>
      <c r="N52" s="387">
        <f t="shared" si="14"/>
        <v>49001.719999999987</v>
      </c>
    </row>
    <row r="53" spans="1:14">
      <c r="A53" s="258">
        <f t="shared" si="1"/>
        <v>39</v>
      </c>
      <c r="B53" s="403">
        <v>36603</v>
      </c>
      <c r="C53" s="245" t="s">
        <v>1013</v>
      </c>
      <c r="D53" s="414">
        <v>60826.29</v>
      </c>
      <c r="E53" s="806">
        <v>0</v>
      </c>
      <c r="F53" s="806">
        <f t="shared" si="15"/>
        <v>60826.29</v>
      </c>
      <c r="G53" s="434">
        <f t="shared" si="11"/>
        <v>1</v>
      </c>
      <c r="H53" s="434">
        <f t="shared" si="11"/>
        <v>1</v>
      </c>
      <c r="I53" s="806">
        <f t="shared" si="13"/>
        <v>60826.29</v>
      </c>
      <c r="J53" s="106"/>
      <c r="K53" s="414">
        <v>60826.290000000008</v>
      </c>
      <c r="L53" s="435">
        <f t="shared" si="12"/>
        <v>1</v>
      </c>
      <c r="M53" s="435">
        <f t="shared" si="12"/>
        <v>1</v>
      </c>
      <c r="N53" s="387">
        <f t="shared" si="14"/>
        <v>60826.290000000008</v>
      </c>
    </row>
    <row r="54" spans="1:14">
      <c r="A54" s="258">
        <f t="shared" si="1"/>
        <v>40</v>
      </c>
      <c r="B54" s="403">
        <v>36700</v>
      </c>
      <c r="C54" s="245" t="s">
        <v>861</v>
      </c>
      <c r="D54" s="414">
        <v>185508.8</v>
      </c>
      <c r="E54" s="806">
        <v>0</v>
      </c>
      <c r="F54" s="806">
        <f t="shared" si="15"/>
        <v>185508.8</v>
      </c>
      <c r="G54" s="434">
        <f t="shared" si="11"/>
        <v>1</v>
      </c>
      <c r="H54" s="434">
        <f t="shared" si="11"/>
        <v>1</v>
      </c>
      <c r="I54" s="806">
        <f t="shared" si="13"/>
        <v>185508.8</v>
      </c>
      <c r="J54" s="106"/>
      <c r="K54" s="414">
        <v>185508.8</v>
      </c>
      <c r="L54" s="435">
        <f t="shared" si="12"/>
        <v>1</v>
      </c>
      <c r="M54" s="435">
        <f t="shared" si="12"/>
        <v>1</v>
      </c>
      <c r="N54" s="387">
        <f t="shared" si="14"/>
        <v>185508.8</v>
      </c>
    </row>
    <row r="55" spans="1:14">
      <c r="A55" s="258">
        <f t="shared" si="1"/>
        <v>41</v>
      </c>
      <c r="B55" s="403">
        <v>36701</v>
      </c>
      <c r="C55" s="245" t="s">
        <v>16</v>
      </c>
      <c r="D55" s="414">
        <v>27762017.09</v>
      </c>
      <c r="E55" s="806">
        <v>0</v>
      </c>
      <c r="F55" s="806">
        <f t="shared" si="15"/>
        <v>27762017.09</v>
      </c>
      <c r="G55" s="434">
        <f t="shared" si="11"/>
        <v>1</v>
      </c>
      <c r="H55" s="434">
        <f t="shared" si="11"/>
        <v>1</v>
      </c>
      <c r="I55" s="806">
        <f t="shared" si="13"/>
        <v>27762017.09</v>
      </c>
      <c r="J55" s="106"/>
      <c r="K55" s="414">
        <v>27762017.089999992</v>
      </c>
      <c r="L55" s="435">
        <f t="shared" si="12"/>
        <v>1</v>
      </c>
      <c r="M55" s="435">
        <f t="shared" si="12"/>
        <v>1</v>
      </c>
      <c r="N55" s="387">
        <f t="shared" si="14"/>
        <v>27762017.089999992</v>
      </c>
    </row>
    <row r="56" spans="1:14">
      <c r="A56" s="258">
        <f t="shared" si="1"/>
        <v>42</v>
      </c>
      <c r="B56" s="403">
        <v>36900</v>
      </c>
      <c r="C56" s="245" t="s">
        <v>1014</v>
      </c>
      <c r="D56" s="414">
        <v>615021.88</v>
      </c>
      <c r="E56" s="806">
        <v>0</v>
      </c>
      <c r="F56" s="806">
        <f t="shared" si="15"/>
        <v>615021.88</v>
      </c>
      <c r="G56" s="434">
        <f t="shared" si="11"/>
        <v>1</v>
      </c>
      <c r="H56" s="434">
        <f t="shared" si="11"/>
        <v>1</v>
      </c>
      <c r="I56" s="806">
        <f t="shared" si="13"/>
        <v>615021.88</v>
      </c>
      <c r="J56" s="106"/>
      <c r="K56" s="414">
        <v>615021.88</v>
      </c>
      <c r="L56" s="435">
        <f t="shared" si="12"/>
        <v>1</v>
      </c>
      <c r="M56" s="435">
        <f t="shared" si="12"/>
        <v>1</v>
      </c>
      <c r="N56" s="387">
        <f t="shared" si="14"/>
        <v>615021.88</v>
      </c>
    </row>
    <row r="57" spans="1:14">
      <c r="A57" s="258">
        <f t="shared" si="1"/>
        <v>43</v>
      </c>
      <c r="B57" s="403">
        <v>36901</v>
      </c>
      <c r="C57" s="245" t="s">
        <v>1014</v>
      </c>
      <c r="D57" s="414">
        <v>2269871.41</v>
      </c>
      <c r="E57" s="1134">
        <v>0</v>
      </c>
      <c r="F57" s="1134">
        <f t="shared" si="15"/>
        <v>2269871.41</v>
      </c>
      <c r="G57" s="434">
        <f t="shared" si="11"/>
        <v>1</v>
      </c>
      <c r="H57" s="434">
        <f t="shared" si="11"/>
        <v>1</v>
      </c>
      <c r="I57" s="1135">
        <f t="shared" si="13"/>
        <v>2269871.41</v>
      </c>
      <c r="J57" s="106"/>
      <c r="K57" s="414">
        <v>2269871.41</v>
      </c>
      <c r="L57" s="435">
        <f t="shared" si="12"/>
        <v>1</v>
      </c>
      <c r="M57" s="435">
        <f t="shared" si="12"/>
        <v>1</v>
      </c>
      <c r="N57" s="390">
        <f t="shared" si="14"/>
        <v>2269871.41</v>
      </c>
    </row>
    <row r="58" spans="1:14">
      <c r="A58" s="258">
        <f t="shared" si="1"/>
        <v>44</v>
      </c>
      <c r="B58" s="402"/>
      <c r="C58" s="245"/>
      <c r="D58" s="809"/>
      <c r="E58" s="809"/>
      <c r="F58" s="809"/>
      <c r="G58" s="434"/>
      <c r="H58" s="434"/>
      <c r="I58" s="961"/>
      <c r="J58" s="106"/>
      <c r="K58" s="961"/>
      <c r="N58" s="786"/>
    </row>
    <row r="59" spans="1:14">
      <c r="A59" s="258">
        <f t="shared" si="1"/>
        <v>45</v>
      </c>
      <c r="B59" s="402"/>
      <c r="C59" s="245" t="s">
        <v>1404</v>
      </c>
      <c r="D59" s="459">
        <f>SUM(D50:D58)</f>
        <v>31836989.559999999</v>
      </c>
      <c r="E59" s="459">
        <f>SUM(E50:E58)</f>
        <v>0</v>
      </c>
      <c r="F59" s="459">
        <f>SUM(F50:F58)</f>
        <v>31836989.559999999</v>
      </c>
      <c r="G59" s="434"/>
      <c r="H59" s="434"/>
      <c r="I59" s="459">
        <f>SUM(I50:I58)</f>
        <v>31836989.559999999</v>
      </c>
      <c r="J59" s="106"/>
      <c r="K59" s="459">
        <f>SUM(K50:K58)</f>
        <v>31836989.559999991</v>
      </c>
      <c r="N59" s="404">
        <f>SUM(N50:N58)</f>
        <v>31836989.559999991</v>
      </c>
    </row>
    <row r="60" spans="1:14">
      <c r="A60" s="258">
        <f t="shared" si="1"/>
        <v>46</v>
      </c>
      <c r="B60" s="402"/>
      <c r="C60" s="60"/>
      <c r="D60" s="106"/>
      <c r="E60" s="106"/>
      <c r="F60" s="106"/>
      <c r="G60" s="434"/>
      <c r="H60" s="434"/>
      <c r="I60" s="459"/>
      <c r="J60" s="106"/>
      <c r="K60" s="459"/>
    </row>
    <row r="61" spans="1:14">
      <c r="A61" s="258">
        <f t="shared" si="1"/>
        <v>47</v>
      </c>
      <c r="B61" s="402"/>
      <c r="C61" s="17" t="s">
        <v>307</v>
      </c>
      <c r="D61" s="106"/>
      <c r="E61" s="106"/>
      <c r="F61" s="106"/>
      <c r="G61" s="434"/>
      <c r="H61" s="434"/>
      <c r="I61" s="459"/>
      <c r="J61" s="106"/>
      <c r="K61" s="459"/>
    </row>
    <row r="62" spans="1:14">
      <c r="A62" s="258">
        <f t="shared" si="1"/>
        <v>48</v>
      </c>
      <c r="B62" s="403">
        <v>37400</v>
      </c>
      <c r="C62" s="245" t="s">
        <v>1168</v>
      </c>
      <c r="D62" s="414">
        <v>531166.79</v>
      </c>
      <c r="E62" s="612">
        <v>0</v>
      </c>
      <c r="F62" s="459">
        <f>D62+E62</f>
        <v>531166.79</v>
      </c>
      <c r="G62" s="434">
        <f t="shared" si="11"/>
        <v>1</v>
      </c>
      <c r="H62" s="434">
        <f t="shared" si="11"/>
        <v>1</v>
      </c>
      <c r="I62" s="459">
        <f>F62*G62*H62</f>
        <v>531166.79</v>
      </c>
      <c r="J62" s="106"/>
      <c r="K62" s="414">
        <v>531166.79</v>
      </c>
      <c r="L62" s="435">
        <f t="shared" ref="L62:M81" si="16">$G$16</f>
        <v>1</v>
      </c>
      <c r="M62" s="435">
        <f t="shared" si="16"/>
        <v>1</v>
      </c>
      <c r="N62" s="404">
        <f>K62*L62*M62</f>
        <v>531166.79</v>
      </c>
    </row>
    <row r="63" spans="1:14">
      <c r="A63" s="258">
        <f t="shared" si="1"/>
        <v>49</v>
      </c>
      <c r="B63" s="403">
        <v>37401</v>
      </c>
      <c r="C63" s="245" t="s">
        <v>300</v>
      </c>
      <c r="D63" s="414">
        <v>37326.42</v>
      </c>
      <c r="E63" s="806">
        <v>0</v>
      </c>
      <c r="F63" s="806">
        <f>D63+E63</f>
        <v>37326.42</v>
      </c>
      <c r="G63" s="434">
        <f t="shared" si="11"/>
        <v>1</v>
      </c>
      <c r="H63" s="434">
        <f t="shared" si="11"/>
        <v>1</v>
      </c>
      <c r="I63" s="806">
        <f t="shared" ref="I63:I81" si="17">F63*G63*H63</f>
        <v>37326.42</v>
      </c>
      <c r="J63" s="806"/>
      <c r="K63" s="414">
        <v>37326.419999999991</v>
      </c>
      <c r="L63" s="435">
        <f t="shared" si="16"/>
        <v>1</v>
      </c>
      <c r="M63" s="435">
        <f t="shared" si="16"/>
        <v>1</v>
      </c>
      <c r="N63" s="387">
        <f t="shared" ref="N63:N81" si="18">K63*L63*M63</f>
        <v>37326.419999999991</v>
      </c>
    </row>
    <row r="64" spans="1:14">
      <c r="A64" s="258">
        <f t="shared" si="1"/>
        <v>50</v>
      </c>
      <c r="B64" s="403">
        <v>37402</v>
      </c>
      <c r="C64" s="245" t="s">
        <v>1018</v>
      </c>
      <c r="D64" s="414">
        <v>1499591.2999439908</v>
      </c>
      <c r="E64" s="806">
        <v>0</v>
      </c>
      <c r="F64" s="806">
        <f t="shared" ref="F64:F81" si="19">D64+E64</f>
        <v>1499591.2999439908</v>
      </c>
      <c r="G64" s="434">
        <f t="shared" si="11"/>
        <v>1</v>
      </c>
      <c r="H64" s="434">
        <f t="shared" si="11"/>
        <v>1</v>
      </c>
      <c r="I64" s="806">
        <f t="shared" si="17"/>
        <v>1499591.2999439908</v>
      </c>
      <c r="J64" s="806"/>
      <c r="K64" s="414">
        <v>1491896.4989431852</v>
      </c>
      <c r="L64" s="435">
        <f t="shared" si="16"/>
        <v>1</v>
      </c>
      <c r="M64" s="435">
        <f t="shared" si="16"/>
        <v>1</v>
      </c>
      <c r="N64" s="387">
        <f t="shared" si="18"/>
        <v>1491896.4989431852</v>
      </c>
    </row>
    <row r="65" spans="1:17">
      <c r="A65" s="258">
        <f t="shared" si="1"/>
        <v>51</v>
      </c>
      <c r="B65" s="403">
        <v>37403</v>
      </c>
      <c r="C65" s="245" t="s">
        <v>1015</v>
      </c>
      <c r="D65" s="414">
        <v>2783.89</v>
      </c>
      <c r="E65" s="806">
        <v>0</v>
      </c>
      <c r="F65" s="806">
        <f t="shared" si="19"/>
        <v>2783.89</v>
      </c>
      <c r="G65" s="434">
        <f t="shared" si="11"/>
        <v>1</v>
      </c>
      <c r="H65" s="434">
        <f t="shared" si="11"/>
        <v>1</v>
      </c>
      <c r="I65" s="806">
        <f t="shared" si="17"/>
        <v>2783.89</v>
      </c>
      <c r="J65" s="806"/>
      <c r="K65" s="414">
        <v>2783.89</v>
      </c>
      <c r="L65" s="435">
        <f t="shared" si="16"/>
        <v>1</v>
      </c>
      <c r="M65" s="435">
        <f t="shared" si="16"/>
        <v>1</v>
      </c>
      <c r="N65" s="387">
        <f t="shared" si="18"/>
        <v>2783.89</v>
      </c>
    </row>
    <row r="66" spans="1:17">
      <c r="A66" s="258">
        <f t="shared" si="1"/>
        <v>52</v>
      </c>
      <c r="B66" s="403">
        <v>37500</v>
      </c>
      <c r="C66" s="245" t="s">
        <v>874</v>
      </c>
      <c r="D66" s="414">
        <v>336167.54</v>
      </c>
      <c r="E66" s="806">
        <v>0</v>
      </c>
      <c r="F66" s="806">
        <f t="shared" si="19"/>
        <v>336167.54</v>
      </c>
      <c r="G66" s="434">
        <f t="shared" si="11"/>
        <v>1</v>
      </c>
      <c r="H66" s="434">
        <f t="shared" si="11"/>
        <v>1</v>
      </c>
      <c r="I66" s="806">
        <f t="shared" si="17"/>
        <v>336167.54</v>
      </c>
      <c r="J66" s="806"/>
      <c r="K66" s="414">
        <v>336167.54</v>
      </c>
      <c r="L66" s="435">
        <f t="shared" si="16"/>
        <v>1</v>
      </c>
      <c r="M66" s="435">
        <f t="shared" si="16"/>
        <v>1</v>
      </c>
      <c r="N66" s="387">
        <f t="shared" si="18"/>
        <v>336167.54</v>
      </c>
    </row>
    <row r="67" spans="1:17">
      <c r="A67" s="258">
        <f t="shared" si="1"/>
        <v>53</v>
      </c>
      <c r="B67" s="403">
        <v>37501</v>
      </c>
      <c r="C67" s="245" t="s">
        <v>1016</v>
      </c>
      <c r="D67" s="414">
        <v>99818.13</v>
      </c>
      <c r="E67" s="806">
        <v>0</v>
      </c>
      <c r="F67" s="806">
        <f t="shared" si="19"/>
        <v>99818.13</v>
      </c>
      <c r="G67" s="434">
        <f t="shared" si="11"/>
        <v>1</v>
      </c>
      <c r="H67" s="434">
        <f t="shared" si="11"/>
        <v>1</v>
      </c>
      <c r="I67" s="806">
        <f t="shared" si="17"/>
        <v>99818.13</v>
      </c>
      <c r="J67" s="806"/>
      <c r="K67" s="414">
        <v>99818.12999999999</v>
      </c>
      <c r="L67" s="435">
        <f t="shared" si="16"/>
        <v>1</v>
      </c>
      <c r="M67" s="435">
        <f t="shared" si="16"/>
        <v>1</v>
      </c>
      <c r="N67" s="387">
        <f t="shared" si="18"/>
        <v>99818.12999999999</v>
      </c>
    </row>
    <row r="68" spans="1:17">
      <c r="A68" s="258">
        <f t="shared" si="1"/>
        <v>54</v>
      </c>
      <c r="B68" s="403">
        <v>37502</v>
      </c>
      <c r="C68" s="245" t="s">
        <v>1018</v>
      </c>
      <c r="D68" s="414">
        <v>46264.19</v>
      </c>
      <c r="E68" s="806">
        <v>0</v>
      </c>
      <c r="F68" s="806">
        <f t="shared" si="19"/>
        <v>46264.19</v>
      </c>
      <c r="G68" s="434">
        <f t="shared" si="11"/>
        <v>1</v>
      </c>
      <c r="H68" s="434">
        <f t="shared" si="11"/>
        <v>1</v>
      </c>
      <c r="I68" s="806">
        <f t="shared" si="17"/>
        <v>46264.19</v>
      </c>
      <c r="J68" s="806"/>
      <c r="K68" s="414">
        <v>46264.189999999995</v>
      </c>
      <c r="L68" s="435">
        <f t="shared" si="16"/>
        <v>1</v>
      </c>
      <c r="M68" s="435">
        <f t="shared" si="16"/>
        <v>1</v>
      </c>
      <c r="N68" s="387">
        <f t="shared" si="18"/>
        <v>46264.189999999995</v>
      </c>
    </row>
    <row r="69" spans="1:17">
      <c r="A69" s="258">
        <f t="shared" si="1"/>
        <v>55</v>
      </c>
      <c r="B69" s="403">
        <v>37503</v>
      </c>
      <c r="C69" s="245" t="s">
        <v>1017</v>
      </c>
      <c r="D69" s="414">
        <v>4005.08</v>
      </c>
      <c r="E69" s="806">
        <v>0</v>
      </c>
      <c r="F69" s="806">
        <f t="shared" si="19"/>
        <v>4005.08</v>
      </c>
      <c r="G69" s="434">
        <f t="shared" si="11"/>
        <v>1</v>
      </c>
      <c r="H69" s="434">
        <f t="shared" si="11"/>
        <v>1</v>
      </c>
      <c r="I69" s="806">
        <f t="shared" si="17"/>
        <v>4005.08</v>
      </c>
      <c r="J69" s="806"/>
      <c r="K69" s="414">
        <v>4005.0800000000013</v>
      </c>
      <c r="L69" s="435">
        <f t="shared" si="16"/>
        <v>1</v>
      </c>
      <c r="M69" s="435">
        <f t="shared" si="16"/>
        <v>1</v>
      </c>
      <c r="N69" s="387">
        <f t="shared" si="18"/>
        <v>4005.0800000000013</v>
      </c>
    </row>
    <row r="70" spans="1:17">
      <c r="A70" s="258">
        <f t="shared" si="1"/>
        <v>56</v>
      </c>
      <c r="B70" s="403">
        <v>37600</v>
      </c>
      <c r="C70" s="245" t="s">
        <v>861</v>
      </c>
      <c r="D70" s="414">
        <v>20373422.796801124</v>
      </c>
      <c r="E70" s="806">
        <v>0</v>
      </c>
      <c r="F70" s="806">
        <f t="shared" si="19"/>
        <v>20373422.796801124</v>
      </c>
      <c r="G70" s="434">
        <f t="shared" si="11"/>
        <v>1</v>
      </c>
      <c r="H70" s="434">
        <f t="shared" si="11"/>
        <v>1</v>
      </c>
      <c r="I70" s="806">
        <f t="shared" si="17"/>
        <v>20373422.796801124</v>
      </c>
      <c r="J70" s="806"/>
      <c r="K70" s="414">
        <v>20688258.829302907</v>
      </c>
      <c r="L70" s="435">
        <f t="shared" si="16"/>
        <v>1</v>
      </c>
      <c r="M70" s="435">
        <f t="shared" si="16"/>
        <v>1</v>
      </c>
      <c r="N70" s="387">
        <f t="shared" si="18"/>
        <v>20688258.829302907</v>
      </c>
    </row>
    <row r="71" spans="1:17">
      <c r="A71" s="258">
        <f t="shared" si="1"/>
        <v>57</v>
      </c>
      <c r="B71" s="403">
        <v>37601</v>
      </c>
      <c r="C71" s="245" t="s">
        <v>16</v>
      </c>
      <c r="D71" s="414">
        <v>105603258.34590217</v>
      </c>
      <c r="E71" s="806">
        <v>0</v>
      </c>
      <c r="F71" s="806">
        <f t="shared" si="19"/>
        <v>105603258.34590217</v>
      </c>
      <c r="G71" s="434">
        <f t="shared" si="11"/>
        <v>1</v>
      </c>
      <c r="H71" s="434">
        <f t="shared" si="11"/>
        <v>1</v>
      </c>
      <c r="I71" s="806">
        <f t="shared" si="17"/>
        <v>105603258.34590217</v>
      </c>
      <c r="J71" s="806"/>
      <c r="K71" s="414">
        <v>99902993.879357651</v>
      </c>
      <c r="L71" s="435">
        <f t="shared" si="16"/>
        <v>1</v>
      </c>
      <c r="M71" s="435">
        <f t="shared" si="16"/>
        <v>1</v>
      </c>
      <c r="N71" s="387">
        <f t="shared" si="18"/>
        <v>99902993.879357651</v>
      </c>
    </row>
    <row r="72" spans="1:17">
      <c r="A72" s="258">
        <f t="shared" si="1"/>
        <v>58</v>
      </c>
      <c r="B72" s="403">
        <v>37602</v>
      </c>
      <c r="C72" s="245" t="s">
        <v>862</v>
      </c>
      <c r="D72" s="414">
        <v>83638708.033722177</v>
      </c>
      <c r="E72" s="806">
        <v>0</v>
      </c>
      <c r="F72" s="806">
        <f t="shared" si="19"/>
        <v>83638708.033722177</v>
      </c>
      <c r="G72" s="434">
        <f t="shared" si="11"/>
        <v>1</v>
      </c>
      <c r="H72" s="434">
        <f t="shared" si="11"/>
        <v>1</v>
      </c>
      <c r="I72" s="806">
        <f t="shared" si="17"/>
        <v>83638708.033722177</v>
      </c>
      <c r="J72" s="806"/>
      <c r="K72" s="414">
        <v>73282774.581818685</v>
      </c>
      <c r="L72" s="435">
        <f t="shared" si="16"/>
        <v>1</v>
      </c>
      <c r="M72" s="435">
        <f t="shared" si="16"/>
        <v>1</v>
      </c>
      <c r="N72" s="387">
        <f t="shared" si="18"/>
        <v>73282774.581818685</v>
      </c>
      <c r="Q72" s="768"/>
    </row>
    <row r="73" spans="1:17">
      <c r="A73" s="258">
        <f t="shared" si="1"/>
        <v>59</v>
      </c>
      <c r="B73" s="403">
        <v>37800</v>
      </c>
      <c r="C73" s="245" t="s">
        <v>234</v>
      </c>
      <c r="D73" s="414">
        <v>6962214.6654716767</v>
      </c>
      <c r="E73" s="806">
        <v>0</v>
      </c>
      <c r="F73" s="806">
        <f t="shared" si="19"/>
        <v>6962214.6654716767</v>
      </c>
      <c r="G73" s="434">
        <f t="shared" si="11"/>
        <v>1</v>
      </c>
      <c r="H73" s="434">
        <f t="shared" si="11"/>
        <v>1</v>
      </c>
      <c r="I73" s="806">
        <f t="shared" si="17"/>
        <v>6962214.6654716767</v>
      </c>
      <c r="J73" s="806"/>
      <c r="K73" s="414">
        <v>6546839.3733374476</v>
      </c>
      <c r="L73" s="435">
        <f t="shared" si="16"/>
        <v>1</v>
      </c>
      <c r="M73" s="435">
        <f t="shared" si="16"/>
        <v>1</v>
      </c>
      <c r="N73" s="387">
        <f t="shared" si="18"/>
        <v>6546839.3733374476</v>
      </c>
    </row>
    <row r="74" spans="1:17">
      <c r="A74" s="258">
        <f t="shared" si="1"/>
        <v>60</v>
      </c>
      <c r="B74" s="403">
        <v>37900</v>
      </c>
      <c r="C74" s="245" t="s">
        <v>1211</v>
      </c>
      <c r="D74" s="414">
        <v>2977136.3315375461</v>
      </c>
      <c r="E74" s="806">
        <v>0</v>
      </c>
      <c r="F74" s="806">
        <f t="shared" si="19"/>
        <v>2977136.3315375461</v>
      </c>
      <c r="G74" s="434">
        <f t="shared" si="11"/>
        <v>1</v>
      </c>
      <c r="H74" s="434">
        <f t="shared" si="11"/>
        <v>1</v>
      </c>
      <c r="I74" s="806">
        <f t="shared" si="17"/>
        <v>2977136.3315375461</v>
      </c>
      <c r="J74" s="806"/>
      <c r="K74" s="414">
        <v>2836568.7210598411</v>
      </c>
      <c r="L74" s="435">
        <f t="shared" si="16"/>
        <v>1</v>
      </c>
      <c r="M74" s="435">
        <f t="shared" si="16"/>
        <v>1</v>
      </c>
      <c r="N74" s="387">
        <f t="shared" si="18"/>
        <v>2836568.7210598411</v>
      </c>
    </row>
    <row r="75" spans="1:17">
      <c r="A75" s="258">
        <f t="shared" si="1"/>
        <v>61</v>
      </c>
      <c r="B75" s="403">
        <v>37905</v>
      </c>
      <c r="C75" s="245" t="s">
        <v>742</v>
      </c>
      <c r="D75" s="414">
        <v>1393820.61</v>
      </c>
      <c r="E75" s="806">
        <v>0</v>
      </c>
      <c r="F75" s="806">
        <f t="shared" si="19"/>
        <v>1393820.61</v>
      </c>
      <c r="G75" s="434">
        <f t="shared" si="11"/>
        <v>1</v>
      </c>
      <c r="H75" s="434">
        <f t="shared" si="11"/>
        <v>1</v>
      </c>
      <c r="I75" s="806">
        <f t="shared" si="17"/>
        <v>1393820.61</v>
      </c>
      <c r="J75" s="806"/>
      <c r="K75" s="414">
        <v>1393820.6099999999</v>
      </c>
      <c r="L75" s="435">
        <f t="shared" si="16"/>
        <v>1</v>
      </c>
      <c r="M75" s="435">
        <f t="shared" si="16"/>
        <v>1</v>
      </c>
      <c r="N75" s="387">
        <f t="shared" si="18"/>
        <v>1393820.6099999999</v>
      </c>
    </row>
    <row r="76" spans="1:17">
      <c r="A76" s="258">
        <f t="shared" si="1"/>
        <v>62</v>
      </c>
      <c r="B76" s="403">
        <v>38000</v>
      </c>
      <c r="C76" s="245" t="s">
        <v>1072</v>
      </c>
      <c r="D76" s="414">
        <v>111917612.03268524</v>
      </c>
      <c r="E76" s="806">
        <v>0</v>
      </c>
      <c r="F76" s="806">
        <f t="shared" si="19"/>
        <v>111917612.03268524</v>
      </c>
      <c r="G76" s="434">
        <f t="shared" si="11"/>
        <v>1</v>
      </c>
      <c r="H76" s="434">
        <f t="shared" si="11"/>
        <v>1</v>
      </c>
      <c r="I76" s="806">
        <f t="shared" si="17"/>
        <v>111917612.03268524</v>
      </c>
      <c r="J76" s="806"/>
      <c r="K76" s="414">
        <v>107137690.04601805</v>
      </c>
      <c r="L76" s="435">
        <f t="shared" si="16"/>
        <v>1</v>
      </c>
      <c r="M76" s="435">
        <f t="shared" si="16"/>
        <v>1</v>
      </c>
      <c r="N76" s="387">
        <f t="shared" si="18"/>
        <v>107137690.04601805</v>
      </c>
    </row>
    <row r="77" spans="1:17">
      <c r="A77" s="258">
        <f t="shared" si="1"/>
        <v>63</v>
      </c>
      <c r="B77" s="403">
        <v>38100</v>
      </c>
      <c r="C77" s="245" t="s">
        <v>863</v>
      </c>
      <c r="D77" s="414">
        <v>30216256.075291932</v>
      </c>
      <c r="E77" s="806">
        <v>0</v>
      </c>
      <c r="F77" s="806">
        <f t="shared" si="19"/>
        <v>30216256.075291932</v>
      </c>
      <c r="G77" s="434">
        <f t="shared" ref="G77:H105" si="20">$G$16</f>
        <v>1</v>
      </c>
      <c r="H77" s="434">
        <f t="shared" si="20"/>
        <v>1</v>
      </c>
      <c r="I77" s="806">
        <f t="shared" si="17"/>
        <v>30216256.075291932</v>
      </c>
      <c r="J77" s="806"/>
      <c r="K77" s="414">
        <v>27090307.961784128</v>
      </c>
      <c r="L77" s="435">
        <f t="shared" si="16"/>
        <v>1</v>
      </c>
      <c r="M77" s="435">
        <f t="shared" si="16"/>
        <v>1</v>
      </c>
      <c r="N77" s="387">
        <f t="shared" si="18"/>
        <v>27090307.961784128</v>
      </c>
    </row>
    <row r="78" spans="1:17">
      <c r="A78" s="258">
        <f t="shared" si="1"/>
        <v>64</v>
      </c>
      <c r="B78" s="403">
        <v>38200</v>
      </c>
      <c r="C78" s="245" t="s">
        <v>456</v>
      </c>
      <c r="D78" s="414">
        <v>51000598.624616176</v>
      </c>
      <c r="E78" s="806">
        <v>0</v>
      </c>
      <c r="F78" s="806">
        <f t="shared" si="19"/>
        <v>51000598.624616176</v>
      </c>
      <c r="G78" s="434">
        <f t="shared" si="20"/>
        <v>1</v>
      </c>
      <c r="H78" s="434">
        <f t="shared" si="20"/>
        <v>1</v>
      </c>
      <c r="I78" s="806">
        <f t="shared" si="17"/>
        <v>51000598.624616176</v>
      </c>
      <c r="J78" s="806"/>
      <c r="K78" s="414">
        <v>50542420.409947395</v>
      </c>
      <c r="L78" s="435">
        <f t="shared" si="16"/>
        <v>1</v>
      </c>
      <c r="M78" s="435">
        <f t="shared" si="16"/>
        <v>1</v>
      </c>
      <c r="N78" s="387">
        <f t="shared" si="18"/>
        <v>50542420.409947395</v>
      </c>
    </row>
    <row r="79" spans="1:17">
      <c r="A79" s="258">
        <f t="shared" si="1"/>
        <v>65</v>
      </c>
      <c r="B79" s="403">
        <v>38300</v>
      </c>
      <c r="C79" s="245" t="s">
        <v>1073</v>
      </c>
      <c r="D79" s="414">
        <v>8250799.8745375238</v>
      </c>
      <c r="E79" s="806">
        <v>0</v>
      </c>
      <c r="F79" s="806">
        <f t="shared" si="19"/>
        <v>8250799.8745375238</v>
      </c>
      <c r="G79" s="434">
        <f t="shared" si="20"/>
        <v>1</v>
      </c>
      <c r="H79" s="434">
        <f t="shared" si="20"/>
        <v>1</v>
      </c>
      <c r="I79" s="806">
        <f t="shared" si="17"/>
        <v>8250799.8745375238</v>
      </c>
      <c r="J79" s="806"/>
      <c r="K79" s="414">
        <v>8096146.0317877959</v>
      </c>
      <c r="L79" s="435">
        <f t="shared" si="16"/>
        <v>1</v>
      </c>
      <c r="M79" s="435">
        <f t="shared" si="16"/>
        <v>1</v>
      </c>
      <c r="N79" s="387">
        <f t="shared" si="18"/>
        <v>8096146.0317877959</v>
      </c>
    </row>
    <row r="80" spans="1:17">
      <c r="A80" s="258">
        <f t="shared" si="1"/>
        <v>66</v>
      </c>
      <c r="B80" s="403">
        <v>38400</v>
      </c>
      <c r="C80" s="245" t="s">
        <v>457</v>
      </c>
      <c r="D80" s="414">
        <v>154276.35999999999</v>
      </c>
      <c r="E80" s="806">
        <v>0</v>
      </c>
      <c r="F80" s="806">
        <f t="shared" si="19"/>
        <v>154276.35999999999</v>
      </c>
      <c r="G80" s="434">
        <f t="shared" si="20"/>
        <v>1</v>
      </c>
      <c r="H80" s="434">
        <f t="shared" si="20"/>
        <v>1</v>
      </c>
      <c r="I80" s="806">
        <f t="shared" si="17"/>
        <v>154276.35999999999</v>
      </c>
      <c r="J80" s="806"/>
      <c r="K80" s="414">
        <v>154276.35999999993</v>
      </c>
      <c r="L80" s="435">
        <f t="shared" si="16"/>
        <v>1</v>
      </c>
      <c r="M80" s="435">
        <f t="shared" si="16"/>
        <v>1</v>
      </c>
      <c r="N80" s="387">
        <f t="shared" si="18"/>
        <v>154276.35999999993</v>
      </c>
    </row>
    <row r="81" spans="1:15">
      <c r="A81" s="258">
        <f t="shared" ref="A81:A144" si="21">A80+1</f>
        <v>67</v>
      </c>
      <c r="B81" s="403">
        <v>38500</v>
      </c>
      <c r="C81" s="245" t="s">
        <v>458</v>
      </c>
      <c r="D81" s="414">
        <v>5345442.1765498584</v>
      </c>
      <c r="E81" s="806">
        <v>0</v>
      </c>
      <c r="F81" s="806">
        <f t="shared" si="19"/>
        <v>5345442.1765498584</v>
      </c>
      <c r="G81" s="434">
        <f t="shared" si="20"/>
        <v>1</v>
      </c>
      <c r="H81" s="434">
        <f t="shared" si="20"/>
        <v>1</v>
      </c>
      <c r="I81" s="806">
        <f t="shared" si="17"/>
        <v>5345442.1765498584</v>
      </c>
      <c r="J81" s="806"/>
      <c r="K81" s="414">
        <v>5278579.4293536246</v>
      </c>
      <c r="L81" s="435">
        <f t="shared" si="16"/>
        <v>1</v>
      </c>
      <c r="M81" s="435">
        <f t="shared" si="16"/>
        <v>1</v>
      </c>
      <c r="N81" s="387">
        <f t="shared" si="18"/>
        <v>5278579.4293536246</v>
      </c>
    </row>
    <row r="82" spans="1:15">
      <c r="A82" s="258">
        <f t="shared" si="21"/>
        <v>68</v>
      </c>
      <c r="B82" s="402"/>
      <c r="C82" s="245"/>
      <c r="D82" s="809"/>
      <c r="E82" s="809"/>
      <c r="F82" s="809"/>
      <c r="G82" s="434"/>
      <c r="H82" s="434"/>
      <c r="I82" s="809"/>
      <c r="J82" s="106"/>
      <c r="K82" s="961"/>
      <c r="N82" s="786"/>
    </row>
    <row r="83" spans="1:15">
      <c r="A83" s="258">
        <f t="shared" si="21"/>
        <v>69</v>
      </c>
      <c r="B83" s="402"/>
      <c r="C83" s="245" t="s">
        <v>308</v>
      </c>
      <c r="D83" s="459">
        <f>SUM(D62:D82)</f>
        <v>430390669.26705945</v>
      </c>
      <c r="E83" s="459">
        <f>SUM(E62:E82)</f>
        <v>0</v>
      </c>
      <c r="F83" s="459">
        <f>SUM(F62:F82)</f>
        <v>430390669.26705945</v>
      </c>
      <c r="G83" s="434"/>
      <c r="H83" s="434"/>
      <c r="I83" s="459">
        <f>SUM(I62:I82)</f>
        <v>430390669.26705945</v>
      </c>
      <c r="J83" s="106"/>
      <c r="K83" s="459">
        <f>SUM(K62:K82)</f>
        <v>405500104.77271068</v>
      </c>
      <c r="N83" s="404">
        <f>SUM(N62:N82)</f>
        <v>405500104.77271068</v>
      </c>
      <c r="O83" s="768"/>
    </row>
    <row r="84" spans="1:15">
      <c r="A84" s="258">
        <f t="shared" si="21"/>
        <v>70</v>
      </c>
      <c r="B84" s="402"/>
      <c r="C84" s="245"/>
      <c r="D84" s="106"/>
      <c r="E84" s="106"/>
      <c r="F84" s="106"/>
      <c r="G84" s="434"/>
      <c r="H84" s="434"/>
      <c r="I84" s="106"/>
      <c r="J84" s="106"/>
      <c r="K84" s="459"/>
    </row>
    <row r="85" spans="1:15">
      <c r="A85" s="258">
        <f t="shared" si="21"/>
        <v>71</v>
      </c>
      <c r="B85" s="402"/>
      <c r="C85" s="17" t="s">
        <v>1190</v>
      </c>
      <c r="D85" s="106"/>
      <c r="E85" s="106"/>
      <c r="F85" s="106"/>
      <c r="G85" s="434"/>
      <c r="H85" s="434"/>
      <c r="I85" s="106"/>
      <c r="J85" s="106"/>
      <c r="K85" s="459"/>
    </row>
    <row r="86" spans="1:15">
      <c r="A86" s="258">
        <f t="shared" si="21"/>
        <v>72</v>
      </c>
      <c r="B86" s="403">
        <v>38900</v>
      </c>
      <c r="C86" s="245" t="s">
        <v>1168</v>
      </c>
      <c r="D86" s="414">
        <v>1027349.7</v>
      </c>
      <c r="E86" s="612">
        <v>0</v>
      </c>
      <c r="F86" s="459">
        <f t="shared" ref="F86:F105" si="22">D86+E86</f>
        <v>1027349.7</v>
      </c>
      <c r="G86" s="434">
        <f t="shared" si="20"/>
        <v>1</v>
      </c>
      <c r="H86" s="434">
        <f t="shared" si="20"/>
        <v>1</v>
      </c>
      <c r="I86" s="459">
        <f>F86*G86*H86</f>
        <v>1027349.7</v>
      </c>
      <c r="J86" s="106"/>
      <c r="K86" s="414">
        <v>1027349.6999999998</v>
      </c>
      <c r="L86" s="435">
        <f t="shared" ref="L86:M105" si="23">$G$16</f>
        <v>1</v>
      </c>
      <c r="M86" s="435">
        <f t="shared" si="23"/>
        <v>1</v>
      </c>
      <c r="N86" s="404">
        <f>K86*L86*M86</f>
        <v>1027349.6999999998</v>
      </c>
    </row>
    <row r="87" spans="1:15">
      <c r="A87" s="258">
        <f t="shared" si="21"/>
        <v>73</v>
      </c>
      <c r="B87" s="403">
        <v>39000</v>
      </c>
      <c r="C87" s="245" t="s">
        <v>874</v>
      </c>
      <c r="D87" s="414">
        <v>4889293.3691388834</v>
      </c>
      <c r="E87" s="806">
        <v>0</v>
      </c>
      <c r="F87" s="806">
        <f>D87+E87</f>
        <v>4889293.3691388834</v>
      </c>
      <c r="G87" s="434">
        <f t="shared" si="20"/>
        <v>1</v>
      </c>
      <c r="H87" s="434">
        <f t="shared" si="20"/>
        <v>1</v>
      </c>
      <c r="I87" s="806">
        <f t="shared" ref="I87:I105" si="24">F87*G87*H87</f>
        <v>4889293.3691388834</v>
      </c>
      <c r="J87" s="106"/>
      <c r="K87" s="414">
        <v>4630146.7259862125</v>
      </c>
      <c r="L87" s="435">
        <f t="shared" si="23"/>
        <v>1</v>
      </c>
      <c r="M87" s="435">
        <f t="shared" si="23"/>
        <v>1</v>
      </c>
      <c r="N87" s="387">
        <f t="shared" ref="N87:N105" si="25">K87*L87*M87</f>
        <v>4630146.7259862125</v>
      </c>
    </row>
    <row r="88" spans="1:15">
      <c r="A88" s="258">
        <f t="shared" si="21"/>
        <v>74</v>
      </c>
      <c r="B88" s="403">
        <v>39002</v>
      </c>
      <c r="C88" s="245" t="s">
        <v>764</v>
      </c>
      <c r="D88" s="414">
        <v>173114.85</v>
      </c>
      <c r="E88" s="806">
        <v>0</v>
      </c>
      <c r="F88" s="806">
        <f t="shared" si="22"/>
        <v>173114.85</v>
      </c>
      <c r="G88" s="434">
        <f t="shared" si="20"/>
        <v>1</v>
      </c>
      <c r="H88" s="434">
        <f t="shared" si="20"/>
        <v>1</v>
      </c>
      <c r="I88" s="806">
        <f t="shared" si="24"/>
        <v>173114.85</v>
      </c>
      <c r="J88" s="106"/>
      <c r="K88" s="414">
        <v>173114.85000000003</v>
      </c>
      <c r="L88" s="435">
        <f t="shared" si="23"/>
        <v>1</v>
      </c>
      <c r="M88" s="435">
        <f t="shared" si="23"/>
        <v>1</v>
      </c>
      <c r="N88" s="387">
        <f t="shared" si="25"/>
        <v>173114.85000000003</v>
      </c>
    </row>
    <row r="89" spans="1:15">
      <c r="A89" s="258">
        <f t="shared" si="21"/>
        <v>75</v>
      </c>
      <c r="B89" s="403">
        <v>39003</v>
      </c>
      <c r="C89" s="245" t="s">
        <v>1017</v>
      </c>
      <c r="D89" s="414">
        <v>709199.18</v>
      </c>
      <c r="E89" s="806">
        <v>0</v>
      </c>
      <c r="F89" s="806">
        <f t="shared" si="22"/>
        <v>709199.18</v>
      </c>
      <c r="G89" s="434">
        <f t="shared" si="20"/>
        <v>1</v>
      </c>
      <c r="H89" s="434">
        <f t="shared" si="20"/>
        <v>1</v>
      </c>
      <c r="I89" s="806">
        <f t="shared" si="24"/>
        <v>709199.18</v>
      </c>
      <c r="J89" s="106"/>
      <c r="K89" s="414">
        <v>709199.17999999982</v>
      </c>
      <c r="L89" s="435">
        <f t="shared" si="23"/>
        <v>1</v>
      </c>
      <c r="M89" s="435">
        <f t="shared" si="23"/>
        <v>1</v>
      </c>
      <c r="N89" s="387">
        <f t="shared" si="25"/>
        <v>709199.17999999982</v>
      </c>
    </row>
    <row r="90" spans="1:15">
      <c r="A90" s="258">
        <f t="shared" si="21"/>
        <v>76</v>
      </c>
      <c r="B90" s="403">
        <v>39004</v>
      </c>
      <c r="C90" s="245" t="s">
        <v>459</v>
      </c>
      <c r="D90" s="414">
        <v>7461.49</v>
      </c>
      <c r="E90" s="806">
        <v>0</v>
      </c>
      <c r="F90" s="806">
        <f t="shared" si="22"/>
        <v>7461.49</v>
      </c>
      <c r="G90" s="434">
        <f t="shared" si="20"/>
        <v>1</v>
      </c>
      <c r="H90" s="434">
        <f t="shared" si="20"/>
        <v>1</v>
      </c>
      <c r="I90" s="806">
        <f t="shared" si="24"/>
        <v>7461.49</v>
      </c>
      <c r="J90" s="106"/>
      <c r="K90" s="414">
        <v>7461.4900000000007</v>
      </c>
      <c r="L90" s="435">
        <f t="shared" si="23"/>
        <v>1</v>
      </c>
      <c r="M90" s="435">
        <f t="shared" si="23"/>
        <v>1</v>
      </c>
      <c r="N90" s="387">
        <f t="shared" si="25"/>
        <v>7461.4900000000007</v>
      </c>
    </row>
    <row r="91" spans="1:15">
      <c r="A91" s="258">
        <f t="shared" si="21"/>
        <v>77</v>
      </c>
      <c r="B91" s="403">
        <v>39009</v>
      </c>
      <c r="C91" s="245" t="s">
        <v>1056</v>
      </c>
      <c r="D91" s="414">
        <v>1246194.18</v>
      </c>
      <c r="E91" s="806">
        <v>0</v>
      </c>
      <c r="F91" s="806">
        <f t="shared" si="22"/>
        <v>1246194.18</v>
      </c>
      <c r="G91" s="434">
        <f t="shared" si="20"/>
        <v>1</v>
      </c>
      <c r="H91" s="434">
        <f t="shared" si="20"/>
        <v>1</v>
      </c>
      <c r="I91" s="806">
        <f t="shared" si="24"/>
        <v>1246194.18</v>
      </c>
      <c r="J91" s="106"/>
      <c r="K91" s="414">
        <v>1246194.18</v>
      </c>
      <c r="L91" s="435">
        <f t="shared" si="23"/>
        <v>1</v>
      </c>
      <c r="M91" s="435">
        <f t="shared" si="23"/>
        <v>1</v>
      </c>
      <c r="N91" s="387">
        <f t="shared" si="25"/>
        <v>1246194.18</v>
      </c>
    </row>
    <row r="92" spans="1:15">
      <c r="A92" s="258">
        <f t="shared" si="21"/>
        <v>78</v>
      </c>
      <c r="B92" s="403">
        <v>39100</v>
      </c>
      <c r="C92" s="245" t="s">
        <v>796</v>
      </c>
      <c r="D92" s="414">
        <v>1811922.8204937228</v>
      </c>
      <c r="E92" s="806">
        <v>0</v>
      </c>
      <c r="F92" s="806">
        <f t="shared" si="22"/>
        <v>1811922.8204937228</v>
      </c>
      <c r="G92" s="434">
        <f t="shared" si="20"/>
        <v>1</v>
      </c>
      <c r="H92" s="434">
        <f t="shared" si="20"/>
        <v>1</v>
      </c>
      <c r="I92" s="806">
        <f t="shared" si="24"/>
        <v>1811922.8204937228</v>
      </c>
      <c r="J92" s="106"/>
      <c r="K92" s="414">
        <v>1705903.1863409057</v>
      </c>
      <c r="L92" s="435">
        <f t="shared" si="23"/>
        <v>1</v>
      </c>
      <c r="M92" s="435">
        <f t="shared" si="23"/>
        <v>1</v>
      </c>
      <c r="N92" s="387">
        <f t="shared" si="25"/>
        <v>1705903.1863409057</v>
      </c>
    </row>
    <row r="93" spans="1:15">
      <c r="A93" s="258">
        <f t="shared" si="21"/>
        <v>79</v>
      </c>
      <c r="B93" s="403">
        <v>39200</v>
      </c>
      <c r="C93" s="245" t="s">
        <v>1096</v>
      </c>
      <c r="D93" s="414">
        <v>362906.41</v>
      </c>
      <c r="E93" s="806">
        <v>0</v>
      </c>
      <c r="F93" s="806">
        <f t="shared" si="22"/>
        <v>362906.41</v>
      </c>
      <c r="G93" s="434">
        <f t="shared" si="20"/>
        <v>1</v>
      </c>
      <c r="H93" s="434">
        <f t="shared" si="20"/>
        <v>1</v>
      </c>
      <c r="I93" s="806">
        <f t="shared" si="24"/>
        <v>362906.41</v>
      </c>
      <c r="J93" s="106"/>
      <c r="K93" s="414">
        <v>367221.64076923084</v>
      </c>
      <c r="L93" s="435">
        <f t="shared" si="23"/>
        <v>1</v>
      </c>
      <c r="M93" s="435">
        <f t="shared" si="23"/>
        <v>1</v>
      </c>
      <c r="N93" s="387">
        <f t="shared" si="25"/>
        <v>367221.64076923084</v>
      </c>
    </row>
    <row r="94" spans="1:15">
      <c r="A94" s="258">
        <f t="shared" si="21"/>
        <v>80</v>
      </c>
      <c r="B94" s="403">
        <v>39202</v>
      </c>
      <c r="C94" s="245" t="s">
        <v>91</v>
      </c>
      <c r="D94" s="414">
        <v>33191.910000000003</v>
      </c>
      <c r="E94" s="806">
        <v>0</v>
      </c>
      <c r="F94" s="806">
        <f t="shared" si="22"/>
        <v>33191.910000000003</v>
      </c>
      <c r="G94" s="434">
        <f t="shared" si="20"/>
        <v>1</v>
      </c>
      <c r="H94" s="434">
        <f t="shared" si="20"/>
        <v>1</v>
      </c>
      <c r="I94" s="806">
        <f t="shared" si="24"/>
        <v>33191.910000000003</v>
      </c>
      <c r="J94" s="106"/>
      <c r="K94" s="414">
        <v>33191.910000000018</v>
      </c>
      <c r="L94" s="435">
        <f t="shared" si="23"/>
        <v>1</v>
      </c>
      <c r="M94" s="435">
        <f t="shared" si="23"/>
        <v>1</v>
      </c>
      <c r="N94" s="387">
        <f t="shared" si="25"/>
        <v>33191.910000000018</v>
      </c>
    </row>
    <row r="95" spans="1:15">
      <c r="A95" s="258">
        <f t="shared" si="21"/>
        <v>81</v>
      </c>
      <c r="B95" s="403">
        <v>39400</v>
      </c>
      <c r="C95" s="245" t="s">
        <v>1055</v>
      </c>
      <c r="D95" s="414">
        <v>2331060.5472186203</v>
      </c>
      <c r="E95" s="806">
        <v>0</v>
      </c>
      <c r="F95" s="806">
        <f t="shared" si="22"/>
        <v>2331060.5472186203</v>
      </c>
      <c r="G95" s="434">
        <f t="shared" si="20"/>
        <v>1</v>
      </c>
      <c r="H95" s="434">
        <f t="shared" si="20"/>
        <v>1</v>
      </c>
      <c r="I95" s="806">
        <f t="shared" si="24"/>
        <v>2331060.5472186203</v>
      </c>
      <c r="J95" s="106"/>
      <c r="K95" s="414">
        <v>2094762.8756157053</v>
      </c>
      <c r="L95" s="435">
        <f t="shared" si="23"/>
        <v>1</v>
      </c>
      <c r="M95" s="435">
        <f t="shared" si="23"/>
        <v>1</v>
      </c>
      <c r="N95" s="387">
        <f t="shared" si="25"/>
        <v>2094762.8756157053</v>
      </c>
    </row>
    <row r="96" spans="1:15">
      <c r="A96" s="258">
        <f t="shared" si="21"/>
        <v>82</v>
      </c>
      <c r="B96" s="403">
        <v>39603</v>
      </c>
      <c r="C96" s="245" t="s">
        <v>92</v>
      </c>
      <c r="D96" s="414">
        <v>47302.960000000006</v>
      </c>
      <c r="E96" s="806">
        <v>0</v>
      </c>
      <c r="F96" s="806">
        <f t="shared" si="22"/>
        <v>47302.960000000006</v>
      </c>
      <c r="G96" s="434">
        <f t="shared" si="20"/>
        <v>1</v>
      </c>
      <c r="H96" s="434">
        <f t="shared" si="20"/>
        <v>1</v>
      </c>
      <c r="I96" s="806">
        <f t="shared" si="24"/>
        <v>47302.960000000006</v>
      </c>
      <c r="J96" s="106"/>
      <c r="K96" s="414">
        <v>49272.406153846154</v>
      </c>
      <c r="L96" s="435">
        <f t="shared" si="23"/>
        <v>1</v>
      </c>
      <c r="M96" s="435">
        <f t="shared" si="23"/>
        <v>1</v>
      </c>
      <c r="N96" s="387">
        <f t="shared" si="25"/>
        <v>49272.406153846154</v>
      </c>
    </row>
    <row r="97" spans="1:18">
      <c r="A97" s="258">
        <f t="shared" si="21"/>
        <v>83</v>
      </c>
      <c r="B97" s="403">
        <v>39604</v>
      </c>
      <c r="C97" s="245" t="s">
        <v>93</v>
      </c>
      <c r="D97" s="414">
        <v>62747.29</v>
      </c>
      <c r="E97" s="806">
        <v>0</v>
      </c>
      <c r="F97" s="806">
        <f t="shared" si="22"/>
        <v>62747.29</v>
      </c>
      <c r="G97" s="434">
        <f t="shared" si="20"/>
        <v>1</v>
      </c>
      <c r="H97" s="434">
        <f t="shared" si="20"/>
        <v>1</v>
      </c>
      <c r="I97" s="806">
        <f t="shared" si="24"/>
        <v>62747.29</v>
      </c>
      <c r="J97" s="106"/>
      <c r="K97" s="414">
        <v>62747.290000000008</v>
      </c>
      <c r="L97" s="435">
        <f t="shared" si="23"/>
        <v>1</v>
      </c>
      <c r="M97" s="435">
        <f t="shared" si="23"/>
        <v>1</v>
      </c>
      <c r="N97" s="387">
        <f t="shared" si="25"/>
        <v>62747.290000000008</v>
      </c>
    </row>
    <row r="98" spans="1:18">
      <c r="A98" s="258">
        <f t="shared" si="21"/>
        <v>84</v>
      </c>
      <c r="B98" s="403">
        <v>39605</v>
      </c>
      <c r="C98" s="60" t="s">
        <v>94</v>
      </c>
      <c r="D98" s="414">
        <v>33235.94</v>
      </c>
      <c r="E98" s="806">
        <v>0</v>
      </c>
      <c r="F98" s="806">
        <f t="shared" si="22"/>
        <v>33235.94</v>
      </c>
      <c r="G98" s="434">
        <f t="shared" si="20"/>
        <v>1</v>
      </c>
      <c r="H98" s="434">
        <f t="shared" si="20"/>
        <v>1</v>
      </c>
      <c r="I98" s="806">
        <f t="shared" si="24"/>
        <v>33235.94</v>
      </c>
      <c r="J98" s="106"/>
      <c r="K98" s="414">
        <v>33235.94</v>
      </c>
      <c r="L98" s="435">
        <f t="shared" si="23"/>
        <v>1</v>
      </c>
      <c r="M98" s="435">
        <f t="shared" si="23"/>
        <v>1</v>
      </c>
      <c r="N98" s="387">
        <f t="shared" si="25"/>
        <v>33235.94</v>
      </c>
    </row>
    <row r="99" spans="1:18">
      <c r="A99" s="258">
        <f t="shared" si="21"/>
        <v>85</v>
      </c>
      <c r="B99" s="403">
        <v>39700</v>
      </c>
      <c r="C99" s="245" t="s">
        <v>454</v>
      </c>
      <c r="D99" s="414">
        <v>374223.52268984349</v>
      </c>
      <c r="E99" s="806">
        <v>0</v>
      </c>
      <c r="F99" s="806">
        <f t="shared" si="22"/>
        <v>374223.52268984349</v>
      </c>
      <c r="G99" s="434">
        <f t="shared" si="20"/>
        <v>1</v>
      </c>
      <c r="H99" s="434">
        <f t="shared" si="20"/>
        <v>1</v>
      </c>
      <c r="I99" s="806">
        <f t="shared" si="24"/>
        <v>374223.52268984349</v>
      </c>
      <c r="J99" s="106"/>
      <c r="K99" s="414">
        <v>350578.89883126348</v>
      </c>
      <c r="L99" s="435">
        <f t="shared" si="23"/>
        <v>1</v>
      </c>
      <c r="M99" s="435">
        <f t="shared" si="23"/>
        <v>1</v>
      </c>
      <c r="N99" s="387">
        <f t="shared" si="25"/>
        <v>350578.89883126348</v>
      </c>
    </row>
    <row r="100" spans="1:18">
      <c r="A100" s="258">
        <f t="shared" si="21"/>
        <v>86</v>
      </c>
      <c r="B100" s="403">
        <v>39705</v>
      </c>
      <c r="C100" s="245" t="s">
        <v>738</v>
      </c>
      <c r="D100" s="414">
        <v>0</v>
      </c>
      <c r="E100" s="806">
        <v>0</v>
      </c>
      <c r="F100" s="806">
        <f t="shared" si="22"/>
        <v>0</v>
      </c>
      <c r="G100" s="434">
        <f t="shared" si="20"/>
        <v>1</v>
      </c>
      <c r="H100" s="434">
        <f t="shared" si="20"/>
        <v>1</v>
      </c>
      <c r="I100" s="806">
        <f t="shared" si="24"/>
        <v>0</v>
      </c>
      <c r="J100" s="106"/>
      <c r="K100" s="414">
        <v>0</v>
      </c>
      <c r="L100" s="435">
        <f t="shared" si="23"/>
        <v>1</v>
      </c>
      <c r="M100" s="435">
        <f t="shared" si="23"/>
        <v>1</v>
      </c>
      <c r="N100" s="387">
        <f t="shared" si="25"/>
        <v>0</v>
      </c>
    </row>
    <row r="101" spans="1:18">
      <c r="A101" s="258">
        <f t="shared" si="21"/>
        <v>87</v>
      </c>
      <c r="B101" s="403">
        <v>39800</v>
      </c>
      <c r="C101" s="245" t="s">
        <v>666</v>
      </c>
      <c r="D101" s="414">
        <v>4004479.4464024189</v>
      </c>
      <c r="E101" s="806">
        <v>0</v>
      </c>
      <c r="F101" s="806">
        <f t="shared" si="22"/>
        <v>4004479.4464024189</v>
      </c>
      <c r="G101" s="434">
        <f t="shared" si="20"/>
        <v>1</v>
      </c>
      <c r="H101" s="434">
        <f t="shared" si="20"/>
        <v>1</v>
      </c>
      <c r="I101" s="806">
        <f t="shared" si="24"/>
        <v>4004479.4464024189</v>
      </c>
      <c r="J101" s="106"/>
      <c r="K101" s="414">
        <v>3783696.2154265521</v>
      </c>
      <c r="L101" s="435">
        <f t="shared" si="23"/>
        <v>1</v>
      </c>
      <c r="M101" s="435">
        <f t="shared" si="23"/>
        <v>1</v>
      </c>
      <c r="N101" s="387">
        <f t="shared" si="25"/>
        <v>3783696.2154265521</v>
      </c>
    </row>
    <row r="102" spans="1:18">
      <c r="A102" s="258">
        <f t="shared" si="21"/>
        <v>88</v>
      </c>
      <c r="B102" s="403">
        <v>39903</v>
      </c>
      <c r="C102" s="245" t="s">
        <v>1022</v>
      </c>
      <c r="D102" s="414">
        <v>94665.026761268644</v>
      </c>
      <c r="E102" s="806">
        <v>0</v>
      </c>
      <c r="F102" s="806">
        <f t="shared" si="22"/>
        <v>94665.026761268644</v>
      </c>
      <c r="G102" s="434">
        <f t="shared" si="20"/>
        <v>1</v>
      </c>
      <c r="H102" s="434">
        <f t="shared" si="20"/>
        <v>1</v>
      </c>
      <c r="I102" s="806">
        <f t="shared" si="24"/>
        <v>94665.026761268644</v>
      </c>
      <c r="J102" s="106"/>
      <c r="K102" s="414">
        <v>94636.820826380601</v>
      </c>
      <c r="L102" s="435">
        <f t="shared" si="23"/>
        <v>1</v>
      </c>
      <c r="M102" s="435">
        <f t="shared" si="23"/>
        <v>1</v>
      </c>
      <c r="N102" s="387">
        <f t="shared" si="25"/>
        <v>94636.820826380601</v>
      </c>
    </row>
    <row r="103" spans="1:18">
      <c r="A103" s="258">
        <f t="shared" si="21"/>
        <v>89</v>
      </c>
      <c r="B103" s="403">
        <v>39906</v>
      </c>
      <c r="C103" s="245" t="s">
        <v>465</v>
      </c>
      <c r="D103" s="414">
        <v>1363213.4808751661</v>
      </c>
      <c r="E103" s="806">
        <v>0</v>
      </c>
      <c r="F103" s="806">
        <f t="shared" si="22"/>
        <v>1363213.4808751661</v>
      </c>
      <c r="G103" s="434">
        <f t="shared" si="20"/>
        <v>1</v>
      </c>
      <c r="H103" s="434">
        <f t="shared" si="20"/>
        <v>1</v>
      </c>
      <c r="I103" s="806">
        <f t="shared" si="24"/>
        <v>1363213.4808751661</v>
      </c>
      <c r="J103" s="106"/>
      <c r="K103" s="414">
        <v>1152457.435096733</v>
      </c>
      <c r="L103" s="435">
        <f t="shared" si="23"/>
        <v>1</v>
      </c>
      <c r="M103" s="435">
        <f t="shared" si="23"/>
        <v>1</v>
      </c>
      <c r="N103" s="387">
        <f t="shared" si="25"/>
        <v>1152457.435096733</v>
      </c>
    </row>
    <row r="104" spans="1:18">
      <c r="A104" s="258">
        <f t="shared" si="21"/>
        <v>90</v>
      </c>
      <c r="B104" s="403">
        <v>39907</v>
      </c>
      <c r="C104" s="245" t="s">
        <v>520</v>
      </c>
      <c r="D104" s="414">
        <v>13751.77</v>
      </c>
      <c r="E104" s="806">
        <v>0</v>
      </c>
      <c r="F104" s="806">
        <f t="shared" si="22"/>
        <v>13751.77</v>
      </c>
      <c r="G104" s="434">
        <f t="shared" si="20"/>
        <v>1</v>
      </c>
      <c r="H104" s="434">
        <f t="shared" si="20"/>
        <v>1</v>
      </c>
      <c r="I104" s="806">
        <f t="shared" si="24"/>
        <v>13751.77</v>
      </c>
      <c r="J104" s="106"/>
      <c r="K104" s="414">
        <v>13751.769999999999</v>
      </c>
      <c r="L104" s="435">
        <f t="shared" si="23"/>
        <v>1</v>
      </c>
      <c r="M104" s="435">
        <f t="shared" si="23"/>
        <v>1</v>
      </c>
      <c r="N104" s="387">
        <f t="shared" si="25"/>
        <v>13751.769999999999</v>
      </c>
    </row>
    <row r="105" spans="1:18">
      <c r="A105" s="258">
        <f t="shared" si="21"/>
        <v>91</v>
      </c>
      <c r="B105" s="403">
        <v>39908</v>
      </c>
      <c r="C105" s="245" t="s">
        <v>184</v>
      </c>
      <c r="D105" s="414">
        <v>123514.83</v>
      </c>
      <c r="E105" s="806">
        <v>0</v>
      </c>
      <c r="F105" s="806">
        <f t="shared" si="22"/>
        <v>123514.83</v>
      </c>
      <c r="G105" s="434">
        <f t="shared" si="20"/>
        <v>1</v>
      </c>
      <c r="H105" s="434">
        <f t="shared" si="20"/>
        <v>1</v>
      </c>
      <c r="I105" s="806">
        <f t="shared" si="24"/>
        <v>123514.83</v>
      </c>
      <c r="J105" s="106"/>
      <c r="K105" s="414">
        <v>123514.83000000002</v>
      </c>
      <c r="L105" s="435">
        <f t="shared" si="23"/>
        <v>1</v>
      </c>
      <c r="M105" s="435">
        <f t="shared" si="23"/>
        <v>1</v>
      </c>
      <c r="N105" s="387">
        <f t="shared" si="25"/>
        <v>123514.83000000002</v>
      </c>
    </row>
    <row r="106" spans="1:18">
      <c r="A106" s="258">
        <f t="shared" si="21"/>
        <v>92</v>
      </c>
      <c r="B106" s="402"/>
      <c r="C106" s="245"/>
      <c r="D106" s="809"/>
      <c r="E106" s="809"/>
      <c r="F106" s="809"/>
      <c r="G106" s="1128"/>
      <c r="H106" s="1128"/>
      <c r="I106" s="809"/>
      <c r="J106" s="106"/>
      <c r="K106" s="961"/>
      <c r="N106" s="786"/>
    </row>
    <row r="107" spans="1:18">
      <c r="A107" s="258">
        <f t="shared" si="21"/>
        <v>93</v>
      </c>
      <c r="B107" s="402"/>
      <c r="C107" s="245" t="s">
        <v>4</v>
      </c>
      <c r="D107" s="459">
        <f>SUM(D86:D106)</f>
        <v>18708828.723579917</v>
      </c>
      <c r="E107" s="459">
        <f>SUM(E86:E106)</f>
        <v>0</v>
      </c>
      <c r="F107" s="459">
        <f>SUM(F86:F106)</f>
        <v>18708828.723579917</v>
      </c>
      <c r="G107" s="434"/>
      <c r="H107" s="434"/>
      <c r="I107" s="459">
        <f>SUM(I86:I106)</f>
        <v>18708828.723579917</v>
      </c>
      <c r="J107" s="106"/>
      <c r="K107" s="459">
        <f>SUM(K86:K106)</f>
        <v>17658437.345046826</v>
      </c>
      <c r="N107" s="404">
        <f>SUM(N86:N106)</f>
        <v>17658437.345046826</v>
      </c>
    </row>
    <row r="108" spans="1:18">
      <c r="A108" s="258">
        <f t="shared" si="21"/>
        <v>94</v>
      </c>
      <c r="B108" s="402"/>
      <c r="C108" s="245"/>
      <c r="D108" s="106"/>
      <c r="E108" s="106"/>
      <c r="F108" s="106"/>
      <c r="G108" s="1128"/>
      <c r="H108" s="1128"/>
      <c r="I108" s="106"/>
      <c r="J108" s="106"/>
      <c r="K108" s="459"/>
    </row>
    <row r="109" spans="1:18" ht="15.75" thickBot="1">
      <c r="A109" s="258">
        <f t="shared" si="21"/>
        <v>95</v>
      </c>
      <c r="B109" s="402"/>
      <c r="C109" s="245" t="s">
        <v>1364</v>
      </c>
      <c r="D109" s="1136">
        <f>D19+D26+D47+D59+D83+D107</f>
        <v>495447805.52999562</v>
      </c>
      <c r="E109" s="1136">
        <f>E19+E26+E47+E59+E83+E107</f>
        <v>0</v>
      </c>
      <c r="F109" s="1136">
        <f>F19+F26+F47+F59+F83+F107</f>
        <v>495447805.52999562</v>
      </c>
      <c r="G109" s="1128"/>
      <c r="H109" s="1128"/>
      <c r="I109" s="1136">
        <f>I19+I26+I47+I59+I83+I107</f>
        <v>495447805.52999562</v>
      </c>
      <c r="J109" s="106"/>
      <c r="K109" s="1136">
        <f>K19+K26+K47+K59+K83+K107</f>
        <v>468365717.519687</v>
      </c>
      <c r="N109" s="412">
        <f>N19+N26+N47+N59+N83+N107</f>
        <v>468365717.519687</v>
      </c>
      <c r="P109" s="1055"/>
      <c r="Q109" s="1055"/>
    </row>
    <row r="110" spans="1:18" ht="15.75" thickTop="1">
      <c r="A110" s="258">
        <f t="shared" si="21"/>
        <v>96</v>
      </c>
      <c r="B110" s="402"/>
      <c r="C110" s="245"/>
      <c r="D110" s="106"/>
      <c r="E110" s="106"/>
      <c r="F110" s="106"/>
      <c r="G110" s="1128"/>
      <c r="H110" s="1128"/>
      <c r="I110" s="106"/>
      <c r="J110" s="106"/>
      <c r="K110" s="459"/>
    </row>
    <row r="111" spans="1:18">
      <c r="A111" s="258">
        <f t="shared" si="21"/>
        <v>97</v>
      </c>
      <c r="B111" s="402"/>
      <c r="C111" s="266" t="s">
        <v>766</v>
      </c>
      <c r="D111" s="414">
        <v>14123020.170000006</v>
      </c>
      <c r="E111" s="414">
        <v>0</v>
      </c>
      <c r="F111" s="414">
        <f>D111+E111</f>
        <v>14123020.170000006</v>
      </c>
      <c r="G111" s="805">
        <f>$G$16</f>
        <v>1</v>
      </c>
      <c r="H111" s="805">
        <f>$G$16</f>
        <v>1</v>
      </c>
      <c r="I111" s="414">
        <f>F111*G111*H111</f>
        <v>14123020.170000006</v>
      </c>
      <c r="J111" s="106"/>
      <c r="K111" s="414">
        <v>13742968.581538467</v>
      </c>
      <c r="L111" s="435">
        <f>$G$16</f>
        <v>1</v>
      </c>
      <c r="M111" s="435">
        <f>$G$16</f>
        <v>1</v>
      </c>
      <c r="N111" s="411">
        <f>K111*L111*M111</f>
        <v>13742968.581538467</v>
      </c>
      <c r="R111" s="78"/>
    </row>
    <row r="112" spans="1:18">
      <c r="A112" s="258">
        <f t="shared" si="21"/>
        <v>98</v>
      </c>
      <c r="B112" s="402"/>
      <c r="D112" s="106"/>
      <c r="E112" s="106"/>
      <c r="F112" s="106"/>
      <c r="G112" s="1128"/>
      <c r="H112" s="1128"/>
      <c r="I112" s="106"/>
      <c r="J112" s="106"/>
      <c r="K112" s="459"/>
    </row>
    <row r="113" spans="1:18" ht="15.75">
      <c r="A113" s="258">
        <f t="shared" si="21"/>
        <v>99</v>
      </c>
      <c r="B113" s="416" t="s">
        <v>7</v>
      </c>
      <c r="D113" s="106"/>
      <c r="E113" s="106"/>
      <c r="F113" s="106"/>
      <c r="G113" s="1128"/>
      <c r="H113" s="1128"/>
      <c r="I113" s="106"/>
      <c r="J113" s="106"/>
      <c r="K113" s="459"/>
    </row>
    <row r="114" spans="1:18">
      <c r="A114" s="258">
        <f t="shared" si="21"/>
        <v>100</v>
      </c>
      <c r="B114" s="402"/>
      <c r="D114" s="106"/>
      <c r="E114" s="106"/>
      <c r="F114" s="106"/>
      <c r="G114" s="1128"/>
      <c r="H114" s="1128"/>
      <c r="I114" s="106"/>
      <c r="J114" s="106"/>
      <c r="K114" s="459"/>
    </row>
    <row r="115" spans="1:18">
      <c r="A115" s="258">
        <f t="shared" si="21"/>
        <v>101</v>
      </c>
      <c r="B115" s="402"/>
      <c r="C115" s="17" t="s">
        <v>305</v>
      </c>
      <c r="D115" s="106"/>
      <c r="E115" s="106"/>
      <c r="F115" s="106"/>
      <c r="G115" s="1128"/>
      <c r="H115" s="1128"/>
      <c r="I115" s="106"/>
      <c r="J115" s="106"/>
      <c r="K115" s="459"/>
    </row>
    <row r="116" spans="1:18">
      <c r="A116" s="258">
        <f t="shared" si="21"/>
        <v>102</v>
      </c>
      <c r="B116" s="413">
        <v>30100</v>
      </c>
      <c r="C116" s="245" t="s">
        <v>299</v>
      </c>
      <c r="D116" s="414">
        <v>185309.27</v>
      </c>
      <c r="E116" s="459">
        <v>0</v>
      </c>
      <c r="F116" s="459">
        <f>D116+E116</f>
        <v>185309.27</v>
      </c>
      <c r="G116" s="434">
        <f>$G$16</f>
        <v>1</v>
      </c>
      <c r="H116" s="418">
        <f>Allocation!$H$17</f>
        <v>0.49090457251500325</v>
      </c>
      <c r="I116" s="459">
        <f>F116*G116*H116</f>
        <v>90969.167972417315</v>
      </c>
      <c r="J116" s="106"/>
      <c r="K116" s="414">
        <v>185309.27</v>
      </c>
      <c r="L116" s="435">
        <f t="shared" ref="L116:M117" si="26">G116</f>
        <v>1</v>
      </c>
      <c r="M116" s="419">
        <f t="shared" si="26"/>
        <v>0.49090457251500325</v>
      </c>
      <c r="N116" s="387">
        <f t="shared" ref="N116:N117" si="27">K116*L116*M116</f>
        <v>90969.167972417315</v>
      </c>
      <c r="R116" s="78"/>
    </row>
    <row r="117" spans="1:18">
      <c r="A117" s="258">
        <f t="shared" si="21"/>
        <v>103</v>
      </c>
      <c r="B117" s="413">
        <v>30300</v>
      </c>
      <c r="C117" s="245" t="s">
        <v>558</v>
      </c>
      <c r="D117" s="414">
        <v>1109551.68</v>
      </c>
      <c r="E117" s="1134">
        <v>0</v>
      </c>
      <c r="F117" s="1134">
        <f>D117+E117</f>
        <v>1109551.68</v>
      </c>
      <c r="G117" s="434">
        <f>$G$16</f>
        <v>1</v>
      </c>
      <c r="H117" s="418">
        <f>$H$116</f>
        <v>0.49090457251500325</v>
      </c>
      <c r="I117" s="1135">
        <f>F117*G117*H117</f>
        <v>544683.99315370363</v>
      </c>
      <c r="J117" s="106"/>
      <c r="K117" s="414">
        <v>1109551.68</v>
      </c>
      <c r="L117" s="435">
        <f t="shared" si="26"/>
        <v>1</v>
      </c>
      <c r="M117" s="419">
        <f t="shared" si="26"/>
        <v>0.49090457251500325</v>
      </c>
      <c r="N117" s="387">
        <f t="shared" si="27"/>
        <v>544683.99315370363</v>
      </c>
      <c r="R117" s="78"/>
    </row>
    <row r="118" spans="1:18">
      <c r="A118" s="258">
        <f t="shared" si="21"/>
        <v>104</v>
      </c>
      <c r="B118" s="402"/>
      <c r="C118" s="245"/>
      <c r="D118" s="809"/>
      <c r="E118" s="809"/>
      <c r="F118" s="809"/>
      <c r="G118" s="1128"/>
      <c r="H118" s="1128"/>
      <c r="I118" s="809"/>
      <c r="J118" s="106"/>
      <c r="K118" s="961"/>
      <c r="N118" s="786"/>
    </row>
    <row r="119" spans="1:18">
      <c r="A119" s="258">
        <f t="shared" si="21"/>
        <v>105</v>
      </c>
      <c r="B119" s="402"/>
      <c r="C119" s="245" t="s">
        <v>306</v>
      </c>
      <c r="D119" s="459">
        <f>SUM(D116:D118)</f>
        <v>1294860.95</v>
      </c>
      <c r="E119" s="459">
        <f>SUM(E116:E118)</f>
        <v>0</v>
      </c>
      <c r="F119" s="459">
        <f>SUM(F116:F118)</f>
        <v>1294860.95</v>
      </c>
      <c r="G119" s="434"/>
      <c r="H119" s="434"/>
      <c r="I119" s="459">
        <f>SUM(I116:I118)</f>
        <v>635653.16112612095</v>
      </c>
      <c r="J119" s="106"/>
      <c r="K119" s="459">
        <f>SUM(K116:K118)</f>
        <v>1294860.95</v>
      </c>
      <c r="N119" s="404">
        <f>SUM(N116:N118)</f>
        <v>635653.16112612095</v>
      </c>
    </row>
    <row r="120" spans="1:18">
      <c r="A120" s="258">
        <f t="shared" si="21"/>
        <v>106</v>
      </c>
      <c r="B120" s="402"/>
      <c r="D120" s="106"/>
      <c r="E120" s="106"/>
      <c r="F120" s="106"/>
      <c r="G120" s="1128"/>
      <c r="H120" s="1128"/>
      <c r="I120" s="106"/>
      <c r="J120" s="106"/>
      <c r="K120" s="459"/>
    </row>
    <row r="121" spans="1:18">
      <c r="A121" s="258">
        <f t="shared" si="21"/>
        <v>107</v>
      </c>
      <c r="B121" s="402"/>
      <c r="C121" s="17" t="s">
        <v>307</v>
      </c>
      <c r="D121" s="106"/>
      <c r="E121" s="106"/>
      <c r="F121" s="106"/>
      <c r="G121" s="1128"/>
      <c r="H121" s="1128"/>
      <c r="I121" s="106"/>
      <c r="J121" s="106"/>
      <c r="K121" s="459"/>
    </row>
    <row r="122" spans="1:18">
      <c r="A122" s="258">
        <f t="shared" si="21"/>
        <v>108</v>
      </c>
      <c r="B122" s="413">
        <v>37400</v>
      </c>
      <c r="C122" s="245" t="s">
        <v>1168</v>
      </c>
      <c r="D122" s="459">
        <v>0</v>
      </c>
      <c r="E122" s="459">
        <v>0</v>
      </c>
      <c r="F122" s="459">
        <f>D122+E122</f>
        <v>0</v>
      </c>
      <c r="G122" s="434">
        <f>$G$16</f>
        <v>1</v>
      </c>
      <c r="H122" s="418">
        <f>$H$116</f>
        <v>0.49090457251500325</v>
      </c>
      <c r="I122" s="459">
        <f>F122*G122*H122</f>
        <v>0</v>
      </c>
      <c r="J122" s="106"/>
      <c r="K122" s="459">
        <v>0</v>
      </c>
      <c r="L122" s="435">
        <f>G122</f>
        <v>1</v>
      </c>
      <c r="M122" s="418">
        <f>H122</f>
        <v>0.49090457251500325</v>
      </c>
      <c r="N122" s="404">
        <f>K122*L122*M122</f>
        <v>0</v>
      </c>
    </row>
    <row r="123" spans="1:18">
      <c r="A123" s="258">
        <f t="shared" si="21"/>
        <v>109</v>
      </c>
      <c r="B123" s="413">
        <v>35010</v>
      </c>
      <c r="C123" s="245" t="s">
        <v>300</v>
      </c>
      <c r="D123" s="806">
        <v>0</v>
      </c>
      <c r="E123" s="806">
        <v>0</v>
      </c>
      <c r="F123" s="806">
        <f>D123+E123</f>
        <v>0</v>
      </c>
      <c r="G123" s="434">
        <f>$G$16</f>
        <v>1</v>
      </c>
      <c r="H123" s="418">
        <f>$H$116</f>
        <v>0.49090457251500325</v>
      </c>
      <c r="I123" s="806">
        <f>F123*G123*H123</f>
        <v>0</v>
      </c>
      <c r="J123" s="106"/>
      <c r="K123" s="806">
        <v>0</v>
      </c>
      <c r="L123" s="435">
        <f t="shared" ref="L123:L142" si="28">G123</f>
        <v>1</v>
      </c>
      <c r="M123" s="418">
        <f t="shared" ref="M123:M142" si="29">H123</f>
        <v>0.49090457251500325</v>
      </c>
      <c r="N123" s="387">
        <f t="shared" ref="N123:N142" si="30">K123*L123*M123</f>
        <v>0</v>
      </c>
    </row>
    <row r="124" spans="1:18">
      <c r="A124" s="258">
        <f t="shared" si="21"/>
        <v>110</v>
      </c>
      <c r="B124" s="413">
        <v>37402</v>
      </c>
      <c r="C124" s="245" t="s">
        <v>1018</v>
      </c>
      <c r="D124" s="806">
        <v>0</v>
      </c>
      <c r="E124" s="806">
        <v>0</v>
      </c>
      <c r="F124" s="806">
        <f t="shared" ref="F124:F142" si="31">D124+E124</f>
        <v>0</v>
      </c>
      <c r="G124" s="434">
        <f t="shared" ref="G124:G142" si="32">$G$16</f>
        <v>1</v>
      </c>
      <c r="H124" s="418">
        <f t="shared" ref="H124:H142" si="33">$H$116</f>
        <v>0.49090457251500325</v>
      </c>
      <c r="I124" s="806">
        <f t="shared" ref="I124:I142" si="34">F124*G124*H124</f>
        <v>0</v>
      </c>
      <c r="J124" s="106"/>
      <c r="K124" s="806">
        <v>0</v>
      </c>
      <c r="L124" s="435">
        <f t="shared" si="28"/>
        <v>1</v>
      </c>
      <c r="M124" s="418">
        <f t="shared" si="29"/>
        <v>0.49090457251500325</v>
      </c>
      <c r="N124" s="387">
        <f t="shared" si="30"/>
        <v>0</v>
      </c>
    </row>
    <row r="125" spans="1:18">
      <c r="A125" s="258">
        <f t="shared" si="21"/>
        <v>111</v>
      </c>
      <c r="B125" s="413">
        <v>37403</v>
      </c>
      <c r="C125" s="245" t="s">
        <v>1015</v>
      </c>
      <c r="D125" s="806">
        <v>0</v>
      </c>
      <c r="E125" s="806">
        <v>0</v>
      </c>
      <c r="F125" s="806">
        <f t="shared" si="31"/>
        <v>0</v>
      </c>
      <c r="G125" s="434">
        <f t="shared" si="32"/>
        <v>1</v>
      </c>
      <c r="H125" s="418">
        <f t="shared" si="33"/>
        <v>0.49090457251500325</v>
      </c>
      <c r="I125" s="806">
        <f t="shared" si="34"/>
        <v>0</v>
      </c>
      <c r="J125" s="106"/>
      <c r="K125" s="806">
        <v>0</v>
      </c>
      <c r="L125" s="435">
        <f t="shared" si="28"/>
        <v>1</v>
      </c>
      <c r="M125" s="418">
        <f t="shared" si="29"/>
        <v>0.49090457251500325</v>
      </c>
      <c r="N125" s="387">
        <f t="shared" si="30"/>
        <v>0</v>
      </c>
    </row>
    <row r="126" spans="1:18">
      <c r="A126" s="258">
        <f t="shared" si="21"/>
        <v>112</v>
      </c>
      <c r="B126" s="413">
        <v>36602</v>
      </c>
      <c r="C126" s="245" t="s">
        <v>874</v>
      </c>
      <c r="D126" s="806">
        <v>0</v>
      </c>
      <c r="E126" s="806">
        <v>0</v>
      </c>
      <c r="F126" s="806">
        <f t="shared" si="31"/>
        <v>0</v>
      </c>
      <c r="G126" s="434">
        <f t="shared" si="32"/>
        <v>1</v>
      </c>
      <c r="H126" s="418">
        <f t="shared" si="33"/>
        <v>0.49090457251500325</v>
      </c>
      <c r="I126" s="806">
        <f t="shared" si="34"/>
        <v>0</v>
      </c>
      <c r="J126" s="106"/>
      <c r="K126" s="806">
        <v>0</v>
      </c>
      <c r="L126" s="435">
        <f t="shared" si="28"/>
        <v>1</v>
      </c>
      <c r="M126" s="418">
        <f t="shared" si="29"/>
        <v>0.49090457251500325</v>
      </c>
      <c r="N126" s="387">
        <f t="shared" si="30"/>
        <v>0</v>
      </c>
    </row>
    <row r="127" spans="1:18">
      <c r="A127" s="258">
        <f t="shared" si="21"/>
        <v>113</v>
      </c>
      <c r="B127" s="413">
        <v>37402</v>
      </c>
      <c r="C127" s="245" t="s">
        <v>1018</v>
      </c>
      <c r="D127" s="806">
        <v>0</v>
      </c>
      <c r="E127" s="806">
        <v>0</v>
      </c>
      <c r="F127" s="806">
        <f>D127+E127</f>
        <v>0</v>
      </c>
      <c r="G127" s="434">
        <f t="shared" si="32"/>
        <v>1</v>
      </c>
      <c r="H127" s="418">
        <f t="shared" si="33"/>
        <v>0.49090457251500325</v>
      </c>
      <c r="I127" s="806">
        <f>F127*G127*H127</f>
        <v>0</v>
      </c>
      <c r="J127" s="106"/>
      <c r="K127" s="806">
        <v>0</v>
      </c>
      <c r="L127" s="435">
        <f>G127</f>
        <v>1</v>
      </c>
      <c r="M127" s="418">
        <f>H127</f>
        <v>0.49090457251500325</v>
      </c>
      <c r="N127" s="387">
        <f>K127*L127*M127</f>
        <v>0</v>
      </c>
    </row>
    <row r="128" spans="1:18">
      <c r="A128" s="258">
        <f t="shared" si="21"/>
        <v>114</v>
      </c>
      <c r="B128" s="413">
        <v>37501</v>
      </c>
      <c r="C128" s="245" t="s">
        <v>1016</v>
      </c>
      <c r="D128" s="806">
        <v>0</v>
      </c>
      <c r="E128" s="806">
        <v>0</v>
      </c>
      <c r="F128" s="806">
        <f t="shared" si="31"/>
        <v>0</v>
      </c>
      <c r="G128" s="434">
        <f t="shared" si="32"/>
        <v>1</v>
      </c>
      <c r="H128" s="418">
        <f t="shared" si="33"/>
        <v>0.49090457251500325</v>
      </c>
      <c r="I128" s="806">
        <f t="shared" si="34"/>
        <v>0</v>
      </c>
      <c r="J128" s="106"/>
      <c r="K128" s="806">
        <v>0</v>
      </c>
      <c r="L128" s="435">
        <f t="shared" si="28"/>
        <v>1</v>
      </c>
      <c r="M128" s="418">
        <f t="shared" si="29"/>
        <v>0.49090457251500325</v>
      </c>
      <c r="N128" s="387">
        <f t="shared" si="30"/>
        <v>0</v>
      </c>
    </row>
    <row r="129" spans="1:14">
      <c r="A129" s="258">
        <f t="shared" si="21"/>
        <v>115</v>
      </c>
      <c r="B129" s="413">
        <v>37503</v>
      </c>
      <c r="C129" s="245" t="s">
        <v>1017</v>
      </c>
      <c r="D129" s="806">
        <v>0</v>
      </c>
      <c r="E129" s="806">
        <v>0</v>
      </c>
      <c r="F129" s="806">
        <f t="shared" si="31"/>
        <v>0</v>
      </c>
      <c r="G129" s="434">
        <f t="shared" si="32"/>
        <v>1</v>
      </c>
      <c r="H129" s="418">
        <f t="shared" si="33"/>
        <v>0.49090457251500325</v>
      </c>
      <c r="I129" s="806">
        <f t="shared" si="34"/>
        <v>0</v>
      </c>
      <c r="J129" s="106"/>
      <c r="K129" s="806">
        <v>0</v>
      </c>
      <c r="L129" s="435">
        <f t="shared" si="28"/>
        <v>1</v>
      </c>
      <c r="M129" s="418">
        <f t="shared" si="29"/>
        <v>0.49090457251500325</v>
      </c>
      <c r="N129" s="387">
        <f t="shared" si="30"/>
        <v>0</v>
      </c>
    </row>
    <row r="130" spans="1:14">
      <c r="A130" s="258">
        <f t="shared" si="21"/>
        <v>116</v>
      </c>
      <c r="B130" s="413">
        <v>36700</v>
      </c>
      <c r="C130" s="245" t="s">
        <v>861</v>
      </c>
      <c r="D130" s="806">
        <v>0</v>
      </c>
      <c r="E130" s="806">
        <v>0</v>
      </c>
      <c r="F130" s="806">
        <f t="shared" si="31"/>
        <v>0</v>
      </c>
      <c r="G130" s="434">
        <f t="shared" si="32"/>
        <v>1</v>
      </c>
      <c r="H130" s="418">
        <f t="shared" si="33"/>
        <v>0.49090457251500325</v>
      </c>
      <c r="I130" s="806">
        <f t="shared" si="34"/>
        <v>0</v>
      </c>
      <c r="J130" s="106"/>
      <c r="K130" s="806">
        <v>0</v>
      </c>
      <c r="L130" s="435">
        <f t="shared" si="28"/>
        <v>1</v>
      </c>
      <c r="M130" s="418">
        <f t="shared" si="29"/>
        <v>0.49090457251500325</v>
      </c>
      <c r="N130" s="387">
        <f t="shared" si="30"/>
        <v>0</v>
      </c>
    </row>
    <row r="131" spans="1:14">
      <c r="A131" s="258">
        <f t="shared" si="21"/>
        <v>117</v>
      </c>
      <c r="B131" s="413">
        <v>36701</v>
      </c>
      <c r="C131" s="245" t="s">
        <v>16</v>
      </c>
      <c r="D131" s="806">
        <v>0</v>
      </c>
      <c r="E131" s="806">
        <v>0</v>
      </c>
      <c r="F131" s="806">
        <f t="shared" si="31"/>
        <v>0</v>
      </c>
      <c r="G131" s="434">
        <f t="shared" si="32"/>
        <v>1</v>
      </c>
      <c r="H131" s="418">
        <f t="shared" si="33"/>
        <v>0.49090457251500325</v>
      </c>
      <c r="I131" s="806">
        <f t="shared" si="34"/>
        <v>0</v>
      </c>
      <c r="J131" s="106"/>
      <c r="K131" s="806">
        <v>0</v>
      </c>
      <c r="L131" s="435">
        <f t="shared" si="28"/>
        <v>1</v>
      </c>
      <c r="M131" s="418">
        <f t="shared" si="29"/>
        <v>0.49090457251500325</v>
      </c>
      <c r="N131" s="387">
        <f t="shared" si="30"/>
        <v>0</v>
      </c>
    </row>
    <row r="132" spans="1:14">
      <c r="A132" s="258">
        <f t="shared" si="21"/>
        <v>118</v>
      </c>
      <c r="B132" s="413">
        <v>37602</v>
      </c>
      <c r="C132" s="245" t="s">
        <v>862</v>
      </c>
      <c r="D132" s="806">
        <v>0</v>
      </c>
      <c r="E132" s="806">
        <v>0</v>
      </c>
      <c r="F132" s="806">
        <f t="shared" si="31"/>
        <v>0</v>
      </c>
      <c r="G132" s="434">
        <f t="shared" si="32"/>
        <v>1</v>
      </c>
      <c r="H132" s="418">
        <f t="shared" si="33"/>
        <v>0.49090457251500325</v>
      </c>
      <c r="I132" s="806">
        <f t="shared" si="34"/>
        <v>0</v>
      </c>
      <c r="J132" s="106"/>
      <c r="K132" s="806">
        <v>0</v>
      </c>
      <c r="L132" s="435">
        <f t="shared" si="28"/>
        <v>1</v>
      </c>
      <c r="M132" s="418">
        <f t="shared" si="29"/>
        <v>0.49090457251500325</v>
      </c>
      <c r="N132" s="387">
        <f t="shared" si="30"/>
        <v>0</v>
      </c>
    </row>
    <row r="133" spans="1:14">
      <c r="A133" s="258">
        <f t="shared" si="21"/>
        <v>119</v>
      </c>
      <c r="B133" s="413">
        <v>37800</v>
      </c>
      <c r="C133" s="245" t="s">
        <v>234</v>
      </c>
      <c r="D133" s="806">
        <v>0</v>
      </c>
      <c r="E133" s="806">
        <v>0</v>
      </c>
      <c r="F133" s="806">
        <f t="shared" si="31"/>
        <v>0</v>
      </c>
      <c r="G133" s="434">
        <f t="shared" si="32"/>
        <v>1</v>
      </c>
      <c r="H133" s="418">
        <f t="shared" si="33"/>
        <v>0.49090457251500325</v>
      </c>
      <c r="I133" s="806">
        <f t="shared" si="34"/>
        <v>0</v>
      </c>
      <c r="J133" s="106"/>
      <c r="K133" s="806">
        <v>0</v>
      </c>
      <c r="L133" s="435">
        <f t="shared" si="28"/>
        <v>1</v>
      </c>
      <c r="M133" s="418">
        <f t="shared" si="29"/>
        <v>0.49090457251500325</v>
      </c>
      <c r="N133" s="387">
        <f t="shared" si="30"/>
        <v>0</v>
      </c>
    </row>
    <row r="134" spans="1:14">
      <c r="A134" s="258">
        <f t="shared" si="21"/>
        <v>120</v>
      </c>
      <c r="B134" s="413">
        <v>37900</v>
      </c>
      <c r="C134" s="245" t="s">
        <v>1211</v>
      </c>
      <c r="D134" s="806">
        <v>0</v>
      </c>
      <c r="E134" s="806">
        <v>0</v>
      </c>
      <c r="F134" s="806">
        <f t="shared" si="31"/>
        <v>0</v>
      </c>
      <c r="G134" s="434">
        <f t="shared" si="32"/>
        <v>1</v>
      </c>
      <c r="H134" s="418">
        <f t="shared" si="33"/>
        <v>0.49090457251500325</v>
      </c>
      <c r="I134" s="806">
        <f t="shared" si="34"/>
        <v>0</v>
      </c>
      <c r="J134" s="106"/>
      <c r="K134" s="806">
        <v>0</v>
      </c>
      <c r="L134" s="435">
        <f t="shared" si="28"/>
        <v>1</v>
      </c>
      <c r="M134" s="418">
        <f t="shared" si="29"/>
        <v>0.49090457251500325</v>
      </c>
      <c r="N134" s="387">
        <f t="shared" si="30"/>
        <v>0</v>
      </c>
    </row>
    <row r="135" spans="1:14">
      <c r="A135" s="258">
        <f t="shared" si="21"/>
        <v>121</v>
      </c>
      <c r="B135" s="413">
        <v>37905</v>
      </c>
      <c r="C135" s="245" t="s">
        <v>742</v>
      </c>
      <c r="D135" s="806">
        <v>0</v>
      </c>
      <c r="E135" s="806">
        <v>0</v>
      </c>
      <c r="F135" s="806">
        <f t="shared" si="31"/>
        <v>0</v>
      </c>
      <c r="G135" s="434">
        <f t="shared" si="32"/>
        <v>1</v>
      </c>
      <c r="H135" s="418">
        <f t="shared" si="33"/>
        <v>0.49090457251500325</v>
      </c>
      <c r="I135" s="806">
        <f t="shared" si="34"/>
        <v>0</v>
      </c>
      <c r="J135" s="106"/>
      <c r="K135" s="806">
        <v>0</v>
      </c>
      <c r="L135" s="435">
        <f t="shared" si="28"/>
        <v>1</v>
      </c>
      <c r="M135" s="418">
        <f t="shared" si="29"/>
        <v>0.49090457251500325</v>
      </c>
      <c r="N135" s="387">
        <f t="shared" si="30"/>
        <v>0</v>
      </c>
    </row>
    <row r="136" spans="1:14">
      <c r="A136" s="258">
        <f t="shared" si="21"/>
        <v>122</v>
      </c>
      <c r="B136" s="413">
        <v>38000</v>
      </c>
      <c r="C136" s="245" t="s">
        <v>1072</v>
      </c>
      <c r="D136" s="806">
        <v>0</v>
      </c>
      <c r="E136" s="806">
        <v>0</v>
      </c>
      <c r="F136" s="806">
        <f t="shared" si="31"/>
        <v>0</v>
      </c>
      <c r="G136" s="434">
        <f t="shared" si="32"/>
        <v>1</v>
      </c>
      <c r="H136" s="418">
        <f t="shared" si="33"/>
        <v>0.49090457251500325</v>
      </c>
      <c r="I136" s="806">
        <f t="shared" si="34"/>
        <v>0</v>
      </c>
      <c r="J136" s="106"/>
      <c r="K136" s="806">
        <v>0</v>
      </c>
      <c r="L136" s="435">
        <f t="shared" si="28"/>
        <v>1</v>
      </c>
      <c r="M136" s="418">
        <f t="shared" si="29"/>
        <v>0.49090457251500325</v>
      </c>
      <c r="N136" s="387">
        <f t="shared" si="30"/>
        <v>0</v>
      </c>
    </row>
    <row r="137" spans="1:14">
      <c r="A137" s="258">
        <f t="shared" si="21"/>
        <v>123</v>
      </c>
      <c r="B137" s="413">
        <v>38100</v>
      </c>
      <c r="C137" s="245" t="s">
        <v>863</v>
      </c>
      <c r="D137" s="806">
        <v>0</v>
      </c>
      <c r="E137" s="806">
        <v>0</v>
      </c>
      <c r="F137" s="806">
        <f t="shared" si="31"/>
        <v>0</v>
      </c>
      <c r="G137" s="434">
        <f t="shared" si="32"/>
        <v>1</v>
      </c>
      <c r="H137" s="418">
        <f t="shared" si="33"/>
        <v>0.49090457251500325</v>
      </c>
      <c r="I137" s="806">
        <f t="shared" si="34"/>
        <v>0</v>
      </c>
      <c r="J137" s="106"/>
      <c r="K137" s="806">
        <v>0</v>
      </c>
      <c r="L137" s="435">
        <f t="shared" si="28"/>
        <v>1</v>
      </c>
      <c r="M137" s="418">
        <f t="shared" si="29"/>
        <v>0.49090457251500325</v>
      </c>
      <c r="N137" s="387">
        <f t="shared" si="30"/>
        <v>0</v>
      </c>
    </row>
    <row r="138" spans="1:14">
      <c r="A138" s="258">
        <f t="shared" si="21"/>
        <v>124</v>
      </c>
      <c r="B138" s="413">
        <v>38200</v>
      </c>
      <c r="C138" s="245" t="s">
        <v>456</v>
      </c>
      <c r="D138" s="806">
        <v>0</v>
      </c>
      <c r="E138" s="806">
        <v>0</v>
      </c>
      <c r="F138" s="806">
        <f t="shared" si="31"/>
        <v>0</v>
      </c>
      <c r="G138" s="434">
        <f t="shared" si="32"/>
        <v>1</v>
      </c>
      <c r="H138" s="418">
        <f t="shared" si="33"/>
        <v>0.49090457251500325</v>
      </c>
      <c r="I138" s="806">
        <f t="shared" si="34"/>
        <v>0</v>
      </c>
      <c r="J138" s="106"/>
      <c r="K138" s="806">
        <v>0</v>
      </c>
      <c r="L138" s="435">
        <f t="shared" si="28"/>
        <v>1</v>
      </c>
      <c r="M138" s="418">
        <f t="shared" si="29"/>
        <v>0.49090457251500325</v>
      </c>
      <c r="N138" s="387">
        <f t="shared" si="30"/>
        <v>0</v>
      </c>
    </row>
    <row r="139" spans="1:14">
      <c r="A139" s="258">
        <f t="shared" si="21"/>
        <v>125</v>
      </c>
      <c r="B139" s="413">
        <v>38300</v>
      </c>
      <c r="C139" s="245" t="s">
        <v>1073</v>
      </c>
      <c r="D139" s="806">
        <v>0</v>
      </c>
      <c r="E139" s="806">
        <v>0</v>
      </c>
      <c r="F139" s="806">
        <f t="shared" si="31"/>
        <v>0</v>
      </c>
      <c r="G139" s="434">
        <f t="shared" si="32"/>
        <v>1</v>
      </c>
      <c r="H139" s="418">
        <f t="shared" si="33"/>
        <v>0.49090457251500325</v>
      </c>
      <c r="I139" s="806">
        <f t="shared" si="34"/>
        <v>0</v>
      </c>
      <c r="J139" s="106"/>
      <c r="K139" s="806">
        <v>0</v>
      </c>
      <c r="L139" s="435">
        <f t="shared" si="28"/>
        <v>1</v>
      </c>
      <c r="M139" s="418">
        <f t="shared" si="29"/>
        <v>0.49090457251500325</v>
      </c>
      <c r="N139" s="387">
        <f t="shared" si="30"/>
        <v>0</v>
      </c>
    </row>
    <row r="140" spans="1:14">
      <c r="A140" s="258">
        <f t="shared" si="21"/>
        <v>126</v>
      </c>
      <c r="B140" s="413">
        <v>38400</v>
      </c>
      <c r="C140" s="245" t="s">
        <v>457</v>
      </c>
      <c r="D140" s="806">
        <v>0</v>
      </c>
      <c r="E140" s="806">
        <v>0</v>
      </c>
      <c r="F140" s="806">
        <f t="shared" si="31"/>
        <v>0</v>
      </c>
      <c r="G140" s="434">
        <f t="shared" si="32"/>
        <v>1</v>
      </c>
      <c r="H140" s="418">
        <f t="shared" si="33"/>
        <v>0.49090457251500325</v>
      </c>
      <c r="I140" s="806">
        <f t="shared" si="34"/>
        <v>0</v>
      </c>
      <c r="J140" s="106"/>
      <c r="K140" s="806">
        <v>0</v>
      </c>
      <c r="L140" s="435">
        <f t="shared" si="28"/>
        <v>1</v>
      </c>
      <c r="M140" s="418">
        <f t="shared" si="29"/>
        <v>0.49090457251500325</v>
      </c>
      <c r="N140" s="387">
        <f t="shared" si="30"/>
        <v>0</v>
      </c>
    </row>
    <row r="141" spans="1:14">
      <c r="A141" s="258">
        <f t="shared" si="21"/>
        <v>127</v>
      </c>
      <c r="B141" s="413">
        <v>38500</v>
      </c>
      <c r="C141" s="245" t="s">
        <v>458</v>
      </c>
      <c r="D141" s="806">
        <v>0</v>
      </c>
      <c r="E141" s="806">
        <v>0</v>
      </c>
      <c r="F141" s="806">
        <f t="shared" si="31"/>
        <v>0</v>
      </c>
      <c r="G141" s="434">
        <f t="shared" si="32"/>
        <v>1</v>
      </c>
      <c r="H141" s="418">
        <f t="shared" si="33"/>
        <v>0.49090457251500325</v>
      </c>
      <c r="I141" s="806">
        <f t="shared" si="34"/>
        <v>0</v>
      </c>
      <c r="J141" s="106"/>
      <c r="K141" s="806">
        <v>0</v>
      </c>
      <c r="L141" s="435">
        <f t="shared" si="28"/>
        <v>1</v>
      </c>
      <c r="M141" s="418">
        <f t="shared" si="29"/>
        <v>0.49090457251500325</v>
      </c>
      <c r="N141" s="387">
        <f t="shared" si="30"/>
        <v>0</v>
      </c>
    </row>
    <row r="142" spans="1:14">
      <c r="A142" s="258">
        <f t="shared" si="21"/>
        <v>128</v>
      </c>
      <c r="B142" s="413">
        <v>38600</v>
      </c>
      <c r="C142" s="245" t="s">
        <v>111</v>
      </c>
      <c r="D142" s="1135">
        <v>0</v>
      </c>
      <c r="E142" s="1135">
        <v>0</v>
      </c>
      <c r="F142" s="1135">
        <f t="shared" si="31"/>
        <v>0</v>
      </c>
      <c r="G142" s="434">
        <f t="shared" si="32"/>
        <v>1</v>
      </c>
      <c r="H142" s="418">
        <f t="shared" si="33"/>
        <v>0.49090457251500325</v>
      </c>
      <c r="I142" s="1135">
        <f t="shared" si="34"/>
        <v>0</v>
      </c>
      <c r="J142" s="106"/>
      <c r="K142" s="1135">
        <v>0</v>
      </c>
      <c r="L142" s="435">
        <f t="shared" si="28"/>
        <v>1</v>
      </c>
      <c r="M142" s="418">
        <f t="shared" si="29"/>
        <v>0.49090457251500325</v>
      </c>
      <c r="N142" s="390">
        <f t="shared" si="30"/>
        <v>0</v>
      </c>
    </row>
    <row r="143" spans="1:14">
      <c r="A143" s="258">
        <f t="shared" si="21"/>
        <v>129</v>
      </c>
      <c r="B143" s="402"/>
      <c r="C143" s="245"/>
      <c r="D143" s="106"/>
      <c r="E143" s="106"/>
      <c r="F143" s="106"/>
      <c r="G143" s="1128"/>
      <c r="H143" s="1128"/>
      <c r="I143" s="106"/>
      <c r="J143" s="106"/>
      <c r="K143" s="106"/>
      <c r="M143" s="418"/>
    </row>
    <row r="144" spans="1:14">
      <c r="A144" s="258">
        <f t="shared" si="21"/>
        <v>130</v>
      </c>
      <c r="B144" s="402"/>
      <c r="C144" s="245" t="s">
        <v>308</v>
      </c>
      <c r="D144" s="459">
        <f>SUM(D122:D143)</f>
        <v>0</v>
      </c>
      <c r="E144" s="459">
        <f>SUM(E122:E143)</f>
        <v>0</v>
      </c>
      <c r="F144" s="459">
        <f>SUM(F122:F143)</f>
        <v>0</v>
      </c>
      <c r="G144" s="1128"/>
      <c r="H144" s="1128"/>
      <c r="I144" s="459">
        <f>SUM(I122:I143)</f>
        <v>0</v>
      </c>
      <c r="J144" s="106"/>
      <c r="K144" s="459">
        <f>SUM(K122:K143)</f>
        <v>0</v>
      </c>
      <c r="M144" s="418"/>
      <c r="N144" s="404">
        <f>SUM(N122:N143)</f>
        <v>0</v>
      </c>
    </row>
    <row r="145" spans="1:18">
      <c r="A145" s="258">
        <f t="shared" ref="A145:A209" si="35">A144+1</f>
        <v>131</v>
      </c>
      <c r="B145" s="402"/>
      <c r="C145" s="245"/>
      <c r="D145" s="106"/>
      <c r="E145" s="106"/>
      <c r="F145" s="106"/>
      <c r="G145" s="1128"/>
      <c r="H145" s="1128"/>
      <c r="I145" s="106"/>
      <c r="J145" s="106"/>
      <c r="K145" s="106"/>
      <c r="M145" s="418"/>
    </row>
    <row r="146" spans="1:18">
      <c r="A146" s="258">
        <f t="shared" si="35"/>
        <v>132</v>
      </c>
      <c r="B146" s="402"/>
      <c r="C146" s="17" t="s">
        <v>309</v>
      </c>
      <c r="D146" s="106"/>
      <c r="E146" s="106"/>
      <c r="F146" s="106"/>
      <c r="G146" s="1128"/>
      <c r="H146" s="1128"/>
      <c r="I146" s="106"/>
      <c r="J146" s="106"/>
      <c r="K146" s="106"/>
      <c r="M146" s="418"/>
    </row>
    <row r="147" spans="1:18">
      <c r="A147" s="258">
        <f t="shared" si="35"/>
        <v>133</v>
      </c>
      <c r="B147" s="413">
        <v>39001</v>
      </c>
      <c r="C147" s="245" t="s">
        <v>556</v>
      </c>
      <c r="D147" s="414">
        <v>179338.52</v>
      </c>
      <c r="E147" s="806">
        <v>0</v>
      </c>
      <c r="F147" s="806">
        <f>D147+E147</f>
        <v>179338.52</v>
      </c>
      <c r="G147" s="434">
        <f>$G$16</f>
        <v>1</v>
      </c>
      <c r="H147" s="418">
        <f>$H$116</f>
        <v>0.49090457251500325</v>
      </c>
      <c r="I147" s="806">
        <f>F147*G147*H147</f>
        <v>88038.099496073351</v>
      </c>
      <c r="J147" s="106"/>
      <c r="K147" s="414">
        <v>179338.52</v>
      </c>
      <c r="L147" s="435">
        <f t="shared" ref="L147:L162" si="36">G147</f>
        <v>1</v>
      </c>
      <c r="M147" s="418">
        <f t="shared" ref="M147:M162" si="37">H147</f>
        <v>0.49090457251500325</v>
      </c>
      <c r="N147" s="387">
        <f t="shared" ref="N147:N162" si="38">K147*L147*M147</f>
        <v>88038.099496073351</v>
      </c>
      <c r="R147" s="78"/>
    </row>
    <row r="148" spans="1:18">
      <c r="A148" s="258">
        <f t="shared" si="35"/>
        <v>134</v>
      </c>
      <c r="B148" s="413">
        <v>39004</v>
      </c>
      <c r="C148" s="245" t="s">
        <v>459</v>
      </c>
      <c r="D148" s="414">
        <v>5771</v>
      </c>
      <c r="E148" s="806">
        <v>0</v>
      </c>
      <c r="F148" s="806">
        <f t="shared" ref="F148:F162" si="39">D148+E148</f>
        <v>5771</v>
      </c>
      <c r="G148" s="434">
        <f t="shared" ref="G148:G162" si="40">$G$16</f>
        <v>1</v>
      </c>
      <c r="H148" s="418">
        <f t="shared" ref="H148:H162" si="41">$H$116</f>
        <v>0.49090457251500325</v>
      </c>
      <c r="I148" s="806">
        <f t="shared" ref="I148:I162" si="42">F148*G148*H148</f>
        <v>2833.0102879840838</v>
      </c>
      <c r="J148" s="106"/>
      <c r="K148" s="414">
        <v>5771</v>
      </c>
      <c r="L148" s="435">
        <f t="shared" si="36"/>
        <v>1</v>
      </c>
      <c r="M148" s="418">
        <f t="shared" si="37"/>
        <v>0.49090457251500325</v>
      </c>
      <c r="N148" s="387">
        <f t="shared" si="38"/>
        <v>2833.0102879840838</v>
      </c>
      <c r="R148" s="78"/>
    </row>
    <row r="149" spans="1:18">
      <c r="A149" s="258">
        <f t="shared" si="35"/>
        <v>135</v>
      </c>
      <c r="B149" s="413">
        <v>39009</v>
      </c>
      <c r="C149" s="245" t="s">
        <v>1056</v>
      </c>
      <c r="D149" s="414">
        <v>38834</v>
      </c>
      <c r="E149" s="806">
        <v>0</v>
      </c>
      <c r="F149" s="806">
        <f t="shared" si="39"/>
        <v>38834</v>
      </c>
      <c r="G149" s="434">
        <f t="shared" si="40"/>
        <v>1</v>
      </c>
      <c r="H149" s="418">
        <f t="shared" si="41"/>
        <v>0.49090457251500325</v>
      </c>
      <c r="I149" s="806">
        <f t="shared" si="42"/>
        <v>19063.788169047635</v>
      </c>
      <c r="J149" s="106"/>
      <c r="K149" s="414">
        <v>38834</v>
      </c>
      <c r="L149" s="435">
        <f t="shared" si="36"/>
        <v>1</v>
      </c>
      <c r="M149" s="418">
        <f t="shared" si="37"/>
        <v>0.49090457251500325</v>
      </c>
      <c r="N149" s="387">
        <f t="shared" si="38"/>
        <v>19063.788169047635</v>
      </c>
      <c r="R149" s="78"/>
    </row>
    <row r="150" spans="1:18">
      <c r="A150" s="258">
        <f t="shared" si="35"/>
        <v>136</v>
      </c>
      <c r="B150" s="413">
        <v>39100</v>
      </c>
      <c r="C150" s="245" t="s">
        <v>796</v>
      </c>
      <c r="D150" s="414">
        <v>42652.820000000007</v>
      </c>
      <c r="E150" s="806">
        <v>0</v>
      </c>
      <c r="F150" s="806">
        <f t="shared" si="39"/>
        <v>42652.820000000007</v>
      </c>
      <c r="G150" s="434">
        <f t="shared" si="40"/>
        <v>1</v>
      </c>
      <c r="H150" s="418">
        <f t="shared" si="41"/>
        <v>0.49090457251500325</v>
      </c>
      <c r="I150" s="806">
        <f t="shared" si="42"/>
        <v>20938.464368659384</v>
      </c>
      <c r="J150" s="106"/>
      <c r="K150" s="414">
        <v>41632.498461538467</v>
      </c>
      <c r="L150" s="435">
        <f t="shared" si="36"/>
        <v>1</v>
      </c>
      <c r="M150" s="418">
        <f t="shared" si="37"/>
        <v>0.49090457251500325</v>
      </c>
      <c r="N150" s="387">
        <f t="shared" si="38"/>
        <v>20437.583859993072</v>
      </c>
      <c r="R150" s="78"/>
    </row>
    <row r="151" spans="1:18">
      <c r="A151" s="258">
        <f t="shared" si="35"/>
        <v>137</v>
      </c>
      <c r="B151" s="413">
        <v>39200</v>
      </c>
      <c r="C151" s="245" t="s">
        <v>1096</v>
      </c>
      <c r="D151" s="414">
        <v>4109.6899999999996</v>
      </c>
      <c r="E151" s="806">
        <v>0</v>
      </c>
      <c r="F151" s="806">
        <f t="shared" si="39"/>
        <v>4109.6899999999996</v>
      </c>
      <c r="G151" s="434">
        <f t="shared" si="40"/>
        <v>1</v>
      </c>
      <c r="H151" s="418">
        <f t="shared" si="41"/>
        <v>0.49090457251500325</v>
      </c>
      <c r="I151" s="806">
        <f t="shared" si="42"/>
        <v>2017.4656126191835</v>
      </c>
      <c r="J151" s="106"/>
      <c r="K151" s="414">
        <v>4109.6900000000005</v>
      </c>
      <c r="L151" s="435">
        <f t="shared" si="36"/>
        <v>1</v>
      </c>
      <c r="M151" s="418">
        <f t="shared" si="37"/>
        <v>0.49090457251500325</v>
      </c>
      <c r="N151" s="387">
        <f t="shared" si="38"/>
        <v>2017.465612619184</v>
      </c>
      <c r="R151" s="78"/>
    </row>
    <row r="152" spans="1:18">
      <c r="A152" s="258">
        <f t="shared" si="35"/>
        <v>138</v>
      </c>
      <c r="B152" s="413">
        <v>39400</v>
      </c>
      <c r="C152" s="245" t="s">
        <v>1055</v>
      </c>
      <c r="D152" s="414">
        <v>163707.46</v>
      </c>
      <c r="E152" s="806">
        <v>0</v>
      </c>
      <c r="F152" s="806">
        <f t="shared" si="39"/>
        <v>163707.46</v>
      </c>
      <c r="G152" s="434">
        <f t="shared" si="40"/>
        <v>1</v>
      </c>
      <c r="H152" s="418">
        <f t="shared" si="41"/>
        <v>0.49090457251500325</v>
      </c>
      <c r="I152" s="806">
        <f t="shared" si="42"/>
        <v>80364.740668816987</v>
      </c>
      <c r="J152" s="106"/>
      <c r="K152" s="414">
        <v>163665.77999999997</v>
      </c>
      <c r="L152" s="435">
        <f t="shared" si="36"/>
        <v>1</v>
      </c>
      <c r="M152" s="418">
        <f t="shared" si="37"/>
        <v>0.49090457251500325</v>
      </c>
      <c r="N152" s="387">
        <f t="shared" si="38"/>
        <v>80344.279766234555</v>
      </c>
      <c r="R152" s="78"/>
    </row>
    <row r="153" spans="1:18">
      <c r="A153" s="258">
        <f t="shared" si="35"/>
        <v>139</v>
      </c>
      <c r="B153" s="413">
        <v>39600</v>
      </c>
      <c r="C153" s="245" t="s">
        <v>557</v>
      </c>
      <c r="D153" s="414">
        <v>11037.170000000002</v>
      </c>
      <c r="E153" s="806">
        <v>0</v>
      </c>
      <c r="F153" s="806">
        <f t="shared" si="39"/>
        <v>11037.170000000002</v>
      </c>
      <c r="G153" s="434">
        <f t="shared" si="40"/>
        <v>1</v>
      </c>
      <c r="H153" s="418">
        <f t="shared" si="41"/>
        <v>0.49090457251500325</v>
      </c>
      <c r="I153" s="806">
        <f t="shared" si="42"/>
        <v>5418.1972206254195</v>
      </c>
      <c r="J153" s="106"/>
      <c r="K153" s="414">
        <v>13651.653076923081</v>
      </c>
      <c r="L153" s="435">
        <f t="shared" si="36"/>
        <v>1</v>
      </c>
      <c r="M153" s="418">
        <f t="shared" si="37"/>
        <v>0.49090457251500325</v>
      </c>
      <c r="N153" s="387">
        <f t="shared" si="38"/>
        <v>6701.6589178500535</v>
      </c>
      <c r="R153" s="78"/>
    </row>
    <row r="154" spans="1:18">
      <c r="A154" s="258">
        <f t="shared" si="35"/>
        <v>140</v>
      </c>
      <c r="B154" s="413">
        <v>39700</v>
      </c>
      <c r="C154" s="245" t="s">
        <v>454</v>
      </c>
      <c r="D154" s="414">
        <v>225613.58</v>
      </c>
      <c r="E154" s="806">
        <v>0</v>
      </c>
      <c r="F154" s="806">
        <f t="shared" si="39"/>
        <v>225613.58</v>
      </c>
      <c r="G154" s="434">
        <f t="shared" si="40"/>
        <v>1</v>
      </c>
      <c r="H154" s="418">
        <f t="shared" si="41"/>
        <v>0.49090457251500325</v>
      </c>
      <c r="I154" s="806">
        <f t="shared" si="42"/>
        <v>110754.73804347948</v>
      </c>
      <c r="J154" s="106"/>
      <c r="K154" s="414">
        <v>225613.58000000005</v>
      </c>
      <c r="L154" s="435">
        <f t="shared" si="36"/>
        <v>1</v>
      </c>
      <c r="M154" s="418">
        <f t="shared" si="37"/>
        <v>0.49090457251500325</v>
      </c>
      <c r="N154" s="387">
        <f t="shared" si="38"/>
        <v>110754.7380434795</v>
      </c>
      <c r="R154" s="78"/>
    </row>
    <row r="155" spans="1:18">
      <c r="A155" s="258">
        <f t="shared" si="35"/>
        <v>141</v>
      </c>
      <c r="B155" s="413">
        <v>39800</v>
      </c>
      <c r="C155" s="245" t="s">
        <v>666</v>
      </c>
      <c r="D155" s="414">
        <v>882228.18</v>
      </c>
      <c r="E155" s="806">
        <v>0</v>
      </c>
      <c r="F155" s="806">
        <f t="shared" si="39"/>
        <v>882228.18</v>
      </c>
      <c r="G155" s="434">
        <f t="shared" si="40"/>
        <v>1</v>
      </c>
      <c r="H155" s="418">
        <f t="shared" si="41"/>
        <v>0.49090457251500325</v>
      </c>
      <c r="I155" s="806">
        <f t="shared" si="42"/>
        <v>433089.84756358934</v>
      </c>
      <c r="J155" s="106"/>
      <c r="K155" s="414">
        <v>843986.64153846144</v>
      </c>
      <c r="L155" s="435">
        <f t="shared" si="36"/>
        <v>1</v>
      </c>
      <c r="M155" s="418">
        <f t="shared" si="37"/>
        <v>0.49090457251500325</v>
      </c>
      <c r="N155" s="387">
        <f t="shared" si="38"/>
        <v>414316.9014728117</v>
      </c>
      <c r="R155" s="78"/>
    </row>
    <row r="156" spans="1:18">
      <c r="A156" s="258">
        <f t="shared" si="35"/>
        <v>142</v>
      </c>
      <c r="B156" s="413">
        <v>39900</v>
      </c>
      <c r="C156" s="245" t="s">
        <v>1173</v>
      </c>
      <c r="D156" s="414">
        <v>76993.22</v>
      </c>
      <c r="E156" s="806">
        <v>0</v>
      </c>
      <c r="F156" s="806">
        <f t="shared" si="39"/>
        <v>76993.22</v>
      </c>
      <c r="G156" s="434">
        <f t="shared" si="40"/>
        <v>1</v>
      </c>
      <c r="H156" s="418">
        <f t="shared" si="41"/>
        <v>0.49090457251500325</v>
      </c>
      <c r="I156" s="806">
        <f t="shared" si="42"/>
        <v>37796.323750653595</v>
      </c>
      <c r="J156" s="106"/>
      <c r="K156" s="414">
        <v>76993.219999999987</v>
      </c>
      <c r="L156" s="435">
        <f t="shared" si="36"/>
        <v>1</v>
      </c>
      <c r="M156" s="418">
        <f t="shared" si="37"/>
        <v>0.49090457251500325</v>
      </c>
      <c r="N156" s="387">
        <f t="shared" si="38"/>
        <v>37796.323750653595</v>
      </c>
      <c r="R156" s="78"/>
    </row>
    <row r="157" spans="1:18">
      <c r="A157" s="258">
        <f t="shared" si="35"/>
        <v>143</v>
      </c>
      <c r="B157" s="413">
        <v>39901</v>
      </c>
      <c r="C157" s="245" t="s">
        <v>489</v>
      </c>
      <c r="D157" s="414">
        <v>344193.54</v>
      </c>
      <c r="E157" s="806">
        <v>0</v>
      </c>
      <c r="F157" s="806">
        <f t="shared" si="39"/>
        <v>344193.54</v>
      </c>
      <c r="G157" s="434">
        <f t="shared" si="40"/>
        <v>1</v>
      </c>
      <c r="H157" s="418">
        <f t="shared" si="41"/>
        <v>0.49090457251500325</v>
      </c>
      <c r="I157" s="806">
        <f t="shared" si="42"/>
        <v>168966.18261612565</v>
      </c>
      <c r="J157" s="106"/>
      <c r="K157" s="414">
        <v>344193.54</v>
      </c>
      <c r="L157" s="435">
        <f t="shared" si="36"/>
        <v>1</v>
      </c>
      <c r="M157" s="418">
        <f t="shared" si="37"/>
        <v>0.49090457251500325</v>
      </c>
      <c r="N157" s="387">
        <f t="shared" si="38"/>
        <v>168966.18261612565</v>
      </c>
      <c r="R157" s="78"/>
    </row>
    <row r="158" spans="1:18">
      <c r="A158" s="258">
        <f t="shared" si="35"/>
        <v>144</v>
      </c>
      <c r="B158" s="413">
        <v>39902</v>
      </c>
      <c r="C158" s="245" t="s">
        <v>979</v>
      </c>
      <c r="D158" s="414">
        <v>8273.14</v>
      </c>
      <c r="E158" s="806">
        <v>0</v>
      </c>
      <c r="F158" s="806">
        <f t="shared" si="39"/>
        <v>8273.14</v>
      </c>
      <c r="G158" s="434">
        <f t="shared" si="40"/>
        <v>1</v>
      </c>
      <c r="H158" s="418">
        <f t="shared" si="41"/>
        <v>0.49090457251500325</v>
      </c>
      <c r="I158" s="806">
        <f t="shared" si="42"/>
        <v>4061.3222550567739</v>
      </c>
      <c r="J158" s="106"/>
      <c r="K158" s="414">
        <v>8273.14</v>
      </c>
      <c r="L158" s="435">
        <f t="shared" si="36"/>
        <v>1</v>
      </c>
      <c r="M158" s="418">
        <f t="shared" si="37"/>
        <v>0.49090457251500325</v>
      </c>
      <c r="N158" s="387">
        <f t="shared" si="38"/>
        <v>4061.3222550567739</v>
      </c>
      <c r="R158" s="78"/>
    </row>
    <row r="159" spans="1:18">
      <c r="A159" s="258">
        <f t="shared" si="35"/>
        <v>145</v>
      </c>
      <c r="B159" s="413">
        <v>39903</v>
      </c>
      <c r="C159" s="245" t="s">
        <v>1022</v>
      </c>
      <c r="D159" s="414">
        <v>209357.66</v>
      </c>
      <c r="E159" s="806">
        <v>0</v>
      </c>
      <c r="F159" s="806">
        <f t="shared" si="39"/>
        <v>209357.66</v>
      </c>
      <c r="G159" s="434">
        <f t="shared" si="40"/>
        <v>1</v>
      </c>
      <c r="H159" s="418">
        <f t="shared" si="41"/>
        <v>0.49090457251500325</v>
      </c>
      <c r="I159" s="806">
        <f t="shared" si="42"/>
        <v>102774.6325850414</v>
      </c>
      <c r="J159" s="106"/>
      <c r="K159" s="414">
        <v>209357.66</v>
      </c>
      <c r="L159" s="435">
        <f t="shared" si="36"/>
        <v>1</v>
      </c>
      <c r="M159" s="418">
        <f t="shared" si="37"/>
        <v>0.49090457251500325</v>
      </c>
      <c r="N159" s="387">
        <f t="shared" si="38"/>
        <v>102774.6325850414</v>
      </c>
      <c r="R159" s="78"/>
    </row>
    <row r="160" spans="1:18">
      <c r="A160" s="258">
        <f t="shared" si="35"/>
        <v>146</v>
      </c>
      <c r="B160" s="413">
        <v>39906</v>
      </c>
      <c r="C160" s="245" t="s">
        <v>465</v>
      </c>
      <c r="D160" s="414">
        <v>325080.34000000003</v>
      </c>
      <c r="E160" s="806">
        <v>0</v>
      </c>
      <c r="F160" s="806">
        <f t="shared" si="39"/>
        <v>325080.34000000003</v>
      </c>
      <c r="G160" s="434">
        <f t="shared" si="40"/>
        <v>1</v>
      </c>
      <c r="H160" s="418">
        <f t="shared" si="41"/>
        <v>0.49090457251500325</v>
      </c>
      <c r="I160" s="806">
        <f t="shared" si="42"/>
        <v>159583.42534073192</v>
      </c>
      <c r="J160" s="106"/>
      <c r="K160" s="414">
        <v>325508.83076923073</v>
      </c>
      <c r="L160" s="435">
        <f t="shared" si="36"/>
        <v>1</v>
      </c>
      <c r="M160" s="418">
        <f t="shared" si="37"/>
        <v>0.49090457251500325</v>
      </c>
      <c r="N160" s="387">
        <f t="shared" si="38"/>
        <v>159793.77341862774</v>
      </c>
      <c r="R160" s="78"/>
    </row>
    <row r="161" spans="1:18">
      <c r="A161" s="258">
        <f t="shared" si="35"/>
        <v>147</v>
      </c>
      <c r="B161" s="413">
        <v>39907</v>
      </c>
      <c r="C161" s="245" t="s">
        <v>520</v>
      </c>
      <c r="D161" s="414">
        <v>74880.070000000007</v>
      </c>
      <c r="E161" s="806">
        <v>0</v>
      </c>
      <c r="F161" s="806">
        <f t="shared" si="39"/>
        <v>74880.070000000007</v>
      </c>
      <c r="G161" s="434">
        <f t="shared" si="40"/>
        <v>1</v>
      </c>
      <c r="H161" s="418">
        <f t="shared" si="41"/>
        <v>0.49090457251500325</v>
      </c>
      <c r="I161" s="806">
        <f t="shared" si="42"/>
        <v>36758.96875324352</v>
      </c>
      <c r="J161" s="106"/>
      <c r="K161" s="414">
        <v>74880.070000000036</v>
      </c>
      <c r="L161" s="435">
        <f t="shared" si="36"/>
        <v>1</v>
      </c>
      <c r="M161" s="418">
        <f t="shared" si="37"/>
        <v>0.49090457251500325</v>
      </c>
      <c r="N161" s="387">
        <f t="shared" si="38"/>
        <v>36758.968753243535</v>
      </c>
      <c r="R161" s="78"/>
    </row>
    <row r="162" spans="1:18">
      <c r="A162" s="258">
        <f t="shared" si="35"/>
        <v>148</v>
      </c>
      <c r="B162" s="413">
        <v>39908</v>
      </c>
      <c r="C162" s="245" t="s">
        <v>184</v>
      </c>
      <c r="D162" s="414">
        <v>898473.13</v>
      </c>
      <c r="E162" s="1135">
        <v>0</v>
      </c>
      <c r="F162" s="1135">
        <f t="shared" si="39"/>
        <v>898473.13</v>
      </c>
      <c r="G162" s="434">
        <f t="shared" si="40"/>
        <v>1</v>
      </c>
      <c r="H162" s="418">
        <f t="shared" si="41"/>
        <v>0.49090457251500325</v>
      </c>
      <c r="I162" s="1135">
        <f t="shared" si="42"/>
        <v>441064.56779886695</v>
      </c>
      <c r="J162" s="106"/>
      <c r="K162" s="414">
        <v>898421.87230769242</v>
      </c>
      <c r="L162" s="435">
        <f t="shared" si="36"/>
        <v>1</v>
      </c>
      <c r="M162" s="418">
        <f t="shared" si="37"/>
        <v>0.49090457251500325</v>
      </c>
      <c r="N162" s="390">
        <f t="shared" si="38"/>
        <v>441039.4051633366</v>
      </c>
      <c r="R162" s="78"/>
    </row>
    <row r="163" spans="1:18">
      <c r="A163" s="258">
        <f t="shared" si="35"/>
        <v>149</v>
      </c>
      <c r="B163" s="402"/>
      <c r="C163" s="245"/>
      <c r="D163" s="809"/>
      <c r="E163" s="809"/>
      <c r="F163" s="809"/>
      <c r="G163" s="1128"/>
      <c r="H163" s="1128"/>
      <c r="I163" s="809"/>
      <c r="J163" s="106"/>
      <c r="K163" s="809"/>
      <c r="N163" s="786"/>
    </row>
    <row r="164" spans="1:18">
      <c r="A164" s="258">
        <f t="shared" si="35"/>
        <v>150</v>
      </c>
      <c r="B164" s="402"/>
      <c r="C164" s="245" t="s">
        <v>4</v>
      </c>
      <c r="D164" s="459">
        <f>SUM(D147:D163)</f>
        <v>3490543.5199999996</v>
      </c>
      <c r="E164" s="459">
        <f>SUM(E147:E163)</f>
        <v>0</v>
      </c>
      <c r="F164" s="459">
        <f>SUM(F147:F163)</f>
        <v>3490543.5199999996</v>
      </c>
      <c r="G164" s="1128"/>
      <c r="H164" s="1128"/>
      <c r="I164" s="414">
        <f>SUM(I147:I163)</f>
        <v>1713523.7745306145</v>
      </c>
      <c r="J164" s="106"/>
      <c r="K164" s="414">
        <f>SUM(K147:K163)</f>
        <v>3454231.6961538456</v>
      </c>
      <c r="N164" s="414">
        <f>SUM(N147:N163)</f>
        <v>1695698.1341681783</v>
      </c>
    </row>
    <row r="165" spans="1:18">
      <c r="A165" s="258">
        <f t="shared" si="35"/>
        <v>151</v>
      </c>
      <c r="B165" s="402"/>
      <c r="C165" s="245"/>
      <c r="D165" s="106"/>
      <c r="E165" s="106"/>
      <c r="F165" s="106"/>
      <c r="G165" s="1128"/>
      <c r="H165" s="1128"/>
      <c r="I165" s="106"/>
      <c r="J165" s="106"/>
      <c r="K165" s="106"/>
    </row>
    <row r="166" spans="1:18" ht="15.75" thickBot="1">
      <c r="A166" s="258">
        <f t="shared" si="35"/>
        <v>152</v>
      </c>
      <c r="B166" s="402"/>
      <c r="C166" s="245" t="s">
        <v>1363</v>
      </c>
      <c r="D166" s="1136">
        <f>D119+D144+D164</f>
        <v>4785404.47</v>
      </c>
      <c r="E166" s="1136">
        <f>E119+E144+E164</f>
        <v>0</v>
      </c>
      <c r="F166" s="1136">
        <f>F119+F144+F164</f>
        <v>4785404.47</v>
      </c>
      <c r="G166" s="1128"/>
      <c r="H166" s="1128"/>
      <c r="I166" s="1136">
        <f>I119+I144+I164</f>
        <v>2349176.9356567357</v>
      </c>
      <c r="J166" s="106"/>
      <c r="K166" s="1136">
        <f>K119+K144+K164</f>
        <v>4749092.6461538458</v>
      </c>
      <c r="N166" s="412">
        <f>N119+N144+N164</f>
        <v>2331351.2952942993</v>
      </c>
      <c r="P166" s="1055"/>
      <c r="Q166" s="1055"/>
    </row>
    <row r="167" spans="1:18" ht="15.75" thickTop="1">
      <c r="A167" s="258">
        <f t="shared" si="35"/>
        <v>153</v>
      </c>
      <c r="B167" s="402"/>
      <c r="C167" s="245"/>
      <c r="D167" s="414"/>
      <c r="E167" s="414"/>
      <c r="F167" s="414"/>
      <c r="G167" s="1128"/>
      <c r="H167" s="1128"/>
      <c r="I167" s="414"/>
      <c r="J167" s="106"/>
      <c r="K167" s="106"/>
    </row>
    <row r="168" spans="1:18">
      <c r="A168" s="258">
        <f t="shared" si="35"/>
        <v>154</v>
      </c>
      <c r="B168" s="402"/>
      <c r="C168" s="266" t="s">
        <v>766</v>
      </c>
      <c r="D168" s="414">
        <v>-174493.9</v>
      </c>
      <c r="E168" s="414">
        <v>0</v>
      </c>
      <c r="F168" s="414">
        <f>D168+E168</f>
        <v>-174493.9</v>
      </c>
      <c r="G168" s="434">
        <f>$G$16</f>
        <v>1</v>
      </c>
      <c r="H168" s="418">
        <f>$H$116</f>
        <v>0.49090457251500325</v>
      </c>
      <c r="I168" s="414">
        <f>F168*G168*H168</f>
        <v>-85659.853385975715</v>
      </c>
      <c r="J168" s="106"/>
      <c r="K168" s="414">
        <v>-222720.82769230765</v>
      </c>
      <c r="L168" s="435">
        <f>G168</f>
        <v>1</v>
      </c>
      <c r="M168" s="419">
        <f>H168</f>
        <v>0.49090457251500325</v>
      </c>
      <c r="N168" s="411">
        <f>K168*L168*M168</f>
        <v>-109334.67270847998</v>
      </c>
    </row>
    <row r="169" spans="1:18">
      <c r="A169" s="258">
        <f t="shared" si="35"/>
        <v>155</v>
      </c>
      <c r="B169" s="402"/>
      <c r="C169" s="106"/>
      <c r="D169" s="106"/>
      <c r="E169" s="106"/>
      <c r="F169" s="106"/>
      <c r="G169" s="1128"/>
      <c r="H169" s="1128"/>
      <c r="I169" s="106"/>
      <c r="J169" s="106"/>
      <c r="K169" s="106"/>
    </row>
    <row r="170" spans="1:18" ht="15.75">
      <c r="A170" s="258">
        <f t="shared" si="35"/>
        <v>156</v>
      </c>
      <c r="B170" s="416" t="s">
        <v>8</v>
      </c>
      <c r="D170" s="106"/>
      <c r="E170" s="106"/>
      <c r="F170" s="106"/>
      <c r="G170" s="1128"/>
      <c r="H170" s="1128"/>
      <c r="I170" s="106"/>
      <c r="J170" s="106"/>
      <c r="K170" s="106"/>
    </row>
    <row r="171" spans="1:18">
      <c r="A171" s="258">
        <f t="shared" si="35"/>
        <v>157</v>
      </c>
      <c r="B171" s="402"/>
      <c r="C171" s="106"/>
      <c r="D171" s="106"/>
      <c r="E171" s="106"/>
      <c r="F171" s="106"/>
      <c r="G171" s="1128"/>
      <c r="H171" s="418"/>
      <c r="I171" s="106"/>
      <c r="J171" s="106"/>
      <c r="K171" s="106"/>
    </row>
    <row r="172" spans="1:18">
      <c r="A172" s="258">
        <f t="shared" si="35"/>
        <v>158</v>
      </c>
      <c r="B172" s="402"/>
      <c r="C172" s="810" t="s">
        <v>309</v>
      </c>
      <c r="D172" s="106"/>
      <c r="E172" s="106"/>
      <c r="F172" s="106"/>
      <c r="G172" s="1128"/>
      <c r="H172" s="1128"/>
      <c r="I172" s="106"/>
      <c r="J172" s="106"/>
      <c r="K172" s="106"/>
    </row>
    <row r="173" spans="1:18" ht="14.25" customHeight="1">
      <c r="A173" s="258">
        <f t="shared" si="35"/>
        <v>159</v>
      </c>
      <c r="B173" s="413">
        <v>39000</v>
      </c>
      <c r="C173" s="308" t="s">
        <v>874</v>
      </c>
      <c r="D173" s="414">
        <v>2230560.7470594803</v>
      </c>
      <c r="E173" s="459">
        <v>0</v>
      </c>
      <c r="F173" s="459">
        <f>D173+E173</f>
        <v>2230560.7470594803</v>
      </c>
      <c r="G173" s="418">
        <f>Allocation!$G$14</f>
        <v>0.1071</v>
      </c>
      <c r="H173" s="418">
        <f>Allocation!$H$14</f>
        <v>0.49090457251500325</v>
      </c>
      <c r="I173" s="459">
        <f>F173*G173*H173</f>
        <v>117273.69353742631</v>
      </c>
      <c r="J173" s="106"/>
      <c r="K173" s="414">
        <v>2140299.4738317207</v>
      </c>
      <c r="L173" s="419">
        <f>G173</f>
        <v>0.1071</v>
      </c>
      <c r="M173" s="419">
        <f>H173</f>
        <v>0.49090457251500325</v>
      </c>
      <c r="N173" s="387">
        <f>K173*L173*M173</f>
        <v>112528.1276931584</v>
      </c>
      <c r="R173" s="78"/>
    </row>
    <row r="174" spans="1:18">
      <c r="A174" s="258">
        <f t="shared" si="35"/>
        <v>160</v>
      </c>
      <c r="B174" s="413">
        <v>39005</v>
      </c>
      <c r="C174" s="308" t="s">
        <v>1217</v>
      </c>
      <c r="D174" s="414">
        <v>9199400.5099999998</v>
      </c>
      <c r="E174" s="811">
        <v>0</v>
      </c>
      <c r="F174" s="806">
        <f>D174+E174</f>
        <v>9199400.5099999998</v>
      </c>
      <c r="G174" s="808">
        <v>1</v>
      </c>
      <c r="H174" s="622">
        <f>Allocation!$I$20</f>
        <v>1.5418259551017742E-2</v>
      </c>
      <c r="I174" s="806">
        <f>F174*G174*H174</f>
        <v>141838.74477694498</v>
      </c>
      <c r="J174" s="106"/>
      <c r="K174" s="414">
        <v>9199400.5100000016</v>
      </c>
      <c r="L174" s="419">
        <f>G174</f>
        <v>1</v>
      </c>
      <c r="M174" s="419">
        <f>H174</f>
        <v>1.5418259551017742E-2</v>
      </c>
      <c r="N174" s="404">
        <f>K174*L174*M174</f>
        <v>141838.74477694501</v>
      </c>
      <c r="R174" s="78"/>
    </row>
    <row r="175" spans="1:18">
      <c r="A175" s="258">
        <f t="shared" si="35"/>
        <v>161</v>
      </c>
      <c r="B175" s="413">
        <v>39009</v>
      </c>
      <c r="C175" s="308" t="s">
        <v>1056</v>
      </c>
      <c r="D175" s="414">
        <v>9329120.8581342082</v>
      </c>
      <c r="E175" s="811">
        <v>0</v>
      </c>
      <c r="F175" s="806">
        <f t="shared" ref="F175:F196" si="43">D175+E175</f>
        <v>9329120.8581342082</v>
      </c>
      <c r="G175" s="418">
        <f>G173</f>
        <v>0.1071</v>
      </c>
      <c r="H175" s="418">
        <f>H173</f>
        <v>0.49090457251500325</v>
      </c>
      <c r="I175" s="806">
        <f t="shared" ref="I175:I196" si="44">F175*G175*H175</f>
        <v>490486.73609661992</v>
      </c>
      <c r="J175" s="106"/>
      <c r="K175" s="414">
        <v>9045765.3137565684</v>
      </c>
      <c r="L175" s="419">
        <f t="shared" ref="L175:L196" si="45">G175</f>
        <v>0.1071</v>
      </c>
      <c r="M175" s="419">
        <f t="shared" ref="M175:M196" si="46">H175</f>
        <v>0.49090457251500325</v>
      </c>
      <c r="N175" s="387">
        <f t="shared" ref="N175:N196" si="47">K175*L175*M175</f>
        <v>475589.0690784583</v>
      </c>
      <c r="R175" s="78"/>
    </row>
    <row r="176" spans="1:18">
      <c r="A176" s="258">
        <f t="shared" si="35"/>
        <v>162</v>
      </c>
      <c r="B176" s="413">
        <v>39100</v>
      </c>
      <c r="C176" s="308" t="s">
        <v>796</v>
      </c>
      <c r="D176" s="414">
        <v>10950155.967517382</v>
      </c>
      <c r="E176" s="811">
        <v>0</v>
      </c>
      <c r="F176" s="806">
        <f t="shared" si="43"/>
        <v>10950155.967517382</v>
      </c>
      <c r="G176" s="418">
        <f t="shared" ref="G176:G189" si="48">G175</f>
        <v>0.1071</v>
      </c>
      <c r="H176" s="418">
        <f t="shared" ref="H176:H178" si="49">H175</f>
        <v>0.49090457251500325</v>
      </c>
      <c r="I176" s="806">
        <f t="shared" si="44"/>
        <v>575714.08302354102</v>
      </c>
      <c r="J176" s="106"/>
      <c r="K176" s="414">
        <v>10741092.328815894</v>
      </c>
      <c r="L176" s="419">
        <f t="shared" si="45"/>
        <v>0.1071</v>
      </c>
      <c r="M176" s="419">
        <f t="shared" si="46"/>
        <v>0.49090457251500325</v>
      </c>
      <c r="N176" s="387">
        <f t="shared" si="47"/>
        <v>564722.3783021078</v>
      </c>
      <c r="R176" s="78"/>
    </row>
    <row r="177" spans="1:18">
      <c r="A177" s="258">
        <f t="shared" si="35"/>
        <v>163</v>
      </c>
      <c r="B177" s="413">
        <v>39102</v>
      </c>
      <c r="C177" s="308" t="s">
        <v>542</v>
      </c>
      <c r="D177" s="414">
        <v>0</v>
      </c>
      <c r="E177" s="811">
        <v>0</v>
      </c>
      <c r="F177" s="806">
        <f t="shared" si="43"/>
        <v>0</v>
      </c>
      <c r="G177" s="418">
        <f t="shared" si="48"/>
        <v>0.1071</v>
      </c>
      <c r="H177" s="418">
        <f t="shared" si="49"/>
        <v>0.49090457251500325</v>
      </c>
      <c r="I177" s="806">
        <f t="shared" si="44"/>
        <v>0</v>
      </c>
      <c r="J177" s="106"/>
      <c r="K177" s="414">
        <v>0</v>
      </c>
      <c r="L177" s="419">
        <f t="shared" si="45"/>
        <v>0.1071</v>
      </c>
      <c r="M177" s="419">
        <f t="shared" si="46"/>
        <v>0.49090457251500325</v>
      </c>
      <c r="N177" s="387">
        <f t="shared" si="47"/>
        <v>0</v>
      </c>
      <c r="R177" s="78"/>
    </row>
    <row r="178" spans="1:18">
      <c r="A178" s="258">
        <f t="shared" si="35"/>
        <v>164</v>
      </c>
      <c r="B178" s="413">
        <v>39103</v>
      </c>
      <c r="C178" s="308" t="s">
        <v>797</v>
      </c>
      <c r="D178" s="414">
        <v>0</v>
      </c>
      <c r="E178" s="811">
        <v>0</v>
      </c>
      <c r="F178" s="806">
        <f t="shared" si="43"/>
        <v>0</v>
      </c>
      <c r="G178" s="418">
        <f t="shared" si="48"/>
        <v>0.1071</v>
      </c>
      <c r="H178" s="418">
        <f t="shared" si="49"/>
        <v>0.49090457251500325</v>
      </c>
      <c r="I178" s="806">
        <f t="shared" si="44"/>
        <v>0</v>
      </c>
      <c r="J178" s="106"/>
      <c r="K178" s="414">
        <v>0</v>
      </c>
      <c r="L178" s="419">
        <f t="shared" si="45"/>
        <v>0.1071</v>
      </c>
      <c r="M178" s="419">
        <f t="shared" si="46"/>
        <v>0.49090457251500325</v>
      </c>
      <c r="N178" s="387">
        <f t="shared" si="47"/>
        <v>0</v>
      </c>
      <c r="R178" s="78"/>
    </row>
    <row r="179" spans="1:18">
      <c r="A179" s="258">
        <f t="shared" si="35"/>
        <v>165</v>
      </c>
      <c r="B179" s="413">
        <v>39104</v>
      </c>
      <c r="C179" s="308" t="s">
        <v>1218</v>
      </c>
      <c r="D179" s="414">
        <v>63740.85</v>
      </c>
      <c r="E179" s="811">
        <v>0</v>
      </c>
      <c r="F179" s="806">
        <f t="shared" ref="F179" si="50">D179+E179</f>
        <v>63740.85</v>
      </c>
      <c r="G179" s="808">
        <v>1</v>
      </c>
      <c r="H179" s="622">
        <f>$H$174</f>
        <v>1.5418259551017742E-2</v>
      </c>
      <c r="I179" s="806">
        <f t="shared" ref="I179" si="51">F179*G179*H179</f>
        <v>982.77296930248917</v>
      </c>
      <c r="J179" s="106"/>
      <c r="K179" s="414">
        <v>63740.849999999984</v>
      </c>
      <c r="L179" s="419">
        <f t="shared" ref="L179" si="52">G179</f>
        <v>1</v>
      </c>
      <c r="M179" s="419">
        <f t="shared" ref="M179" si="53">H179</f>
        <v>1.5418259551017742E-2</v>
      </c>
      <c r="N179" s="387">
        <f t="shared" ref="N179" si="54">K179*L179*M179</f>
        <v>982.77296930248895</v>
      </c>
      <c r="R179" s="78"/>
    </row>
    <row r="180" spans="1:18">
      <c r="A180" s="258">
        <f t="shared" si="35"/>
        <v>166</v>
      </c>
      <c r="B180" s="413">
        <v>39200</v>
      </c>
      <c r="C180" s="308" t="s">
        <v>1096</v>
      </c>
      <c r="D180" s="414">
        <v>103415.63</v>
      </c>
      <c r="E180" s="811">
        <v>0</v>
      </c>
      <c r="F180" s="806">
        <f t="shared" si="43"/>
        <v>103415.63</v>
      </c>
      <c r="G180" s="418">
        <f>G178</f>
        <v>0.1071</v>
      </c>
      <c r="H180" s="418">
        <f>H178</f>
        <v>0.49090457251500325</v>
      </c>
      <c r="I180" s="806">
        <f t="shared" si="44"/>
        <v>5437.1677236712649</v>
      </c>
      <c r="J180" s="106"/>
      <c r="K180" s="414">
        <v>103415.62999999999</v>
      </c>
      <c r="L180" s="419">
        <f t="shared" si="45"/>
        <v>0.1071</v>
      </c>
      <c r="M180" s="419">
        <f t="shared" si="46"/>
        <v>0.49090457251500325</v>
      </c>
      <c r="N180" s="387">
        <f t="shared" si="47"/>
        <v>5437.167723671264</v>
      </c>
      <c r="R180" s="78"/>
    </row>
    <row r="181" spans="1:18">
      <c r="A181" s="258">
        <f t="shared" si="35"/>
        <v>167</v>
      </c>
      <c r="B181" s="413">
        <v>39300</v>
      </c>
      <c r="C181" s="308" t="s">
        <v>665</v>
      </c>
      <c r="D181" s="414">
        <v>0</v>
      </c>
      <c r="E181" s="811">
        <v>0</v>
      </c>
      <c r="F181" s="806">
        <f t="shared" si="43"/>
        <v>0</v>
      </c>
      <c r="G181" s="418">
        <f t="shared" si="48"/>
        <v>0.1071</v>
      </c>
      <c r="H181" s="418">
        <f t="shared" ref="H181:H194" si="55">H180</f>
        <v>0.49090457251500325</v>
      </c>
      <c r="I181" s="806">
        <f t="shared" si="44"/>
        <v>0</v>
      </c>
      <c r="J181" s="106"/>
      <c r="K181" s="414">
        <v>0</v>
      </c>
      <c r="L181" s="419">
        <f t="shared" si="45"/>
        <v>0.1071</v>
      </c>
      <c r="M181" s="419">
        <f t="shared" si="46"/>
        <v>0.49090457251500325</v>
      </c>
      <c r="N181" s="387">
        <f t="shared" si="47"/>
        <v>0</v>
      </c>
      <c r="R181" s="78"/>
    </row>
    <row r="182" spans="1:18">
      <c r="A182" s="258">
        <f t="shared" si="35"/>
        <v>168</v>
      </c>
      <c r="B182" s="413">
        <v>39400</v>
      </c>
      <c r="C182" s="308" t="s">
        <v>1055</v>
      </c>
      <c r="D182" s="414">
        <v>1049336.8564099839</v>
      </c>
      <c r="E182" s="811">
        <v>0</v>
      </c>
      <c r="F182" s="806">
        <f t="shared" si="43"/>
        <v>1049336.8564099839</v>
      </c>
      <c r="G182" s="418">
        <f t="shared" si="48"/>
        <v>0.1071</v>
      </c>
      <c r="H182" s="418">
        <f t="shared" si="55"/>
        <v>0.49090457251500325</v>
      </c>
      <c r="I182" s="806">
        <f t="shared" si="44"/>
        <v>55169.808344551333</v>
      </c>
      <c r="J182" s="106"/>
      <c r="K182" s="414">
        <v>562258.4366982003</v>
      </c>
      <c r="L182" s="419">
        <f t="shared" si="45"/>
        <v>0.1071</v>
      </c>
      <c r="M182" s="419">
        <f t="shared" si="46"/>
        <v>0.49090457251500325</v>
      </c>
      <c r="N182" s="387">
        <f t="shared" si="47"/>
        <v>29561.231937351418</v>
      </c>
      <c r="R182" s="78"/>
    </row>
    <row r="183" spans="1:18">
      <c r="A183" s="258">
        <f t="shared" si="35"/>
        <v>169</v>
      </c>
      <c r="B183" s="413">
        <v>39500</v>
      </c>
      <c r="C183" s="245" t="s">
        <v>1219</v>
      </c>
      <c r="D183" s="414">
        <v>23632.07</v>
      </c>
      <c r="E183" s="811">
        <v>0</v>
      </c>
      <c r="F183" s="806">
        <f t="shared" si="43"/>
        <v>23632.07</v>
      </c>
      <c r="G183" s="418">
        <f t="shared" si="48"/>
        <v>0.1071</v>
      </c>
      <c r="H183" s="418">
        <f t="shared" si="55"/>
        <v>0.49090457251500325</v>
      </c>
      <c r="I183" s="806">
        <f t="shared" si="44"/>
        <v>1242.4768697685251</v>
      </c>
      <c r="J183" s="106"/>
      <c r="K183" s="414">
        <v>23632.070000000003</v>
      </c>
      <c r="L183" s="419">
        <f t="shared" si="45"/>
        <v>0.1071</v>
      </c>
      <c r="M183" s="419">
        <f t="shared" si="46"/>
        <v>0.49090457251500325</v>
      </c>
      <c r="N183" s="387">
        <f t="shared" si="47"/>
        <v>1242.4768697685254</v>
      </c>
      <c r="R183" s="78"/>
    </row>
    <row r="184" spans="1:18">
      <c r="A184" s="258">
        <f t="shared" si="35"/>
        <v>170</v>
      </c>
      <c r="B184" s="413">
        <v>39700</v>
      </c>
      <c r="C184" s="245" t="s">
        <v>454</v>
      </c>
      <c r="D184" s="414">
        <v>2495926.1015874753</v>
      </c>
      <c r="E184" s="811">
        <v>0</v>
      </c>
      <c r="F184" s="806">
        <f t="shared" si="43"/>
        <v>2495926.1015874753</v>
      </c>
      <c r="G184" s="418">
        <f t="shared" si="48"/>
        <v>0.1071</v>
      </c>
      <c r="H184" s="418">
        <f t="shared" si="55"/>
        <v>0.49090457251500325</v>
      </c>
      <c r="I184" s="806">
        <f t="shared" si="44"/>
        <v>131225.51049797857</v>
      </c>
      <c r="J184" s="106"/>
      <c r="K184" s="414">
        <v>2462183.1836521951</v>
      </c>
      <c r="L184" s="419">
        <f t="shared" si="45"/>
        <v>0.1071</v>
      </c>
      <c r="M184" s="419">
        <f t="shared" si="46"/>
        <v>0.49090457251500325</v>
      </c>
      <c r="N184" s="387">
        <f t="shared" si="47"/>
        <v>129451.44690333436</v>
      </c>
      <c r="R184" s="78"/>
    </row>
    <row r="185" spans="1:18">
      <c r="A185" s="258">
        <f t="shared" si="35"/>
        <v>171</v>
      </c>
      <c r="B185" s="413">
        <v>39800</v>
      </c>
      <c r="C185" s="245" t="s">
        <v>666</v>
      </c>
      <c r="D185" s="414">
        <v>521026.23296276445</v>
      </c>
      <c r="E185" s="811">
        <v>0</v>
      </c>
      <c r="F185" s="806">
        <f t="shared" si="43"/>
        <v>521026.23296276445</v>
      </c>
      <c r="G185" s="418">
        <f t="shared" si="48"/>
        <v>0.1071</v>
      </c>
      <c r="H185" s="418">
        <f t="shared" si="55"/>
        <v>0.49090457251500325</v>
      </c>
      <c r="I185" s="806">
        <f t="shared" si="44"/>
        <v>27393.412553316823</v>
      </c>
      <c r="J185" s="106"/>
      <c r="K185" s="414">
        <v>494198.30434448115</v>
      </c>
      <c r="L185" s="419">
        <f t="shared" si="45"/>
        <v>0.1071</v>
      </c>
      <c r="M185" s="419">
        <f t="shared" si="46"/>
        <v>0.49090457251500325</v>
      </c>
      <c r="N185" s="387">
        <f t="shared" si="47"/>
        <v>25982.910605242952</v>
      </c>
      <c r="R185" s="78"/>
    </row>
    <row r="186" spans="1:18">
      <c r="A186" s="258">
        <f t="shared" si="35"/>
        <v>172</v>
      </c>
      <c r="B186" s="413">
        <v>39900</v>
      </c>
      <c r="C186" s="245" t="s">
        <v>1173</v>
      </c>
      <c r="D186" s="414">
        <v>168103.3</v>
      </c>
      <c r="E186" s="811">
        <v>0</v>
      </c>
      <c r="F186" s="806">
        <f t="shared" si="43"/>
        <v>168103.3</v>
      </c>
      <c r="G186" s="418">
        <f t="shared" si="48"/>
        <v>0.1071</v>
      </c>
      <c r="H186" s="418">
        <f t="shared" si="55"/>
        <v>0.49090457251500325</v>
      </c>
      <c r="I186" s="806">
        <f t="shared" si="44"/>
        <v>8838.1788807226494</v>
      </c>
      <c r="J186" s="106"/>
      <c r="K186" s="414">
        <v>168103.30000000002</v>
      </c>
      <c r="L186" s="419">
        <f t="shared" si="45"/>
        <v>0.1071</v>
      </c>
      <c r="M186" s="419">
        <f t="shared" si="46"/>
        <v>0.49090457251500325</v>
      </c>
      <c r="N186" s="387">
        <f t="shared" si="47"/>
        <v>8838.1788807226512</v>
      </c>
      <c r="R186" s="78"/>
    </row>
    <row r="187" spans="1:18">
      <c r="A187" s="258">
        <f t="shared" si="35"/>
        <v>173</v>
      </c>
      <c r="B187" s="413">
        <v>39901</v>
      </c>
      <c r="C187" s="245" t="s">
        <v>489</v>
      </c>
      <c r="D187" s="414">
        <v>30909579.954134185</v>
      </c>
      <c r="E187" s="811">
        <v>0</v>
      </c>
      <c r="F187" s="806">
        <f t="shared" si="43"/>
        <v>30909579.954134185</v>
      </c>
      <c r="G187" s="418">
        <f t="shared" si="48"/>
        <v>0.1071</v>
      </c>
      <c r="H187" s="418">
        <f t="shared" si="55"/>
        <v>0.49090457251500325</v>
      </c>
      <c r="I187" s="806">
        <f t="shared" si="44"/>
        <v>1625098.3577516738</v>
      </c>
      <c r="J187" s="106"/>
      <c r="K187" s="414">
        <v>33700826.620460212</v>
      </c>
      <c r="L187" s="419">
        <f t="shared" si="45"/>
        <v>0.1071</v>
      </c>
      <c r="M187" s="419">
        <f t="shared" si="46"/>
        <v>0.49090457251500325</v>
      </c>
      <c r="N187" s="387">
        <f t="shared" si="47"/>
        <v>1771850.6067391131</v>
      </c>
      <c r="R187" s="78"/>
    </row>
    <row r="188" spans="1:18">
      <c r="A188" s="258">
        <f t="shared" si="35"/>
        <v>174</v>
      </c>
      <c r="B188" s="413">
        <v>39902</v>
      </c>
      <c r="C188" s="245" t="s">
        <v>979</v>
      </c>
      <c r="D188" s="414">
        <v>18166047.586874023</v>
      </c>
      <c r="E188" s="811">
        <v>0</v>
      </c>
      <c r="F188" s="806">
        <f t="shared" si="43"/>
        <v>18166047.586874023</v>
      </c>
      <c r="G188" s="418">
        <f t="shared" si="48"/>
        <v>0.1071</v>
      </c>
      <c r="H188" s="418">
        <f t="shared" si="55"/>
        <v>0.49090457251500325</v>
      </c>
      <c r="I188" s="806">
        <f t="shared" si="44"/>
        <v>955095.93284910324</v>
      </c>
      <c r="J188" s="106"/>
      <c r="K188" s="414">
        <v>17259544.894479014</v>
      </c>
      <c r="L188" s="419">
        <f t="shared" si="45"/>
        <v>0.1071</v>
      </c>
      <c r="M188" s="419">
        <f t="shared" si="46"/>
        <v>0.49090457251500325</v>
      </c>
      <c r="N188" s="387">
        <f t="shared" si="47"/>
        <v>907435.75633118965</v>
      </c>
      <c r="R188" s="78"/>
    </row>
    <row r="189" spans="1:18">
      <c r="A189" s="258">
        <f t="shared" si="35"/>
        <v>175</v>
      </c>
      <c r="B189" s="413">
        <v>39903</v>
      </c>
      <c r="C189" s="245" t="s">
        <v>1022</v>
      </c>
      <c r="D189" s="414">
        <v>3330569.4434632468</v>
      </c>
      <c r="E189" s="811">
        <v>0</v>
      </c>
      <c r="F189" s="806">
        <f t="shared" si="43"/>
        <v>3330569.4434632468</v>
      </c>
      <c r="G189" s="418">
        <f t="shared" si="48"/>
        <v>0.1071</v>
      </c>
      <c r="H189" s="418">
        <f t="shared" si="55"/>
        <v>0.49090457251500325</v>
      </c>
      <c r="I189" s="806">
        <f t="shared" si="44"/>
        <v>175107.61844649725</v>
      </c>
      <c r="J189" s="106"/>
      <c r="K189" s="414">
        <v>3276745.7011825535</v>
      </c>
      <c r="L189" s="419">
        <f t="shared" si="45"/>
        <v>0.1071</v>
      </c>
      <c r="M189" s="419">
        <f t="shared" si="46"/>
        <v>0.49090457251500325</v>
      </c>
      <c r="N189" s="387">
        <f t="shared" si="47"/>
        <v>172277.78784646332</v>
      </c>
      <c r="R189" s="78"/>
    </row>
    <row r="190" spans="1:18">
      <c r="A190" s="258">
        <f t="shared" si="35"/>
        <v>176</v>
      </c>
      <c r="B190" s="413">
        <v>39904</v>
      </c>
      <c r="C190" s="245" t="s">
        <v>1198</v>
      </c>
      <c r="D190" s="414">
        <v>0</v>
      </c>
      <c r="E190" s="811">
        <v>0</v>
      </c>
      <c r="F190" s="806">
        <f t="shared" si="43"/>
        <v>0</v>
      </c>
      <c r="G190" s="418">
        <f t="shared" ref="G190:G194" si="56">G189</f>
        <v>0.1071</v>
      </c>
      <c r="H190" s="418">
        <f t="shared" si="55"/>
        <v>0.49090457251500325</v>
      </c>
      <c r="I190" s="806">
        <f t="shared" si="44"/>
        <v>0</v>
      </c>
      <c r="J190" s="106"/>
      <c r="K190" s="414">
        <v>0</v>
      </c>
      <c r="L190" s="419">
        <f t="shared" si="45"/>
        <v>0.1071</v>
      </c>
      <c r="M190" s="419">
        <f t="shared" si="46"/>
        <v>0.49090457251500325</v>
      </c>
      <c r="N190" s="387">
        <f t="shared" si="47"/>
        <v>0</v>
      </c>
      <c r="R190" s="78"/>
    </row>
    <row r="191" spans="1:18">
      <c r="A191" s="258">
        <f t="shared" si="35"/>
        <v>177</v>
      </c>
      <c r="B191" s="413">
        <v>39905</v>
      </c>
      <c r="C191" s="245" t="s">
        <v>512</v>
      </c>
      <c r="D191" s="414">
        <v>0</v>
      </c>
      <c r="E191" s="811">
        <v>0</v>
      </c>
      <c r="F191" s="806">
        <f t="shared" si="43"/>
        <v>0</v>
      </c>
      <c r="G191" s="418">
        <f t="shared" si="56"/>
        <v>0.1071</v>
      </c>
      <c r="H191" s="418">
        <f t="shared" si="55"/>
        <v>0.49090457251500325</v>
      </c>
      <c r="I191" s="806">
        <f t="shared" si="44"/>
        <v>0</v>
      </c>
      <c r="J191" s="106"/>
      <c r="K191" s="414">
        <v>0</v>
      </c>
      <c r="L191" s="419">
        <f t="shared" si="45"/>
        <v>0.1071</v>
      </c>
      <c r="M191" s="419">
        <f t="shared" si="46"/>
        <v>0.49090457251500325</v>
      </c>
      <c r="N191" s="387">
        <f t="shared" si="47"/>
        <v>0</v>
      </c>
      <c r="R191" s="78"/>
    </row>
    <row r="192" spans="1:18">
      <c r="A192" s="258">
        <f t="shared" si="35"/>
        <v>178</v>
      </c>
      <c r="B192" s="413">
        <v>39906</v>
      </c>
      <c r="C192" s="245" t="s">
        <v>465</v>
      </c>
      <c r="D192" s="414">
        <v>1989498.9341145784</v>
      </c>
      <c r="E192" s="811">
        <v>0</v>
      </c>
      <c r="F192" s="806">
        <f t="shared" si="43"/>
        <v>1989498.9341145784</v>
      </c>
      <c r="G192" s="418">
        <f t="shared" si="56"/>
        <v>0.1071</v>
      </c>
      <c r="H192" s="418">
        <f t="shared" si="55"/>
        <v>0.49090457251500325</v>
      </c>
      <c r="I192" s="806">
        <f t="shared" si="44"/>
        <v>104599.65665582824</v>
      </c>
      <c r="J192" s="106"/>
      <c r="K192" s="414">
        <v>2091363.2078301439</v>
      </c>
      <c r="L192" s="419">
        <f t="shared" si="45"/>
        <v>0.1071</v>
      </c>
      <c r="M192" s="419">
        <f t="shared" si="46"/>
        <v>0.49090457251500325</v>
      </c>
      <c r="N192" s="387">
        <f t="shared" si="47"/>
        <v>109955.26045809184</v>
      </c>
      <c r="R192" s="78"/>
    </row>
    <row r="193" spans="1:18">
      <c r="A193" s="258">
        <f t="shared" si="35"/>
        <v>179</v>
      </c>
      <c r="B193" s="413">
        <v>39907</v>
      </c>
      <c r="C193" s="245" t="s">
        <v>520</v>
      </c>
      <c r="D193" s="414">
        <v>686152.06007096497</v>
      </c>
      <c r="E193" s="811">
        <v>0</v>
      </c>
      <c r="F193" s="806">
        <f t="shared" si="43"/>
        <v>686152.06007096497</v>
      </c>
      <c r="G193" s="418">
        <f t="shared" si="56"/>
        <v>0.1071</v>
      </c>
      <c r="H193" s="418">
        <f t="shared" si="55"/>
        <v>0.49090457251500325</v>
      </c>
      <c r="I193" s="806">
        <f t="shared" si="44"/>
        <v>36075.048177421515</v>
      </c>
      <c r="J193" s="106"/>
      <c r="K193" s="414">
        <v>812062.24132178293</v>
      </c>
      <c r="L193" s="419">
        <f t="shared" si="45"/>
        <v>0.1071</v>
      </c>
      <c r="M193" s="419">
        <f t="shared" si="46"/>
        <v>0.49090457251500325</v>
      </c>
      <c r="N193" s="387">
        <f t="shared" si="47"/>
        <v>42694.886721929208</v>
      </c>
      <c r="R193" s="78"/>
    </row>
    <row r="194" spans="1:18">
      <c r="A194" s="258">
        <f t="shared" si="35"/>
        <v>180</v>
      </c>
      <c r="B194" s="413">
        <v>39908</v>
      </c>
      <c r="C194" s="245" t="s">
        <v>184</v>
      </c>
      <c r="D194" s="414">
        <v>111795225.84767172</v>
      </c>
      <c r="E194" s="811">
        <v>0</v>
      </c>
      <c r="F194" s="806">
        <f t="shared" si="43"/>
        <v>111795225.84767172</v>
      </c>
      <c r="G194" s="418">
        <f t="shared" si="56"/>
        <v>0.1071</v>
      </c>
      <c r="H194" s="418">
        <f t="shared" si="55"/>
        <v>0.49090457251500325</v>
      </c>
      <c r="I194" s="806">
        <f t="shared" si="44"/>
        <v>5877732.3470301367</v>
      </c>
      <c r="J194" s="106"/>
      <c r="K194" s="414">
        <v>102519988.00516573</v>
      </c>
      <c r="L194" s="419">
        <f t="shared" si="45"/>
        <v>0.1071</v>
      </c>
      <c r="M194" s="419">
        <f t="shared" si="46"/>
        <v>0.49090457251500325</v>
      </c>
      <c r="N194" s="387">
        <f t="shared" si="47"/>
        <v>5390078.5578819402</v>
      </c>
      <c r="R194" s="78"/>
    </row>
    <row r="195" spans="1:18">
      <c r="A195" s="258">
        <f t="shared" si="35"/>
        <v>181</v>
      </c>
      <c r="B195" s="413">
        <v>39909</v>
      </c>
      <c r="C195" s="245" t="s">
        <v>352</v>
      </c>
      <c r="D195" s="414">
        <v>982650.37</v>
      </c>
      <c r="E195" s="811">
        <v>0</v>
      </c>
      <c r="F195" s="806">
        <f t="shared" ref="F195" si="57">D195+E195</f>
        <v>982650.37</v>
      </c>
      <c r="G195" s="418">
        <f>G193</f>
        <v>0.1071</v>
      </c>
      <c r="H195" s="418">
        <f>H193</f>
        <v>0.49090457251500325</v>
      </c>
      <c r="I195" s="806">
        <f t="shared" ref="I195" si="58">F195*G195*H195</f>
        <v>51663.707656353545</v>
      </c>
      <c r="J195" s="106"/>
      <c r="K195" s="414">
        <v>993258.83153846127</v>
      </c>
      <c r="L195" s="419">
        <f t="shared" ref="L195" si="59">G195</f>
        <v>0.1071</v>
      </c>
      <c r="M195" s="419">
        <f t="shared" ref="M195" si="60">H195</f>
        <v>0.49090457251500325</v>
      </c>
      <c r="N195" s="387">
        <f t="shared" ref="N195" si="61">K195*L195*M195</f>
        <v>52221.456854175289</v>
      </c>
      <c r="R195" s="78"/>
    </row>
    <row r="196" spans="1:18">
      <c r="A196" s="258">
        <f t="shared" si="35"/>
        <v>182</v>
      </c>
      <c r="B196" s="413">
        <v>39924</v>
      </c>
      <c r="C196" s="245" t="s">
        <v>1456</v>
      </c>
      <c r="D196" s="414">
        <v>0</v>
      </c>
      <c r="E196" s="811">
        <v>0</v>
      </c>
      <c r="F196" s="806">
        <f t="shared" si="43"/>
        <v>0</v>
      </c>
      <c r="G196" s="418">
        <f>G194</f>
        <v>0.1071</v>
      </c>
      <c r="H196" s="418">
        <f>H194</f>
        <v>0.49090457251500325</v>
      </c>
      <c r="I196" s="806">
        <f t="shared" si="44"/>
        <v>0</v>
      </c>
      <c r="J196" s="106"/>
      <c r="K196" s="414">
        <v>0</v>
      </c>
      <c r="L196" s="419">
        <f t="shared" si="45"/>
        <v>0.1071</v>
      </c>
      <c r="M196" s="419">
        <f t="shared" si="46"/>
        <v>0.49090457251500325</v>
      </c>
      <c r="N196" s="387">
        <f t="shared" si="47"/>
        <v>0</v>
      </c>
      <c r="R196" s="78"/>
    </row>
    <row r="197" spans="1:18">
      <c r="A197" s="258">
        <f t="shared" si="35"/>
        <v>183</v>
      </c>
      <c r="B197" s="402"/>
      <c r="C197" s="245"/>
      <c r="D197" s="809"/>
      <c r="E197" s="809"/>
      <c r="F197" s="809"/>
      <c r="G197" s="1128"/>
      <c r="H197" s="418"/>
      <c r="I197" s="106"/>
      <c r="J197" s="106"/>
      <c r="K197" s="809"/>
      <c r="N197" s="786"/>
    </row>
    <row r="198" spans="1:18" ht="15.75" thickBot="1">
      <c r="A198" s="258">
        <f t="shared" si="35"/>
        <v>184</v>
      </c>
      <c r="B198" s="402"/>
      <c r="C198" s="245" t="s">
        <v>1365</v>
      </c>
      <c r="D198" s="678">
        <f>SUM(D173:D196)</f>
        <v>203994143.31999999</v>
      </c>
      <c r="E198" s="678">
        <f>SUM(E173:E196)</f>
        <v>0</v>
      </c>
      <c r="F198" s="678">
        <f>SUM(F173:F196)</f>
        <v>203994143.31999999</v>
      </c>
      <c r="G198" s="1137"/>
      <c r="H198" s="1137"/>
      <c r="I198" s="678">
        <f>SUM(I173:I196)</f>
        <v>10380975.253840858</v>
      </c>
      <c r="J198" s="1082"/>
      <c r="K198" s="678">
        <f>SUM(K173:K196)</f>
        <v>195657878.90307698</v>
      </c>
      <c r="L198" s="91"/>
      <c r="M198" s="91"/>
      <c r="N198" s="678">
        <f>SUM(N173:N196)</f>
        <v>9942688.8185729682</v>
      </c>
      <c r="P198" s="1055"/>
      <c r="Q198" s="1055"/>
    </row>
    <row r="199" spans="1:18" ht="15.75" thickTop="1">
      <c r="A199" s="258">
        <f t="shared" si="35"/>
        <v>185</v>
      </c>
      <c r="B199" s="402"/>
      <c r="C199" s="245"/>
      <c r="D199" s="414"/>
      <c r="E199" s="414"/>
      <c r="F199" s="414"/>
      <c r="G199" s="1128"/>
      <c r="H199" s="1128"/>
      <c r="I199" s="414"/>
      <c r="J199" s="106"/>
      <c r="K199" s="106"/>
    </row>
    <row r="200" spans="1:18">
      <c r="A200" s="258">
        <f t="shared" si="35"/>
        <v>186</v>
      </c>
      <c r="B200" s="402"/>
      <c r="C200" s="266" t="s">
        <v>766</v>
      </c>
      <c r="D200" s="414">
        <v>14123020.170000006</v>
      </c>
      <c r="E200" s="414">
        <v>0</v>
      </c>
      <c r="F200" s="414">
        <f>D200+E200</f>
        <v>14123020.170000006</v>
      </c>
      <c r="G200" s="418">
        <f>G196</f>
        <v>0.1071</v>
      </c>
      <c r="H200" s="418">
        <f>H196</f>
        <v>0.49090457251500325</v>
      </c>
      <c r="I200" s="414">
        <f>F200*G200*H200</f>
        <v>742530.20968960191</v>
      </c>
      <c r="J200" s="106"/>
      <c r="K200" s="414">
        <v>13742968.581538467</v>
      </c>
      <c r="L200" s="419">
        <f>G200</f>
        <v>0.1071</v>
      </c>
      <c r="M200" s="419">
        <f>H200</f>
        <v>0.49090457251500325</v>
      </c>
      <c r="N200" s="411">
        <f>K200*L200*M200</f>
        <v>722548.66308863764</v>
      </c>
    </row>
    <row r="201" spans="1:18">
      <c r="A201" s="258">
        <f t="shared" si="35"/>
        <v>187</v>
      </c>
      <c r="B201" s="402"/>
      <c r="C201" s="106"/>
      <c r="D201" s="106"/>
      <c r="E201" s="106"/>
      <c r="F201" s="106"/>
      <c r="G201" s="1128"/>
      <c r="H201" s="1128"/>
      <c r="I201" s="106"/>
      <c r="J201" s="106"/>
      <c r="K201" s="106"/>
    </row>
    <row r="202" spans="1:18" ht="15.75">
      <c r="A202" s="258">
        <f t="shared" si="35"/>
        <v>188</v>
      </c>
      <c r="B202" s="416" t="s">
        <v>9</v>
      </c>
      <c r="C202" s="106"/>
      <c r="D202" s="106"/>
      <c r="E202" s="106"/>
      <c r="F202" s="106"/>
      <c r="G202" s="1128"/>
      <c r="H202" s="1128"/>
      <c r="I202" s="106"/>
      <c r="J202" s="106"/>
      <c r="K202" s="106"/>
    </row>
    <row r="203" spans="1:18">
      <c r="A203" s="258">
        <f t="shared" si="35"/>
        <v>189</v>
      </c>
      <c r="B203" s="402"/>
      <c r="C203" s="106"/>
      <c r="D203" s="106"/>
      <c r="E203" s="106"/>
      <c r="F203" s="106"/>
      <c r="G203" s="1128"/>
      <c r="H203" s="1128"/>
      <c r="I203" s="106"/>
      <c r="J203" s="106"/>
      <c r="K203" s="106"/>
    </row>
    <row r="204" spans="1:18">
      <c r="A204" s="258">
        <f t="shared" si="35"/>
        <v>190</v>
      </c>
      <c r="B204" s="402"/>
      <c r="C204" s="810" t="s">
        <v>309</v>
      </c>
      <c r="D204" s="106"/>
      <c r="E204" s="106"/>
      <c r="F204" s="106"/>
      <c r="G204" s="1128"/>
      <c r="H204" s="1128"/>
      <c r="I204" s="106"/>
      <c r="J204" s="106"/>
      <c r="K204" s="106"/>
    </row>
    <row r="205" spans="1:18">
      <c r="A205" s="258">
        <f t="shared" si="35"/>
        <v>191</v>
      </c>
      <c r="B205" s="413">
        <v>38900</v>
      </c>
      <c r="C205" s="308" t="s">
        <v>300</v>
      </c>
      <c r="D205" s="414">
        <v>2874239.86</v>
      </c>
      <c r="E205" s="459">
        <v>0</v>
      </c>
      <c r="F205" s="459">
        <f>D205+E205</f>
        <v>2874239.86</v>
      </c>
      <c r="G205" s="418">
        <f>Allocation!$G$15</f>
        <v>0.1086</v>
      </c>
      <c r="H205" s="418">
        <f>Allocation!$H$15</f>
        <v>0.52599015110063552</v>
      </c>
      <c r="I205" s="459">
        <f>F205*G205*H205</f>
        <v>164183.85380713042</v>
      </c>
      <c r="J205" s="106"/>
      <c r="K205" s="414">
        <v>2874239.86</v>
      </c>
      <c r="L205" s="419">
        <f>G205</f>
        <v>0.1086</v>
      </c>
      <c r="M205" s="419">
        <f>H205</f>
        <v>0.52599015110063552</v>
      </c>
      <c r="N205" s="404">
        <f>K205*L205*M205</f>
        <v>164183.85380713042</v>
      </c>
      <c r="P205" s="413"/>
      <c r="R205" s="78"/>
    </row>
    <row r="206" spans="1:18">
      <c r="A206" s="258">
        <f t="shared" si="35"/>
        <v>192</v>
      </c>
      <c r="B206" s="413">
        <v>38910</v>
      </c>
      <c r="C206" s="308" t="s">
        <v>1220</v>
      </c>
      <c r="D206" s="414">
        <v>1887122.88</v>
      </c>
      <c r="E206" s="806">
        <v>0</v>
      </c>
      <c r="F206" s="807">
        <f>D206+E206</f>
        <v>1887122.88</v>
      </c>
      <c r="G206" s="808">
        <v>1</v>
      </c>
      <c r="H206" s="622">
        <f>Allocation!$I$21</f>
        <v>1.083947E-2</v>
      </c>
      <c r="I206" s="806">
        <f>F206*G206*H206</f>
        <v>20455.411844073598</v>
      </c>
      <c r="J206" s="106"/>
      <c r="K206" s="414">
        <v>1887122.8799999992</v>
      </c>
      <c r="L206" s="419">
        <f>G206</f>
        <v>1</v>
      </c>
      <c r="M206" s="419">
        <f>H206</f>
        <v>1.083947E-2</v>
      </c>
      <c r="N206" s="387">
        <f>K206*L206*M206</f>
        <v>20455.411844073591</v>
      </c>
      <c r="P206" s="413"/>
      <c r="R206" s="78"/>
    </row>
    <row r="207" spans="1:18">
      <c r="A207" s="258">
        <f t="shared" si="35"/>
        <v>193</v>
      </c>
      <c r="B207" s="413">
        <v>39000</v>
      </c>
      <c r="C207" s="308" t="s">
        <v>874</v>
      </c>
      <c r="D207" s="414">
        <v>12671348.190331779</v>
      </c>
      <c r="E207" s="806">
        <v>0</v>
      </c>
      <c r="F207" s="807">
        <f t="shared" ref="F207:F221" si="62">D207+E207</f>
        <v>12671348.190331779</v>
      </c>
      <c r="G207" s="418">
        <f>$G$205</f>
        <v>0.1086</v>
      </c>
      <c r="H207" s="418">
        <f>$H$205</f>
        <v>0.52599015110063552</v>
      </c>
      <c r="I207" s="806">
        <f t="shared" ref="I207:I221" si="63">F207*G207*H207</f>
        <v>723819.47233195754</v>
      </c>
      <c r="J207" s="106"/>
      <c r="K207" s="414">
        <v>12655903.850146595</v>
      </c>
      <c r="L207" s="419">
        <f t="shared" ref="L207:L221" si="64">G207</f>
        <v>0.1086</v>
      </c>
      <c r="M207" s="419">
        <f t="shared" ref="M207:M221" si="65">H207</f>
        <v>0.52599015110063552</v>
      </c>
      <c r="N207" s="387">
        <f t="shared" ref="N207:N221" si="66">K207*L207*M207</f>
        <v>722937.25254007429</v>
      </c>
      <c r="P207" s="413"/>
      <c r="R207" s="78"/>
    </row>
    <row r="208" spans="1:18">
      <c r="A208" s="258">
        <f t="shared" si="35"/>
        <v>194</v>
      </c>
      <c r="B208" s="413">
        <v>39009</v>
      </c>
      <c r="C208" s="308" t="s">
        <v>1056</v>
      </c>
      <c r="D208" s="414">
        <v>4298434.33</v>
      </c>
      <c r="E208" s="806">
        <v>0</v>
      </c>
      <c r="F208" s="807">
        <f t="shared" si="62"/>
        <v>4298434.33</v>
      </c>
      <c r="G208" s="418">
        <f>$G$205</f>
        <v>0.1086</v>
      </c>
      <c r="H208" s="418">
        <f>$H$205</f>
        <v>0.52599015110063552</v>
      </c>
      <c r="I208" s="806">
        <f t="shared" si="63"/>
        <v>245537.4457287885</v>
      </c>
      <c r="J208" s="106"/>
      <c r="K208" s="414">
        <v>4298434.3299999991</v>
      </c>
      <c r="L208" s="419">
        <f t="shared" si="64"/>
        <v>0.1086</v>
      </c>
      <c r="M208" s="419">
        <f t="shared" si="65"/>
        <v>0.52599015110063552</v>
      </c>
      <c r="N208" s="387">
        <f t="shared" si="66"/>
        <v>245537.44572878844</v>
      </c>
      <c r="P208" s="413"/>
      <c r="R208" s="78"/>
    </row>
    <row r="209" spans="1:18">
      <c r="A209" s="258">
        <f t="shared" si="35"/>
        <v>195</v>
      </c>
      <c r="B209" s="413">
        <v>39010</v>
      </c>
      <c r="C209" s="308" t="s">
        <v>1221</v>
      </c>
      <c r="D209" s="414">
        <v>10419806.710000001</v>
      </c>
      <c r="E209" s="806">
        <v>0</v>
      </c>
      <c r="F209" s="807">
        <f t="shared" ref="F209" si="67">D209+E209</f>
        <v>10419806.710000001</v>
      </c>
      <c r="G209" s="808">
        <v>1</v>
      </c>
      <c r="H209" s="622">
        <f>$H$206</f>
        <v>1.083947E-2</v>
      </c>
      <c r="I209" s="806">
        <f t="shared" ref="I209" si="68">F209*G209*H209</f>
        <v>112945.18223884371</v>
      </c>
      <c r="J209" s="106"/>
      <c r="K209" s="414">
        <v>10419806.710000005</v>
      </c>
      <c r="L209" s="419">
        <f t="shared" ref="L209" si="69">G209</f>
        <v>1</v>
      </c>
      <c r="M209" s="419">
        <f t="shared" ref="M209" si="70">H209</f>
        <v>1.083947E-2</v>
      </c>
      <c r="N209" s="387">
        <f t="shared" ref="N209" si="71">K209*L209*M209</f>
        <v>112945.18223884376</v>
      </c>
      <c r="P209" s="413"/>
      <c r="R209" s="78"/>
    </row>
    <row r="210" spans="1:18">
      <c r="A210" s="258">
        <f t="shared" ref="A210:A232" si="72">A209+1</f>
        <v>196</v>
      </c>
      <c r="B210" s="413">
        <v>39100</v>
      </c>
      <c r="C210" s="308" t="s">
        <v>796</v>
      </c>
      <c r="D210" s="414">
        <v>2310944.0635525053</v>
      </c>
      <c r="E210" s="806">
        <v>0</v>
      </c>
      <c r="F210" s="807">
        <f t="shared" si="62"/>
        <v>2310944.0635525053</v>
      </c>
      <c r="G210" s="418">
        <f>$G$205</f>
        <v>0.1086</v>
      </c>
      <c r="H210" s="418">
        <f>$H$205</f>
        <v>0.52599015110063552</v>
      </c>
      <c r="I210" s="806">
        <f t="shared" si="63"/>
        <v>132006.97254499854</v>
      </c>
      <c r="J210" s="106"/>
      <c r="K210" s="414">
        <v>2324275.4841529219</v>
      </c>
      <c r="L210" s="419">
        <f t="shared" si="64"/>
        <v>0.1086</v>
      </c>
      <c r="M210" s="419">
        <f t="shared" si="65"/>
        <v>0.52599015110063552</v>
      </c>
      <c r="N210" s="387">
        <f t="shared" si="66"/>
        <v>132768.49702364806</v>
      </c>
      <c r="P210" s="413"/>
      <c r="R210" s="78"/>
    </row>
    <row r="211" spans="1:18">
      <c r="A211" s="258">
        <f t="shared" si="72"/>
        <v>197</v>
      </c>
      <c r="B211" s="413">
        <v>39103</v>
      </c>
      <c r="C211" s="308" t="s">
        <v>1367</v>
      </c>
      <c r="D211" s="414">
        <v>-4687.9143965532148</v>
      </c>
      <c r="E211" s="806">
        <v>0</v>
      </c>
      <c r="F211" s="807">
        <f t="shared" ref="F211" si="73">D211+E211</f>
        <v>-4687.9143965532148</v>
      </c>
      <c r="G211" s="418">
        <f>$G$205</f>
        <v>0.1086</v>
      </c>
      <c r="H211" s="418">
        <f>$H$205</f>
        <v>0.52599015110063552</v>
      </c>
      <c r="I211" s="806">
        <f t="shared" ref="I211" si="74">F211*G211*H211</f>
        <v>-267.78553267437991</v>
      </c>
      <c r="J211" s="106"/>
      <c r="K211" s="414">
        <v>129.29248672776018</v>
      </c>
      <c r="L211" s="419">
        <f t="shared" ref="L211" si="75">G211</f>
        <v>0.1086</v>
      </c>
      <c r="M211" s="419">
        <f t="shared" ref="M211" si="76">H211</f>
        <v>0.52599015110063552</v>
      </c>
      <c r="N211" s="387">
        <f t="shared" ref="N211" si="77">K211*L211*M211</f>
        <v>7.3855140048301076</v>
      </c>
      <c r="P211" s="413"/>
      <c r="R211" s="78"/>
    </row>
    <row r="212" spans="1:18">
      <c r="A212" s="258">
        <f t="shared" si="72"/>
        <v>198</v>
      </c>
      <c r="B212" s="413">
        <v>39700</v>
      </c>
      <c r="C212" s="308" t="s">
        <v>454</v>
      </c>
      <c r="D212" s="414">
        <v>1962784.81</v>
      </c>
      <c r="E212" s="806">
        <v>0</v>
      </c>
      <c r="F212" s="807">
        <f t="shared" si="62"/>
        <v>1962784.81</v>
      </c>
      <c r="G212" s="418">
        <f>$G$205</f>
        <v>0.1086</v>
      </c>
      <c r="H212" s="418">
        <f>$H$205</f>
        <v>0.52599015110063552</v>
      </c>
      <c r="I212" s="806">
        <f t="shared" si="63"/>
        <v>112119.23499658665</v>
      </c>
      <c r="J212" s="106"/>
      <c r="K212" s="414">
        <v>1962784.8099999998</v>
      </c>
      <c r="L212" s="419">
        <f t="shared" si="64"/>
        <v>0.1086</v>
      </c>
      <c r="M212" s="419">
        <f t="shared" si="65"/>
        <v>0.52599015110063552</v>
      </c>
      <c r="N212" s="387">
        <f t="shared" si="66"/>
        <v>112119.23499658663</v>
      </c>
      <c r="P212" s="413"/>
      <c r="R212" s="78"/>
    </row>
    <row r="213" spans="1:18">
      <c r="A213" s="258">
        <f t="shared" si="72"/>
        <v>199</v>
      </c>
      <c r="B213" s="413">
        <v>39710</v>
      </c>
      <c r="C213" s="308" t="s">
        <v>1222</v>
      </c>
      <c r="D213" s="414">
        <v>271621.21999999997</v>
      </c>
      <c r="E213" s="806">
        <v>0</v>
      </c>
      <c r="F213" s="807">
        <f>D213+E213</f>
        <v>271621.21999999997</v>
      </c>
      <c r="G213" s="808">
        <v>1</v>
      </c>
      <c r="H213" s="622">
        <f>$H$206</f>
        <v>1.083947E-2</v>
      </c>
      <c r="I213" s="806">
        <f>F213*G213*H213</f>
        <v>2944.2300655534</v>
      </c>
      <c r="J213" s="106"/>
      <c r="K213" s="414">
        <v>271621.21999999986</v>
      </c>
      <c r="L213" s="419">
        <f>G213</f>
        <v>1</v>
      </c>
      <c r="M213" s="419">
        <f>H213</f>
        <v>1.083947E-2</v>
      </c>
      <c r="N213" s="387">
        <f>K213*L213*M213</f>
        <v>2944.2300655533986</v>
      </c>
      <c r="P213" s="413"/>
      <c r="R213" s="78"/>
    </row>
    <row r="214" spans="1:18">
      <c r="A214" s="258">
        <f t="shared" si="72"/>
        <v>200</v>
      </c>
      <c r="B214" s="413">
        <v>39800</v>
      </c>
      <c r="C214" s="308" t="s">
        <v>666</v>
      </c>
      <c r="D214" s="414">
        <v>48730.446844649254</v>
      </c>
      <c r="E214" s="806">
        <v>0</v>
      </c>
      <c r="F214" s="807">
        <f t="shared" si="62"/>
        <v>48730.446844649254</v>
      </c>
      <c r="G214" s="418">
        <f t="shared" ref="G214:G221" si="78">$G$205</f>
        <v>0.1086</v>
      </c>
      <c r="H214" s="418">
        <f t="shared" ref="H214:H221" si="79">$H$205</f>
        <v>0.52599015110063552</v>
      </c>
      <c r="I214" s="806">
        <f t="shared" si="63"/>
        <v>2783.6064317534142</v>
      </c>
      <c r="J214" s="106"/>
      <c r="K214" s="414">
        <v>38369.801245354553</v>
      </c>
      <c r="L214" s="419">
        <f t="shared" si="64"/>
        <v>0.1086</v>
      </c>
      <c r="M214" s="419">
        <f t="shared" si="65"/>
        <v>0.52599015110063552</v>
      </c>
      <c r="N214" s="387">
        <f t="shared" si="66"/>
        <v>2191.7801384453501</v>
      </c>
      <c r="P214" s="413"/>
      <c r="R214" s="78"/>
    </row>
    <row r="215" spans="1:18">
      <c r="A215" s="258">
        <f t="shared" si="72"/>
        <v>201</v>
      </c>
      <c r="B215" s="413">
        <v>39900</v>
      </c>
      <c r="C215" s="308" t="s">
        <v>1173</v>
      </c>
      <c r="D215" s="414">
        <v>629166.46</v>
      </c>
      <c r="E215" s="806">
        <v>0</v>
      </c>
      <c r="F215" s="807">
        <f t="shared" si="62"/>
        <v>629166.46</v>
      </c>
      <c r="G215" s="418">
        <f t="shared" si="78"/>
        <v>0.1086</v>
      </c>
      <c r="H215" s="418">
        <f t="shared" si="79"/>
        <v>0.52599015110063552</v>
      </c>
      <c r="I215" s="806">
        <f t="shared" si="63"/>
        <v>35939.580244005723</v>
      </c>
      <c r="J215" s="106"/>
      <c r="K215" s="414">
        <v>629166.46</v>
      </c>
      <c r="L215" s="419">
        <f t="shared" si="64"/>
        <v>0.1086</v>
      </c>
      <c r="M215" s="419">
        <f t="shared" si="65"/>
        <v>0.52599015110063552</v>
      </c>
      <c r="N215" s="387">
        <f t="shared" si="66"/>
        <v>35939.580244005723</v>
      </c>
      <c r="P215" s="413"/>
      <c r="R215" s="78"/>
    </row>
    <row r="216" spans="1:18">
      <c r="A216" s="258">
        <f t="shared" si="72"/>
        <v>202</v>
      </c>
      <c r="B216" s="413">
        <v>39901</v>
      </c>
      <c r="C216" s="245" t="s">
        <v>489</v>
      </c>
      <c r="D216" s="414">
        <v>8102040.5359647218</v>
      </c>
      <c r="E216" s="806">
        <v>0</v>
      </c>
      <c r="F216" s="807">
        <f t="shared" si="62"/>
        <v>8102040.5359647218</v>
      </c>
      <c r="G216" s="418">
        <f t="shared" si="78"/>
        <v>0.1086</v>
      </c>
      <c r="H216" s="418">
        <f t="shared" si="79"/>
        <v>0.52599015110063552</v>
      </c>
      <c r="I216" s="806">
        <f t="shared" si="63"/>
        <v>462809.05689488159</v>
      </c>
      <c r="J216" s="106"/>
      <c r="K216" s="414">
        <v>8016720.2389061321</v>
      </c>
      <c r="L216" s="419">
        <f t="shared" si="64"/>
        <v>0.1086</v>
      </c>
      <c r="M216" s="419">
        <f t="shared" si="65"/>
        <v>0.52599015110063552</v>
      </c>
      <c r="N216" s="387">
        <f t="shared" si="66"/>
        <v>457935.34563160228</v>
      </c>
      <c r="P216" s="413"/>
      <c r="R216" s="78"/>
    </row>
    <row r="217" spans="1:18">
      <c r="A217" s="258">
        <f t="shared" si="72"/>
        <v>203</v>
      </c>
      <c r="B217" s="413">
        <v>39902</v>
      </c>
      <c r="C217" s="245" t="s">
        <v>979</v>
      </c>
      <c r="D217" s="414">
        <v>1817193.8354249417</v>
      </c>
      <c r="E217" s="806">
        <v>0</v>
      </c>
      <c r="F217" s="807">
        <f t="shared" si="62"/>
        <v>1817193.8354249417</v>
      </c>
      <c r="G217" s="418">
        <f t="shared" si="78"/>
        <v>0.1086</v>
      </c>
      <c r="H217" s="418">
        <f t="shared" si="79"/>
        <v>0.52599015110063552</v>
      </c>
      <c r="I217" s="806">
        <f t="shared" si="63"/>
        <v>103802.71012406991</v>
      </c>
      <c r="J217" s="106"/>
      <c r="K217" s="414">
        <v>1801458.9277957417</v>
      </c>
      <c r="L217" s="419">
        <f t="shared" si="64"/>
        <v>0.1086</v>
      </c>
      <c r="M217" s="419">
        <f t="shared" si="65"/>
        <v>0.52599015110063552</v>
      </c>
      <c r="N217" s="387">
        <f t="shared" si="66"/>
        <v>102903.8923845298</v>
      </c>
      <c r="P217" s="413"/>
      <c r="R217" s="78"/>
    </row>
    <row r="218" spans="1:18">
      <c r="A218" s="258">
        <f t="shared" si="72"/>
        <v>204</v>
      </c>
      <c r="B218" s="413">
        <v>39903</v>
      </c>
      <c r="C218" s="245" t="s">
        <v>1022</v>
      </c>
      <c r="D218" s="414">
        <v>579901.30309850804</v>
      </c>
      <c r="E218" s="806">
        <v>0</v>
      </c>
      <c r="F218" s="807">
        <f t="shared" si="62"/>
        <v>579901.30309850804</v>
      </c>
      <c r="G218" s="418">
        <f t="shared" si="78"/>
        <v>0.1086</v>
      </c>
      <c r="H218" s="418">
        <f t="shared" si="79"/>
        <v>0.52599015110063552</v>
      </c>
      <c r="I218" s="806">
        <f t="shared" si="63"/>
        <v>33125.429820770034</v>
      </c>
      <c r="J218" s="106"/>
      <c r="K218" s="414">
        <v>538871.74265627842</v>
      </c>
      <c r="L218" s="419">
        <f t="shared" si="64"/>
        <v>0.1086</v>
      </c>
      <c r="M218" s="419">
        <f t="shared" si="65"/>
        <v>0.52599015110063552</v>
      </c>
      <c r="N218" s="387">
        <f t="shared" si="66"/>
        <v>30781.71750671916</v>
      </c>
      <c r="P218" s="413"/>
      <c r="R218" s="78"/>
    </row>
    <row r="219" spans="1:18">
      <c r="A219" s="258">
        <f t="shared" si="72"/>
        <v>205</v>
      </c>
      <c r="B219" s="413">
        <v>39906</v>
      </c>
      <c r="C219" s="245" t="s">
        <v>465</v>
      </c>
      <c r="D219" s="414">
        <v>956538.5414673459</v>
      </c>
      <c r="E219" s="806">
        <v>0</v>
      </c>
      <c r="F219" s="807">
        <f t="shared" si="62"/>
        <v>956538.5414673459</v>
      </c>
      <c r="G219" s="418">
        <f t="shared" si="78"/>
        <v>0.1086</v>
      </c>
      <c r="H219" s="418">
        <f t="shared" si="79"/>
        <v>0.52599015110063552</v>
      </c>
      <c r="I219" s="806">
        <f t="shared" si="63"/>
        <v>54639.901922855002</v>
      </c>
      <c r="J219" s="106"/>
      <c r="K219" s="414">
        <v>955072.6896618444</v>
      </c>
      <c r="L219" s="419">
        <f t="shared" si="64"/>
        <v>0.1086</v>
      </c>
      <c r="M219" s="419">
        <f t="shared" si="65"/>
        <v>0.52599015110063552</v>
      </c>
      <c r="N219" s="387">
        <f t="shared" si="66"/>
        <v>54556.168758519379</v>
      </c>
      <c r="P219" s="413"/>
      <c r="R219" s="78"/>
    </row>
    <row r="220" spans="1:18">
      <c r="A220" s="258">
        <f t="shared" si="72"/>
        <v>206</v>
      </c>
      <c r="B220" s="413">
        <v>39907</v>
      </c>
      <c r="C220" s="308" t="s">
        <v>520</v>
      </c>
      <c r="D220" s="414">
        <v>188781.61</v>
      </c>
      <c r="E220" s="806">
        <v>0</v>
      </c>
      <c r="F220" s="807">
        <f t="shared" si="62"/>
        <v>188781.61</v>
      </c>
      <c r="G220" s="418">
        <f t="shared" si="78"/>
        <v>0.1086</v>
      </c>
      <c r="H220" s="418">
        <f t="shared" si="79"/>
        <v>0.52599015110063552</v>
      </c>
      <c r="I220" s="806">
        <f t="shared" si="63"/>
        <v>10783.683257984847</v>
      </c>
      <c r="J220" s="106"/>
      <c r="K220" s="414">
        <v>305326.56769230764</v>
      </c>
      <c r="L220" s="419">
        <f t="shared" si="64"/>
        <v>0.1086</v>
      </c>
      <c r="M220" s="419">
        <f t="shared" si="65"/>
        <v>0.52599015110063552</v>
      </c>
      <c r="N220" s="387">
        <f t="shared" si="66"/>
        <v>17441.026147840963</v>
      </c>
      <c r="P220" s="413"/>
      <c r="R220" s="78"/>
    </row>
    <row r="221" spans="1:18">
      <c r="A221" s="258">
        <f t="shared" si="72"/>
        <v>207</v>
      </c>
      <c r="B221" s="413">
        <v>39908</v>
      </c>
      <c r="C221" s="308" t="s">
        <v>184</v>
      </c>
      <c r="D221" s="414">
        <v>109997918.66771209</v>
      </c>
      <c r="E221" s="806">
        <v>0</v>
      </c>
      <c r="F221" s="807">
        <f t="shared" si="62"/>
        <v>109997918.66771209</v>
      </c>
      <c r="G221" s="418">
        <f t="shared" si="78"/>
        <v>0.1086</v>
      </c>
      <c r="H221" s="418">
        <f t="shared" si="79"/>
        <v>0.52599015110063552</v>
      </c>
      <c r="I221" s="806">
        <f t="shared" si="63"/>
        <v>6283359.4540812839</v>
      </c>
      <c r="J221" s="106"/>
      <c r="K221" s="414">
        <v>109429530.87140992</v>
      </c>
      <c r="L221" s="419">
        <f t="shared" si="64"/>
        <v>0.1086</v>
      </c>
      <c r="M221" s="419">
        <f t="shared" si="65"/>
        <v>0.52599015110063552</v>
      </c>
      <c r="N221" s="387">
        <f t="shared" si="66"/>
        <v>6250891.7049026079</v>
      </c>
      <c r="P221" s="413"/>
      <c r="R221" s="78"/>
    </row>
    <row r="222" spans="1:18">
      <c r="A222" s="258">
        <f t="shared" si="72"/>
        <v>208</v>
      </c>
      <c r="B222" s="413">
        <v>39910</v>
      </c>
      <c r="C222" s="308" t="s">
        <v>1223</v>
      </c>
      <c r="D222" s="414">
        <v>91992.46</v>
      </c>
      <c r="E222" s="806">
        <v>0</v>
      </c>
      <c r="F222" s="807">
        <f>D222+E222</f>
        <v>91992.46</v>
      </c>
      <c r="G222" s="808">
        <v>1</v>
      </c>
      <c r="H222" s="622">
        <f>$H$206</f>
        <v>1.083947E-2</v>
      </c>
      <c r="I222" s="806">
        <f>F222*G222*H222</f>
        <v>997.14951039620007</v>
      </c>
      <c r="J222" s="106"/>
      <c r="K222" s="414">
        <v>91992.459999999977</v>
      </c>
      <c r="L222" s="419">
        <f>G222</f>
        <v>1</v>
      </c>
      <c r="M222" s="419">
        <f>H222</f>
        <v>1.083947E-2</v>
      </c>
      <c r="N222" s="387">
        <f>K222*L222*M222</f>
        <v>997.14951039619973</v>
      </c>
      <c r="P222" s="413"/>
      <c r="R222" s="78"/>
    </row>
    <row r="223" spans="1:18">
      <c r="A223" s="258">
        <f t="shared" si="72"/>
        <v>209</v>
      </c>
      <c r="B223" s="413">
        <v>39916</v>
      </c>
      <c r="C223" s="106" t="s">
        <v>1224</v>
      </c>
      <c r="D223" s="414">
        <v>194015.41</v>
      </c>
      <c r="E223" s="806">
        <v>0</v>
      </c>
      <c r="F223" s="807">
        <f t="shared" ref="F223:F224" si="80">D223+E223</f>
        <v>194015.41</v>
      </c>
      <c r="G223" s="808">
        <v>1</v>
      </c>
      <c r="H223" s="622">
        <f>$H$206</f>
        <v>1.083947E-2</v>
      </c>
      <c r="I223" s="806">
        <f t="shared" ref="I223:I224" si="81">F223*G223*H223</f>
        <v>2103.0242162326999</v>
      </c>
      <c r="J223" s="106"/>
      <c r="K223" s="414">
        <v>194015.41</v>
      </c>
      <c r="L223" s="419">
        <f t="shared" ref="L223:L224" si="82">G223</f>
        <v>1</v>
      </c>
      <c r="M223" s="419">
        <f t="shared" ref="M223:M224" si="83">H223</f>
        <v>1.083947E-2</v>
      </c>
      <c r="N223" s="387">
        <f t="shared" ref="N223:N224" si="84">K223*L223*M223</f>
        <v>2103.0242162326999</v>
      </c>
      <c r="P223" s="413"/>
      <c r="R223" s="78"/>
    </row>
    <row r="224" spans="1:18">
      <c r="A224" s="258">
        <f t="shared" si="72"/>
        <v>210</v>
      </c>
      <c r="B224" s="413">
        <v>39917</v>
      </c>
      <c r="C224" s="106" t="s">
        <v>1225</v>
      </c>
      <c r="D224" s="414">
        <v>90540.56</v>
      </c>
      <c r="E224" s="806">
        <v>0</v>
      </c>
      <c r="F224" s="807">
        <f t="shared" si="80"/>
        <v>90540.56</v>
      </c>
      <c r="G224" s="808">
        <v>1</v>
      </c>
      <c r="H224" s="622">
        <f>$H$206</f>
        <v>1.083947E-2</v>
      </c>
      <c r="I224" s="806">
        <f t="shared" si="81"/>
        <v>981.41168390320001</v>
      </c>
      <c r="J224" s="106"/>
      <c r="K224" s="414">
        <v>90540.560000000027</v>
      </c>
      <c r="L224" s="419">
        <f t="shared" si="82"/>
        <v>1</v>
      </c>
      <c r="M224" s="419">
        <f t="shared" si="83"/>
        <v>1.083947E-2</v>
      </c>
      <c r="N224" s="387">
        <f t="shared" si="84"/>
        <v>981.41168390320036</v>
      </c>
      <c r="P224" s="413"/>
      <c r="R224" s="78"/>
    </row>
    <row r="225" spans="1:17">
      <c r="A225" s="258">
        <f t="shared" si="72"/>
        <v>211</v>
      </c>
      <c r="B225" s="60"/>
      <c r="C225" s="308"/>
      <c r="D225" s="809"/>
      <c r="E225" s="809"/>
      <c r="F225" s="809"/>
      <c r="G225" s="1128"/>
      <c r="H225" s="1128"/>
      <c r="I225" s="809"/>
      <c r="J225" s="106"/>
      <c r="K225" s="809"/>
      <c r="N225" s="786"/>
    </row>
    <row r="226" spans="1:17" ht="15.75" thickBot="1">
      <c r="A226" s="258">
        <f t="shared" si="72"/>
        <v>212</v>
      </c>
      <c r="B226" s="60"/>
      <c r="C226" s="245" t="s">
        <v>1366</v>
      </c>
      <c r="D226" s="678">
        <f>SUM(D205:D224)</f>
        <v>159388433.98000002</v>
      </c>
      <c r="E226" s="678">
        <f>SUM(E205:E224)</f>
        <v>0</v>
      </c>
      <c r="F226" s="678">
        <f>SUM(F205:F224)</f>
        <v>159388433.98000002</v>
      </c>
      <c r="G226" s="1137"/>
      <c r="H226" s="1137"/>
      <c r="I226" s="678">
        <f>SUM(I205:I224)</f>
        <v>8505069.0262133963</v>
      </c>
      <c r="J226" s="1082"/>
      <c r="K226" s="678">
        <f>SUM(K205:K224)</f>
        <v>158785384.16615385</v>
      </c>
      <c r="L226" s="91"/>
      <c r="M226" s="91"/>
      <c r="N226" s="417">
        <f>SUM(N205:N224)</f>
        <v>8470621.2948835082</v>
      </c>
      <c r="P226" s="806"/>
      <c r="Q226" s="806"/>
    </row>
    <row r="227" spans="1:17" ht="15.75" thickTop="1">
      <c r="A227" s="258">
        <f t="shared" si="72"/>
        <v>213</v>
      </c>
      <c r="B227" s="60"/>
      <c r="C227" s="245"/>
      <c r="D227" s="414"/>
      <c r="E227" s="414"/>
      <c r="F227" s="414"/>
      <c r="G227" s="1128"/>
      <c r="H227" s="1128"/>
      <c r="I227" s="414"/>
      <c r="J227" s="106"/>
      <c r="K227" s="414"/>
      <c r="N227" s="411"/>
    </row>
    <row r="228" spans="1:17">
      <c r="A228" s="258">
        <f t="shared" si="72"/>
        <v>214</v>
      </c>
      <c r="B228" s="60"/>
      <c r="C228" s="266" t="s">
        <v>766</v>
      </c>
      <c r="D228" s="414">
        <v>2198098.25</v>
      </c>
      <c r="E228" s="414">
        <v>0</v>
      </c>
      <c r="F228" s="414">
        <f>D228+E228</f>
        <v>2198098.25</v>
      </c>
      <c r="G228" s="418">
        <f>$G$205</f>
        <v>0.1086</v>
      </c>
      <c r="H228" s="418">
        <f>$H$205</f>
        <v>0.52599015110063552</v>
      </c>
      <c r="I228" s="414">
        <f>F228*G228*H228</f>
        <v>125560.93412875751</v>
      </c>
      <c r="J228" s="106"/>
      <c r="K228" s="414">
        <v>2198098.25</v>
      </c>
      <c r="L228" s="419">
        <f>G228</f>
        <v>0.1086</v>
      </c>
      <c r="M228" s="419">
        <f>H228</f>
        <v>0.52599015110063552</v>
      </c>
      <c r="N228" s="411">
        <f>K228*L228*M228</f>
        <v>125560.93412875751</v>
      </c>
    </row>
    <row r="229" spans="1:17">
      <c r="A229" s="258">
        <f t="shared" si="72"/>
        <v>215</v>
      </c>
      <c r="C229" s="106"/>
      <c r="D229" s="106"/>
      <c r="E229" s="106"/>
      <c r="F229" s="106"/>
      <c r="G229" s="239"/>
      <c r="H229" s="239"/>
      <c r="I229" s="106"/>
      <c r="J229" s="106"/>
      <c r="K229" s="106"/>
    </row>
    <row r="230" spans="1:17" ht="15.75" thickBot="1">
      <c r="A230" s="258">
        <f t="shared" si="72"/>
        <v>216</v>
      </c>
      <c r="C230" s="245" t="s">
        <v>765</v>
      </c>
      <c r="D230" s="417">
        <f>D226+D198+D166+D109</f>
        <v>863615787.29999566</v>
      </c>
      <c r="E230" s="417">
        <f>E226+E198+E166+E109</f>
        <v>0</v>
      </c>
      <c r="F230" s="417">
        <f>F226+F198+F166+F109</f>
        <v>863615787.29999566</v>
      </c>
      <c r="I230" s="678">
        <f>I226+I198+I166+I109</f>
        <v>516683026.74570662</v>
      </c>
      <c r="J230" s="106"/>
      <c r="K230" s="678">
        <f>K226+K198+K166+K109</f>
        <v>827558073.23507166</v>
      </c>
      <c r="L230" s="239"/>
      <c r="M230" s="239"/>
      <c r="N230" s="678">
        <f>N226+N198+N166+N109</f>
        <v>489110378.92843777</v>
      </c>
    </row>
    <row r="231" spans="1:17" ht="15.75" thickTop="1">
      <c r="A231" s="258">
        <f t="shared" si="72"/>
        <v>217</v>
      </c>
      <c r="I231" s="106"/>
      <c r="J231" s="106"/>
      <c r="K231" s="106"/>
      <c r="L231" s="239"/>
      <c r="M231" s="239"/>
      <c r="N231" s="106"/>
    </row>
    <row r="232" spans="1:17" ht="30.75" thickBot="1">
      <c r="A232" s="258">
        <f t="shared" si="72"/>
        <v>218</v>
      </c>
      <c r="C232" s="803" t="s">
        <v>5</v>
      </c>
      <c r="D232" s="678">
        <f>D228+D200+D168+D111</f>
        <v>30269644.690000013</v>
      </c>
      <c r="E232" s="133"/>
      <c r="F232" s="417">
        <f>F228+F200+F168+F111</f>
        <v>30269644.690000013</v>
      </c>
      <c r="I232" s="678">
        <f>I228+I200+I168+I111</f>
        <v>14905451.46043239</v>
      </c>
      <c r="J232" s="106"/>
      <c r="K232" s="678">
        <f>K228+K200+K168+K111</f>
        <v>29461314.585384626</v>
      </c>
      <c r="L232" s="239"/>
      <c r="M232" s="239"/>
      <c r="N232" s="678">
        <f>N228+N200+N168+N111</f>
        <v>14481743.506047383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A13" sqref="A13"/>
    </sheetView>
  </sheetViews>
  <sheetFormatPr defaultRowHeight="15"/>
  <cols>
    <col min="1" max="1" width="4.6640625" customWidth="1"/>
    <col min="2" max="2" width="6.88671875" customWidth="1"/>
    <col min="3" max="3" width="36.21875" customWidth="1"/>
    <col min="4" max="4" width="13.6640625" customWidth="1"/>
    <col min="5" max="5" width="10" customWidth="1"/>
    <col min="6" max="6" width="14.21875" customWidth="1"/>
    <col min="7" max="7" width="13.109375" style="76" bestFit="1" customWidth="1"/>
    <col min="8" max="8" width="12.33203125" style="76" customWidth="1"/>
    <col min="9" max="9" width="13.5546875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3.44140625" customWidth="1"/>
    <col min="16" max="17" width="12" bestFit="1" customWidth="1"/>
    <col min="18" max="18" width="7.77734375" customWidth="1"/>
    <col min="19" max="19" width="7.6640625" customWidth="1"/>
  </cols>
  <sheetData>
    <row r="1" spans="1:17">
      <c r="A1" s="1253" t="str">
        <f>'Table of Contents'!A1:C1</f>
        <v>Atmos Energy Corporation, Kentucky/Mid-States Division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7">
      <c r="A2" s="1253" t="str">
        <f>'Table of Contents'!A2:C2</f>
        <v>Kentucky Jurisdiction Case No. 2015-00343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</row>
    <row r="3" spans="1:17">
      <c r="A3" s="1253" t="s">
        <v>511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</row>
    <row r="4" spans="1:17" ht="15.75">
      <c r="A4" s="1254" t="str">
        <f>'B.1 F '!A4</f>
        <v>as of May 31, 2017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</row>
    <row r="5" spans="1:17" ht="15.75">
      <c r="A5" s="40"/>
      <c r="B5" s="40"/>
      <c r="C5" s="40"/>
      <c r="D5" s="769"/>
      <c r="E5" s="780"/>
      <c r="F5" s="40"/>
      <c r="G5" s="77"/>
      <c r="H5" s="77"/>
      <c r="I5" s="1"/>
      <c r="J5" s="1"/>
      <c r="K5" s="40"/>
    </row>
    <row r="6" spans="1:17" ht="15.75">
      <c r="A6" s="4" t="str">
        <f>'B.1 F '!A6</f>
        <v>Data:______Base Period__X___Forecasted Period</v>
      </c>
      <c r="B6" s="1"/>
      <c r="C6" s="1"/>
      <c r="D6" s="1"/>
      <c r="E6" s="769"/>
      <c r="F6" s="1"/>
      <c r="G6" s="77"/>
      <c r="K6" s="1"/>
      <c r="N6" s="924" t="s">
        <v>1512</v>
      </c>
    </row>
    <row r="7" spans="1:17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5" t="s">
        <v>1027</v>
      </c>
    </row>
    <row r="8" spans="1:17">
      <c r="A8" s="73" t="str">
        <f>'B.1 F '!A8</f>
        <v>Workpaper Reference No(s).</v>
      </c>
      <c r="B8" s="6"/>
      <c r="C8" s="6"/>
      <c r="D8" s="47"/>
      <c r="E8" s="47"/>
      <c r="F8" s="47"/>
      <c r="G8" s="296"/>
      <c r="H8" s="91"/>
      <c r="I8" s="70"/>
      <c r="J8" s="70"/>
      <c r="K8" s="47"/>
      <c r="L8" s="91"/>
      <c r="N8" s="721" t="str">
        <f>'B.1 B'!F8</f>
        <v>Witness:   Waller</v>
      </c>
    </row>
    <row r="9" spans="1:17">
      <c r="A9" s="503"/>
      <c r="B9" s="47"/>
      <c r="C9" s="47"/>
      <c r="D9" s="323"/>
      <c r="E9" s="85"/>
      <c r="F9" s="85"/>
      <c r="G9" s="436"/>
      <c r="H9" s="437"/>
      <c r="I9" s="427"/>
      <c r="J9" s="70"/>
      <c r="K9" s="323"/>
      <c r="L9" s="470"/>
      <c r="M9" s="470"/>
      <c r="N9" s="94"/>
    </row>
    <row r="10" spans="1:17" ht="15.75">
      <c r="A10" s="505"/>
      <c r="B10" s="47"/>
      <c r="C10" s="47"/>
      <c r="D10" s="772">
        <v>42886</v>
      </c>
      <c r="E10" s="47"/>
      <c r="F10" s="47"/>
      <c r="G10" s="296" t="s">
        <v>13</v>
      </c>
      <c r="H10" s="46" t="s">
        <v>11</v>
      </c>
      <c r="I10" s="428"/>
      <c r="J10" s="70"/>
      <c r="K10" s="93"/>
      <c r="L10" s="296" t="s">
        <v>13</v>
      </c>
      <c r="M10" s="46" t="s">
        <v>11</v>
      </c>
      <c r="N10" s="428"/>
    </row>
    <row r="11" spans="1:17" ht="15.75">
      <c r="A11" s="505" t="s">
        <v>98</v>
      </c>
      <c r="B11" s="2" t="s">
        <v>273</v>
      </c>
      <c r="C11" s="429" t="s">
        <v>221</v>
      </c>
      <c r="D11" s="943" t="s">
        <v>1372</v>
      </c>
      <c r="E11" s="46"/>
      <c r="F11" s="46" t="s">
        <v>10</v>
      </c>
      <c r="G11" s="46" t="s">
        <v>14</v>
      </c>
      <c r="H11" s="101" t="s">
        <v>610</v>
      </c>
      <c r="I11" s="429" t="s">
        <v>12</v>
      </c>
      <c r="J11" s="46"/>
      <c r="K11" s="619" t="s">
        <v>46</v>
      </c>
      <c r="L11" s="46" t="s">
        <v>14</v>
      </c>
      <c r="M11" s="101" t="s">
        <v>610</v>
      </c>
      <c r="N11" s="429" t="s">
        <v>12</v>
      </c>
    </row>
    <row r="12" spans="1:17">
      <c r="A12" s="430" t="s">
        <v>104</v>
      </c>
      <c r="B12" s="44" t="s">
        <v>104</v>
      </c>
      <c r="C12" s="44" t="s">
        <v>304</v>
      </c>
      <c r="D12" s="430" t="s">
        <v>110</v>
      </c>
      <c r="E12" s="44" t="s">
        <v>1006</v>
      </c>
      <c r="F12" s="44" t="s">
        <v>110</v>
      </c>
      <c r="G12" s="255" t="s">
        <v>643</v>
      </c>
      <c r="H12" s="255" t="s">
        <v>643</v>
      </c>
      <c r="I12" s="431" t="s">
        <v>109</v>
      </c>
      <c r="J12" s="46"/>
      <c r="K12" s="430" t="s">
        <v>103</v>
      </c>
      <c r="L12" s="255" t="s">
        <v>643</v>
      </c>
      <c r="M12" s="255" t="s">
        <v>643</v>
      </c>
      <c r="N12" s="431" t="s">
        <v>109</v>
      </c>
      <c r="P12" s="575"/>
      <c r="Q12" s="575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403">
        <v>30100</v>
      </c>
      <c r="C16" s="4" t="s">
        <v>299</v>
      </c>
      <c r="D16" s="414">
        <v>8329.7199999999993</v>
      </c>
      <c r="E16" s="1138">
        <v>0</v>
      </c>
      <c r="F16" s="1138">
        <f>D16+E16</f>
        <v>8329.7199999999993</v>
      </c>
      <c r="G16" s="620">
        <v>1</v>
      </c>
      <c r="H16" s="620">
        <f>$G$16</f>
        <v>1</v>
      </c>
      <c r="I16" s="445">
        <f>F16*G16*H16</f>
        <v>8329.7199999999993</v>
      </c>
      <c r="J16" s="1139"/>
      <c r="K16" s="414">
        <v>8329.7199999999993</v>
      </c>
      <c r="L16" s="621">
        <f t="shared" ref="L16:M17" si="0">$G$16</f>
        <v>1</v>
      </c>
      <c r="M16" s="621">
        <f t="shared" si="0"/>
        <v>1</v>
      </c>
      <c r="N16" s="386">
        <f>K16*L16*M16</f>
        <v>8329.7199999999993</v>
      </c>
    </row>
    <row r="17" spans="1:14">
      <c r="A17" s="774">
        <f t="shared" ref="A17:A80" si="1">A16+1</f>
        <v>3</v>
      </c>
      <c r="B17" s="403">
        <v>30200</v>
      </c>
      <c r="C17" s="4" t="s">
        <v>158</v>
      </c>
      <c r="D17" s="414">
        <v>119852.69</v>
      </c>
      <c r="E17" s="578">
        <v>0</v>
      </c>
      <c r="F17" s="578">
        <f>D17+E17</f>
        <v>119852.69</v>
      </c>
      <c r="G17" s="620">
        <f>$G$16</f>
        <v>1</v>
      </c>
      <c r="H17" s="620">
        <f>$G$16</f>
        <v>1</v>
      </c>
      <c r="I17" s="578">
        <f>F17*G17*H17</f>
        <v>119852.69</v>
      </c>
      <c r="J17" s="106"/>
      <c r="K17" s="414">
        <v>119852.68999999996</v>
      </c>
      <c r="L17" s="621">
        <f t="shared" si="0"/>
        <v>1</v>
      </c>
      <c r="M17" s="621">
        <f t="shared" si="0"/>
        <v>1</v>
      </c>
      <c r="N17" s="391">
        <f>K17*L17*M17</f>
        <v>119852.68999999996</v>
      </c>
    </row>
    <row r="18" spans="1:14">
      <c r="A18" s="945">
        <f t="shared" si="1"/>
        <v>4</v>
      </c>
      <c r="B18" s="421"/>
      <c r="C18" s="4"/>
      <c r="D18" s="809"/>
      <c r="E18" s="809"/>
      <c r="F18" s="809"/>
      <c r="G18" s="620"/>
      <c r="H18" s="620"/>
      <c r="I18" s="809"/>
      <c r="J18" s="106"/>
      <c r="K18" s="809"/>
      <c r="N18" s="786"/>
    </row>
    <row r="19" spans="1:14">
      <c r="A19" s="945">
        <f t="shared" si="1"/>
        <v>5</v>
      </c>
      <c r="B19" s="421"/>
      <c r="C19" s="4" t="s">
        <v>306</v>
      </c>
      <c r="D19" s="459">
        <f>SUM(D16:D17)</f>
        <v>128182.41</v>
      </c>
      <c r="E19" s="445">
        <f>SUM(E16:E17)</f>
        <v>0</v>
      </c>
      <c r="F19" s="445">
        <f>SUM(F16:F17)</f>
        <v>128182.41</v>
      </c>
      <c r="G19" s="1140"/>
      <c r="H19" s="1140"/>
      <c r="I19" s="445">
        <f>SUM(I16:I17)</f>
        <v>128182.41</v>
      </c>
      <c r="J19" s="106"/>
      <c r="K19" s="459">
        <f>SUM(K16:K17)</f>
        <v>128182.40999999996</v>
      </c>
      <c r="N19" s="382">
        <f>SUM(N16:N17)</f>
        <v>128182.40999999996</v>
      </c>
    </row>
    <row r="20" spans="1:14">
      <c r="A20" s="774">
        <f t="shared" si="1"/>
        <v>6</v>
      </c>
      <c r="B20" s="421"/>
      <c r="C20" s="1"/>
      <c r="D20" s="106"/>
      <c r="E20" s="106"/>
      <c r="F20" s="106"/>
      <c r="G20" s="620"/>
      <c r="H20" s="620"/>
      <c r="I20" s="106"/>
      <c r="J20" s="106"/>
      <c r="K20" s="106"/>
    </row>
    <row r="21" spans="1:14">
      <c r="A21" s="774">
        <f t="shared" si="1"/>
        <v>7</v>
      </c>
      <c r="B21" s="421"/>
      <c r="C21" s="17" t="s">
        <v>159</v>
      </c>
      <c r="D21" s="106"/>
      <c r="E21" s="106"/>
      <c r="F21" s="106"/>
      <c r="G21" s="620"/>
      <c r="H21" s="620"/>
      <c r="I21" s="106"/>
      <c r="J21" s="106"/>
      <c r="K21" s="106"/>
    </row>
    <row r="22" spans="1:14">
      <c r="A22" s="945">
        <f t="shared" si="1"/>
        <v>8</v>
      </c>
      <c r="B22" s="403">
        <v>32540</v>
      </c>
      <c r="C22" s="4" t="s">
        <v>166</v>
      </c>
      <c r="D22" s="414">
        <v>0</v>
      </c>
      <c r="E22" s="1138">
        <v>0</v>
      </c>
      <c r="F22" s="1138">
        <f t="shared" ref="F22:F24" si="2">D22+E22</f>
        <v>0</v>
      </c>
      <c r="G22" s="620">
        <f t="shared" ref="G22:H24" si="3">$G$16</f>
        <v>1</v>
      </c>
      <c r="H22" s="620">
        <f t="shared" si="3"/>
        <v>1</v>
      </c>
      <c r="I22" s="1138">
        <f t="shared" ref="I22:I24" si="4">F22*G22*H22</f>
        <v>0</v>
      </c>
      <c r="J22" s="106"/>
      <c r="K22" s="414">
        <v>0</v>
      </c>
      <c r="L22" s="621">
        <f t="shared" ref="L22:M24" si="5">$G$16</f>
        <v>1</v>
      </c>
      <c r="M22" s="621">
        <f t="shared" si="5"/>
        <v>1</v>
      </c>
      <c r="N22" s="386">
        <f t="shared" ref="N22:N24" si="6">K22*L22*M22</f>
        <v>0</v>
      </c>
    </row>
    <row r="23" spans="1:14">
      <c r="A23" s="1061">
        <f t="shared" si="1"/>
        <v>9</v>
      </c>
      <c r="B23" s="403">
        <v>33202</v>
      </c>
      <c r="C23" s="4" t="s">
        <v>612</v>
      </c>
      <c r="D23" s="414">
        <v>0</v>
      </c>
      <c r="E23" s="578">
        <v>0</v>
      </c>
      <c r="F23" s="578">
        <f t="shared" si="2"/>
        <v>0</v>
      </c>
      <c r="G23" s="620">
        <f t="shared" si="3"/>
        <v>1</v>
      </c>
      <c r="H23" s="620">
        <f t="shared" si="3"/>
        <v>1</v>
      </c>
      <c r="I23" s="578">
        <f t="shared" si="4"/>
        <v>0</v>
      </c>
      <c r="J23" s="106"/>
      <c r="K23" s="414">
        <v>0</v>
      </c>
      <c r="L23" s="621">
        <f t="shared" si="5"/>
        <v>1</v>
      </c>
      <c r="M23" s="621">
        <f t="shared" si="5"/>
        <v>1</v>
      </c>
      <c r="N23" s="391">
        <f t="shared" si="6"/>
        <v>0</v>
      </c>
    </row>
    <row r="24" spans="1:14">
      <c r="A24" s="1061">
        <f t="shared" si="1"/>
        <v>10</v>
      </c>
      <c r="B24" s="403">
        <v>33400</v>
      </c>
      <c r="C24" s="4" t="s">
        <v>1140</v>
      </c>
      <c r="D24" s="414">
        <v>0</v>
      </c>
      <c r="E24" s="578">
        <v>0</v>
      </c>
      <c r="F24" s="578">
        <f t="shared" si="2"/>
        <v>0</v>
      </c>
      <c r="G24" s="620">
        <f t="shared" si="3"/>
        <v>1</v>
      </c>
      <c r="H24" s="620">
        <f t="shared" si="3"/>
        <v>1</v>
      </c>
      <c r="I24" s="578">
        <f t="shared" si="4"/>
        <v>0</v>
      </c>
      <c r="J24" s="106"/>
      <c r="K24" s="414">
        <v>0</v>
      </c>
      <c r="L24" s="621">
        <f t="shared" si="5"/>
        <v>1</v>
      </c>
      <c r="M24" s="621">
        <f t="shared" si="5"/>
        <v>1</v>
      </c>
      <c r="N24" s="391">
        <f t="shared" si="6"/>
        <v>0</v>
      </c>
    </row>
    <row r="25" spans="1:14">
      <c r="A25" s="1061">
        <f t="shared" si="1"/>
        <v>11</v>
      </c>
      <c r="B25" s="421"/>
      <c r="C25" s="1"/>
      <c r="D25" s="809"/>
      <c r="E25" s="106"/>
      <c r="F25" s="106"/>
      <c r="G25" s="620"/>
      <c r="H25" s="620"/>
      <c r="I25" s="106"/>
      <c r="J25" s="106"/>
      <c r="K25" s="809"/>
    </row>
    <row r="26" spans="1:14">
      <c r="A26" s="1061">
        <f t="shared" si="1"/>
        <v>12</v>
      </c>
      <c r="B26" s="421"/>
      <c r="C26" s="1" t="s">
        <v>283</v>
      </c>
      <c r="D26" s="459">
        <f>SUM(D22:D25)</f>
        <v>0</v>
      </c>
      <c r="E26" s="445">
        <f>SUM(E22:E25)</f>
        <v>0</v>
      </c>
      <c r="F26" s="445">
        <f>SUM(F22:F25)</f>
        <v>0</v>
      </c>
      <c r="G26" s="620"/>
      <c r="H26" s="620"/>
      <c r="I26" s="445">
        <f>SUM(I22:I25)</f>
        <v>0</v>
      </c>
      <c r="J26" s="106"/>
      <c r="K26" s="459">
        <f>SUM(K22:K25)</f>
        <v>0</v>
      </c>
      <c r="N26" s="382">
        <f>SUM(N22:N25)</f>
        <v>0</v>
      </c>
    </row>
    <row r="27" spans="1:14">
      <c r="A27" s="1061">
        <f t="shared" si="1"/>
        <v>13</v>
      </c>
      <c r="B27" s="421"/>
      <c r="C27" s="4"/>
      <c r="D27" s="106"/>
      <c r="E27" s="106"/>
      <c r="F27" s="106"/>
      <c r="G27" s="620"/>
      <c r="H27" s="620"/>
      <c r="I27" s="106"/>
      <c r="J27" s="106"/>
      <c r="K27" s="106"/>
    </row>
    <row r="28" spans="1:14">
      <c r="A28" s="1061">
        <f t="shared" si="1"/>
        <v>14</v>
      </c>
      <c r="B28" s="421"/>
      <c r="C28" s="17" t="s">
        <v>284</v>
      </c>
      <c r="D28" s="106"/>
      <c r="E28" s="106"/>
      <c r="F28" s="106"/>
      <c r="G28" s="620"/>
      <c r="H28" s="620"/>
      <c r="I28" s="106"/>
      <c r="J28" s="106"/>
      <c r="K28" s="106"/>
    </row>
    <row r="29" spans="1:14">
      <c r="A29" s="1061">
        <f t="shared" si="1"/>
        <v>15</v>
      </c>
      <c r="B29" s="403">
        <v>35010</v>
      </c>
      <c r="C29" s="4" t="s">
        <v>300</v>
      </c>
      <c r="D29" s="414">
        <v>261126.69</v>
      </c>
      <c r="E29" s="1138">
        <v>0</v>
      </c>
      <c r="F29" s="1138">
        <f t="shared" ref="F29:F45" si="7">D29+E29</f>
        <v>261126.69</v>
      </c>
      <c r="G29" s="620">
        <f t="shared" ref="G29:H45" si="8">$G$16</f>
        <v>1</v>
      </c>
      <c r="H29" s="620">
        <f t="shared" si="8"/>
        <v>1</v>
      </c>
      <c r="I29" s="1138">
        <f t="shared" ref="I29:I45" si="9">F29*G29*H29</f>
        <v>261126.69</v>
      </c>
      <c r="J29" s="106"/>
      <c r="K29" s="414">
        <v>261126.68999999997</v>
      </c>
      <c r="L29" s="621">
        <f t="shared" ref="L29:M45" si="10">$G$16</f>
        <v>1</v>
      </c>
      <c r="M29" s="621">
        <f t="shared" si="10"/>
        <v>1</v>
      </c>
      <c r="N29" s="386">
        <f t="shared" ref="N29:N45" si="11">K29*L29*M29</f>
        <v>261126.68999999997</v>
      </c>
    </row>
    <row r="30" spans="1:14">
      <c r="A30" s="1061">
        <f t="shared" si="1"/>
        <v>16</v>
      </c>
      <c r="B30" s="403">
        <v>35020</v>
      </c>
      <c r="C30" s="4" t="s">
        <v>809</v>
      </c>
      <c r="D30" s="414">
        <v>4681.58</v>
      </c>
      <c r="E30" s="578">
        <v>0</v>
      </c>
      <c r="F30" s="578">
        <f t="shared" si="7"/>
        <v>4681.58</v>
      </c>
      <c r="G30" s="620">
        <f t="shared" si="8"/>
        <v>1</v>
      </c>
      <c r="H30" s="620">
        <f t="shared" si="8"/>
        <v>1</v>
      </c>
      <c r="I30" s="578">
        <f t="shared" si="9"/>
        <v>4681.58</v>
      </c>
      <c r="J30" s="106"/>
      <c r="K30" s="414">
        <v>4681.5800000000008</v>
      </c>
      <c r="L30" s="621">
        <f t="shared" si="10"/>
        <v>1</v>
      </c>
      <c r="M30" s="621">
        <f t="shared" si="10"/>
        <v>1</v>
      </c>
      <c r="N30" s="391">
        <f t="shared" si="11"/>
        <v>4681.5800000000008</v>
      </c>
    </row>
    <row r="31" spans="1:14">
      <c r="A31" s="1061">
        <f t="shared" si="1"/>
        <v>17</v>
      </c>
      <c r="B31" s="403">
        <v>35100</v>
      </c>
      <c r="C31" s="4" t="s">
        <v>988</v>
      </c>
      <c r="D31" s="414">
        <v>17916.189999999999</v>
      </c>
      <c r="E31" s="578">
        <v>0</v>
      </c>
      <c r="F31" s="578">
        <f t="shared" si="7"/>
        <v>17916.189999999999</v>
      </c>
      <c r="G31" s="620">
        <f t="shared" si="8"/>
        <v>1</v>
      </c>
      <c r="H31" s="620">
        <f t="shared" si="8"/>
        <v>1</v>
      </c>
      <c r="I31" s="578">
        <f t="shared" si="9"/>
        <v>17916.189999999999</v>
      </c>
      <c r="J31" s="106"/>
      <c r="K31" s="414">
        <v>17916.189999999999</v>
      </c>
      <c r="L31" s="621">
        <f t="shared" si="10"/>
        <v>1</v>
      </c>
      <c r="M31" s="621">
        <f t="shared" si="10"/>
        <v>1</v>
      </c>
      <c r="N31" s="391">
        <f t="shared" si="11"/>
        <v>17916.189999999999</v>
      </c>
    </row>
    <row r="32" spans="1:14">
      <c r="A32" s="1061">
        <f t="shared" si="1"/>
        <v>18</v>
      </c>
      <c r="B32" s="403">
        <v>35102</v>
      </c>
      <c r="C32" s="4" t="s">
        <v>285</v>
      </c>
      <c r="D32" s="414">
        <v>153261.29999999999</v>
      </c>
      <c r="E32" s="578">
        <v>0</v>
      </c>
      <c r="F32" s="578">
        <f t="shared" si="7"/>
        <v>153261.29999999999</v>
      </c>
      <c r="G32" s="620">
        <f t="shared" si="8"/>
        <v>1</v>
      </c>
      <c r="H32" s="620">
        <f t="shared" si="8"/>
        <v>1</v>
      </c>
      <c r="I32" s="578">
        <f t="shared" si="9"/>
        <v>153261.29999999999</v>
      </c>
      <c r="J32" s="106"/>
      <c r="K32" s="414">
        <v>153261.30000000002</v>
      </c>
      <c r="L32" s="621">
        <f t="shared" si="10"/>
        <v>1</v>
      </c>
      <c r="M32" s="621">
        <f t="shared" si="10"/>
        <v>1</v>
      </c>
      <c r="N32" s="391">
        <f t="shared" si="11"/>
        <v>153261.30000000002</v>
      </c>
    </row>
    <row r="33" spans="1:14">
      <c r="A33" s="1061">
        <f t="shared" si="1"/>
        <v>19</v>
      </c>
      <c r="B33" s="403">
        <v>35103</v>
      </c>
      <c r="C33" s="4" t="s">
        <v>601</v>
      </c>
      <c r="D33" s="414">
        <v>23138.38</v>
      </c>
      <c r="E33" s="578">
        <v>0</v>
      </c>
      <c r="F33" s="578">
        <f t="shared" si="7"/>
        <v>23138.38</v>
      </c>
      <c r="G33" s="620">
        <f t="shared" si="8"/>
        <v>1</v>
      </c>
      <c r="H33" s="620">
        <f t="shared" si="8"/>
        <v>1</v>
      </c>
      <c r="I33" s="578">
        <f t="shared" si="9"/>
        <v>23138.38</v>
      </c>
      <c r="J33" s="106"/>
      <c r="K33" s="414">
        <v>23138.38</v>
      </c>
      <c r="L33" s="621">
        <f t="shared" si="10"/>
        <v>1</v>
      </c>
      <c r="M33" s="621">
        <f t="shared" si="10"/>
        <v>1</v>
      </c>
      <c r="N33" s="391">
        <f t="shared" si="11"/>
        <v>23138.38</v>
      </c>
    </row>
    <row r="34" spans="1:14">
      <c r="A34" s="1061">
        <f t="shared" si="1"/>
        <v>20</v>
      </c>
      <c r="B34" s="403">
        <v>35104</v>
      </c>
      <c r="C34" s="4" t="s">
        <v>602</v>
      </c>
      <c r="D34" s="414">
        <v>137442.53</v>
      </c>
      <c r="E34" s="578">
        <v>0</v>
      </c>
      <c r="F34" s="578">
        <f t="shared" si="7"/>
        <v>137442.53</v>
      </c>
      <c r="G34" s="620">
        <f t="shared" si="8"/>
        <v>1</v>
      </c>
      <c r="H34" s="620">
        <f t="shared" si="8"/>
        <v>1</v>
      </c>
      <c r="I34" s="578">
        <f t="shared" si="9"/>
        <v>137442.53</v>
      </c>
      <c r="J34" s="106"/>
      <c r="K34" s="414">
        <v>137442.53</v>
      </c>
      <c r="L34" s="621">
        <f t="shared" si="10"/>
        <v>1</v>
      </c>
      <c r="M34" s="621">
        <f t="shared" si="10"/>
        <v>1</v>
      </c>
      <c r="N34" s="391">
        <f t="shared" si="11"/>
        <v>137442.53</v>
      </c>
    </row>
    <row r="35" spans="1:14">
      <c r="A35" s="1061">
        <f t="shared" si="1"/>
        <v>21</v>
      </c>
      <c r="B35" s="403">
        <v>35200</v>
      </c>
      <c r="C35" s="4" t="s">
        <v>455</v>
      </c>
      <c r="D35" s="414">
        <v>9659807.4912373237</v>
      </c>
      <c r="E35" s="578">
        <v>0</v>
      </c>
      <c r="F35" s="578">
        <f t="shared" si="7"/>
        <v>9659807.4912373237</v>
      </c>
      <c r="G35" s="620">
        <f t="shared" si="8"/>
        <v>1</v>
      </c>
      <c r="H35" s="620">
        <f t="shared" si="8"/>
        <v>1</v>
      </c>
      <c r="I35" s="578">
        <f t="shared" si="9"/>
        <v>9659807.4912373237</v>
      </c>
      <c r="J35" s="106"/>
      <c r="K35" s="414">
        <v>9075423.4308301248</v>
      </c>
      <c r="L35" s="621">
        <f t="shared" si="10"/>
        <v>1</v>
      </c>
      <c r="M35" s="621">
        <f t="shared" si="10"/>
        <v>1</v>
      </c>
      <c r="N35" s="391">
        <f t="shared" si="11"/>
        <v>9075423.4308301248</v>
      </c>
    </row>
    <row r="36" spans="1:14">
      <c r="A36" s="1061">
        <f t="shared" si="1"/>
        <v>22</v>
      </c>
      <c r="B36" s="403">
        <v>35201</v>
      </c>
      <c r="C36" s="4" t="s">
        <v>603</v>
      </c>
      <c r="D36" s="414">
        <v>1699998.54</v>
      </c>
      <c r="E36" s="578">
        <v>0</v>
      </c>
      <c r="F36" s="578">
        <f t="shared" si="7"/>
        <v>1699998.54</v>
      </c>
      <c r="G36" s="620">
        <f t="shared" si="8"/>
        <v>1</v>
      </c>
      <c r="H36" s="620">
        <f t="shared" si="8"/>
        <v>1</v>
      </c>
      <c r="I36" s="578">
        <f t="shared" si="9"/>
        <v>1699998.54</v>
      </c>
      <c r="J36" s="106"/>
      <c r="K36" s="414">
        <v>1699998.5399999993</v>
      </c>
      <c r="L36" s="621">
        <f t="shared" si="10"/>
        <v>1</v>
      </c>
      <c r="M36" s="621">
        <f t="shared" si="10"/>
        <v>1</v>
      </c>
      <c r="N36" s="391">
        <f t="shared" si="11"/>
        <v>1699998.5399999993</v>
      </c>
    </row>
    <row r="37" spans="1:14">
      <c r="A37" s="1061">
        <f t="shared" si="1"/>
        <v>23</v>
      </c>
      <c r="B37" s="403">
        <v>35202</v>
      </c>
      <c r="C37" s="4" t="s">
        <v>604</v>
      </c>
      <c r="D37" s="414">
        <v>415818.86</v>
      </c>
      <c r="E37" s="578">
        <v>0</v>
      </c>
      <c r="F37" s="578">
        <f t="shared" si="7"/>
        <v>415818.86</v>
      </c>
      <c r="G37" s="620">
        <f t="shared" si="8"/>
        <v>1</v>
      </c>
      <c r="H37" s="620">
        <f t="shared" si="8"/>
        <v>1</v>
      </c>
      <c r="I37" s="578">
        <f t="shared" si="9"/>
        <v>415818.86</v>
      </c>
      <c r="J37" s="106"/>
      <c r="K37" s="414">
        <v>415818.86</v>
      </c>
      <c r="L37" s="621">
        <f t="shared" si="10"/>
        <v>1</v>
      </c>
      <c r="M37" s="621">
        <f t="shared" si="10"/>
        <v>1</v>
      </c>
      <c r="N37" s="391">
        <f t="shared" si="11"/>
        <v>415818.86</v>
      </c>
    </row>
    <row r="38" spans="1:14">
      <c r="A38" s="1061">
        <f t="shared" si="1"/>
        <v>24</v>
      </c>
      <c r="B38" s="403">
        <v>35203</v>
      </c>
      <c r="C38" s="4" t="s">
        <v>353</v>
      </c>
      <c r="D38" s="414">
        <v>1694832.96</v>
      </c>
      <c r="E38" s="578">
        <v>0</v>
      </c>
      <c r="F38" s="578">
        <f t="shared" si="7"/>
        <v>1694832.96</v>
      </c>
      <c r="G38" s="620">
        <f t="shared" si="8"/>
        <v>1</v>
      </c>
      <c r="H38" s="620">
        <f t="shared" si="8"/>
        <v>1</v>
      </c>
      <c r="I38" s="578">
        <f t="shared" si="9"/>
        <v>1694832.96</v>
      </c>
      <c r="J38" s="106"/>
      <c r="K38" s="414">
        <v>1694832.9600000007</v>
      </c>
      <c r="L38" s="621">
        <f t="shared" si="10"/>
        <v>1</v>
      </c>
      <c r="M38" s="621">
        <f t="shared" si="10"/>
        <v>1</v>
      </c>
      <c r="N38" s="391">
        <f t="shared" si="11"/>
        <v>1694832.9600000007</v>
      </c>
    </row>
    <row r="39" spans="1:14">
      <c r="A39" s="1061">
        <f t="shared" si="1"/>
        <v>25</v>
      </c>
      <c r="B39" s="403">
        <v>35210</v>
      </c>
      <c r="C39" s="4" t="s">
        <v>605</v>
      </c>
      <c r="D39" s="414">
        <v>178530.09</v>
      </c>
      <c r="E39" s="578">
        <v>0</v>
      </c>
      <c r="F39" s="578">
        <f t="shared" si="7"/>
        <v>178530.09</v>
      </c>
      <c r="G39" s="620">
        <f t="shared" si="8"/>
        <v>1</v>
      </c>
      <c r="H39" s="620">
        <f t="shared" si="8"/>
        <v>1</v>
      </c>
      <c r="I39" s="578">
        <f t="shared" si="9"/>
        <v>178530.09</v>
      </c>
      <c r="J39" s="106"/>
      <c r="K39" s="414">
        <v>178530.09000000003</v>
      </c>
      <c r="L39" s="621">
        <f t="shared" si="10"/>
        <v>1</v>
      </c>
      <c r="M39" s="621">
        <f t="shared" si="10"/>
        <v>1</v>
      </c>
      <c r="N39" s="391">
        <f t="shared" si="11"/>
        <v>178530.09000000003</v>
      </c>
    </row>
    <row r="40" spans="1:14">
      <c r="A40" s="1061">
        <f t="shared" si="1"/>
        <v>26</v>
      </c>
      <c r="B40" s="403">
        <v>35211</v>
      </c>
      <c r="C40" s="4" t="s">
        <v>606</v>
      </c>
      <c r="D40" s="414">
        <v>54614.27</v>
      </c>
      <c r="E40" s="578">
        <v>0</v>
      </c>
      <c r="F40" s="578">
        <f t="shared" si="7"/>
        <v>54614.27</v>
      </c>
      <c r="G40" s="620">
        <f t="shared" si="8"/>
        <v>1</v>
      </c>
      <c r="H40" s="620">
        <f t="shared" si="8"/>
        <v>1</v>
      </c>
      <c r="I40" s="578">
        <f t="shared" si="9"/>
        <v>54614.27</v>
      </c>
      <c r="J40" s="106"/>
      <c r="K40" s="414">
        <v>54614.270000000011</v>
      </c>
      <c r="L40" s="621">
        <f t="shared" si="10"/>
        <v>1</v>
      </c>
      <c r="M40" s="621">
        <f t="shared" si="10"/>
        <v>1</v>
      </c>
      <c r="N40" s="391">
        <f t="shared" si="11"/>
        <v>54614.270000000011</v>
      </c>
    </row>
    <row r="41" spans="1:14">
      <c r="A41" s="1061">
        <f t="shared" si="1"/>
        <v>27</v>
      </c>
      <c r="B41" s="403">
        <v>35301</v>
      </c>
      <c r="C41" s="1" t="s">
        <v>167</v>
      </c>
      <c r="D41" s="414">
        <v>178496.9</v>
      </c>
      <c r="E41" s="578">
        <v>0</v>
      </c>
      <c r="F41" s="578">
        <f t="shared" si="7"/>
        <v>178496.9</v>
      </c>
      <c r="G41" s="620">
        <f t="shared" si="8"/>
        <v>1</v>
      </c>
      <c r="H41" s="620">
        <f t="shared" si="8"/>
        <v>1</v>
      </c>
      <c r="I41" s="578">
        <f t="shared" si="9"/>
        <v>178496.9</v>
      </c>
      <c r="J41" s="106"/>
      <c r="K41" s="414">
        <v>178496.89999999994</v>
      </c>
      <c r="L41" s="621">
        <f t="shared" si="10"/>
        <v>1</v>
      </c>
      <c r="M41" s="621">
        <f t="shared" si="10"/>
        <v>1</v>
      </c>
      <c r="N41" s="391">
        <f t="shared" si="11"/>
        <v>178496.89999999994</v>
      </c>
    </row>
    <row r="42" spans="1:14">
      <c r="A42" s="1061">
        <f t="shared" si="1"/>
        <v>28</v>
      </c>
      <c r="B42" s="403">
        <v>35302</v>
      </c>
      <c r="C42" s="4" t="s">
        <v>612</v>
      </c>
      <c r="D42" s="414">
        <v>209458.21</v>
      </c>
      <c r="E42" s="578">
        <v>0</v>
      </c>
      <c r="F42" s="578">
        <f t="shared" si="7"/>
        <v>209458.21</v>
      </c>
      <c r="G42" s="620">
        <f t="shared" si="8"/>
        <v>1</v>
      </c>
      <c r="H42" s="620">
        <f t="shared" si="8"/>
        <v>1</v>
      </c>
      <c r="I42" s="578">
        <f t="shared" si="9"/>
        <v>209458.21</v>
      </c>
      <c r="J42" s="106"/>
      <c r="K42" s="414">
        <v>209458.21</v>
      </c>
      <c r="L42" s="621">
        <f t="shared" si="10"/>
        <v>1</v>
      </c>
      <c r="M42" s="621">
        <f t="shared" si="10"/>
        <v>1</v>
      </c>
      <c r="N42" s="391">
        <f t="shared" si="11"/>
        <v>209458.21</v>
      </c>
    </row>
    <row r="43" spans="1:14">
      <c r="A43" s="1061">
        <f t="shared" si="1"/>
        <v>29</v>
      </c>
      <c r="B43" s="403">
        <v>35400</v>
      </c>
      <c r="C43" s="4" t="s">
        <v>607</v>
      </c>
      <c r="D43" s="414">
        <v>923446.05</v>
      </c>
      <c r="E43" s="578">
        <v>0</v>
      </c>
      <c r="F43" s="578">
        <f t="shared" si="7"/>
        <v>923446.05</v>
      </c>
      <c r="G43" s="620">
        <f t="shared" si="8"/>
        <v>1</v>
      </c>
      <c r="H43" s="620">
        <f t="shared" si="8"/>
        <v>1</v>
      </c>
      <c r="I43" s="578">
        <f t="shared" si="9"/>
        <v>923446.05</v>
      </c>
      <c r="J43" s="106"/>
      <c r="K43" s="414">
        <v>923446.05000000016</v>
      </c>
      <c r="L43" s="621">
        <f t="shared" si="10"/>
        <v>1</v>
      </c>
      <c r="M43" s="621">
        <f t="shared" si="10"/>
        <v>1</v>
      </c>
      <c r="N43" s="391">
        <f t="shared" si="11"/>
        <v>923446.05000000016</v>
      </c>
    </row>
    <row r="44" spans="1:14">
      <c r="A44" s="1061">
        <f t="shared" si="1"/>
        <v>30</v>
      </c>
      <c r="B44" s="403">
        <v>35500</v>
      </c>
      <c r="C44" s="4" t="s">
        <v>1011</v>
      </c>
      <c r="D44" s="414">
        <v>240883.03</v>
      </c>
      <c r="E44" s="578">
        <v>0</v>
      </c>
      <c r="F44" s="578">
        <f t="shared" si="7"/>
        <v>240883.03</v>
      </c>
      <c r="G44" s="620">
        <f t="shared" si="8"/>
        <v>1</v>
      </c>
      <c r="H44" s="620">
        <f t="shared" si="8"/>
        <v>1</v>
      </c>
      <c r="I44" s="578">
        <f t="shared" si="9"/>
        <v>240883.03</v>
      </c>
      <c r="J44" s="106"/>
      <c r="K44" s="414">
        <v>240883.02999999994</v>
      </c>
      <c r="L44" s="621">
        <f t="shared" si="10"/>
        <v>1</v>
      </c>
      <c r="M44" s="621">
        <f t="shared" si="10"/>
        <v>1</v>
      </c>
      <c r="N44" s="391">
        <f t="shared" si="11"/>
        <v>240883.02999999994</v>
      </c>
    </row>
    <row r="45" spans="1:14">
      <c r="A45" s="1061">
        <f t="shared" si="1"/>
        <v>31</v>
      </c>
      <c r="B45" s="403">
        <v>35600</v>
      </c>
      <c r="C45" s="4" t="s">
        <v>1060</v>
      </c>
      <c r="D45" s="414">
        <v>414663.45</v>
      </c>
      <c r="E45" s="1141">
        <v>0</v>
      </c>
      <c r="F45" s="1141">
        <f t="shared" si="7"/>
        <v>414663.45</v>
      </c>
      <c r="G45" s="620">
        <f t="shared" si="8"/>
        <v>1</v>
      </c>
      <c r="H45" s="620">
        <f t="shared" si="8"/>
        <v>1</v>
      </c>
      <c r="I45" s="1141">
        <f t="shared" si="9"/>
        <v>414663.45</v>
      </c>
      <c r="J45" s="106"/>
      <c r="K45" s="414">
        <v>414663.45000000013</v>
      </c>
      <c r="L45" s="621">
        <f t="shared" si="10"/>
        <v>1</v>
      </c>
      <c r="M45" s="621">
        <f t="shared" si="10"/>
        <v>1</v>
      </c>
      <c r="N45" s="392">
        <f t="shared" si="11"/>
        <v>414663.45000000013</v>
      </c>
    </row>
    <row r="46" spans="1:14">
      <c r="A46" s="1061">
        <f t="shared" si="1"/>
        <v>32</v>
      </c>
      <c r="B46" s="421"/>
      <c r="C46" s="4"/>
      <c r="D46" s="809"/>
      <c r="E46" s="106"/>
      <c r="F46" s="106"/>
      <c r="G46" s="620"/>
      <c r="H46" s="620"/>
      <c r="I46" s="106"/>
      <c r="J46" s="106"/>
      <c r="K46" s="809"/>
    </row>
    <row r="47" spans="1:14">
      <c r="A47" s="1061">
        <f t="shared" si="1"/>
        <v>33</v>
      </c>
      <c r="B47" s="421"/>
      <c r="C47" s="4" t="s">
        <v>220</v>
      </c>
      <c r="D47" s="459">
        <f>SUM(D29:D46)</f>
        <v>16268116.521237325</v>
      </c>
      <c r="E47" s="445">
        <f>SUM(E29:E46)</f>
        <v>0</v>
      </c>
      <c r="F47" s="445">
        <f>SUM(F29:F46)</f>
        <v>16268116.521237325</v>
      </c>
      <c r="G47" s="620"/>
      <c r="H47" s="620"/>
      <c r="I47" s="445">
        <f>SUM(I29:I46)</f>
        <v>16268116.521237325</v>
      </c>
      <c r="J47" s="106"/>
      <c r="K47" s="459">
        <f>SUM(K29:K46)</f>
        <v>15683732.460830124</v>
      </c>
      <c r="N47" s="404">
        <f>SUM(N29:N46)</f>
        <v>15683732.460830124</v>
      </c>
    </row>
    <row r="48" spans="1:14">
      <c r="A48" s="1061">
        <f t="shared" si="1"/>
        <v>34</v>
      </c>
      <c r="B48" s="421"/>
      <c r="C48" s="4"/>
      <c r="D48" s="106"/>
      <c r="E48" s="106"/>
      <c r="F48" s="106"/>
      <c r="G48" s="620"/>
      <c r="H48" s="620"/>
      <c r="I48" s="106"/>
      <c r="J48" s="106"/>
      <c r="K48" s="106"/>
    </row>
    <row r="49" spans="1:14">
      <c r="A49" s="1061">
        <f t="shared" si="1"/>
        <v>35</v>
      </c>
      <c r="B49" s="421"/>
      <c r="C49" s="17" t="s">
        <v>1012</v>
      </c>
      <c r="D49" s="106"/>
      <c r="E49" s="106"/>
      <c r="F49" s="106"/>
      <c r="G49" s="620"/>
      <c r="H49" s="620"/>
      <c r="I49" s="106"/>
      <c r="J49" s="106"/>
      <c r="K49" s="106"/>
    </row>
    <row r="50" spans="1:14">
      <c r="A50" s="1061">
        <f t="shared" si="1"/>
        <v>36</v>
      </c>
      <c r="B50" s="403">
        <v>36510</v>
      </c>
      <c r="C50" s="4" t="s">
        <v>300</v>
      </c>
      <c r="D50" s="414">
        <v>26970.37</v>
      </c>
      <c r="E50" s="1138">
        <v>0</v>
      </c>
      <c r="F50" s="1138">
        <f t="shared" ref="F50:F57" si="12">D50+E50</f>
        <v>26970.37</v>
      </c>
      <c r="G50" s="620">
        <f t="shared" ref="G50:H57" si="13">$G$16</f>
        <v>1</v>
      </c>
      <c r="H50" s="620">
        <f t="shared" si="13"/>
        <v>1</v>
      </c>
      <c r="I50" s="459">
        <f t="shared" ref="I50:I57" si="14">F50*G50*H50</f>
        <v>26970.37</v>
      </c>
      <c r="J50" s="106"/>
      <c r="K50" s="414">
        <v>26970.37</v>
      </c>
      <c r="L50" s="621">
        <f t="shared" ref="L50:M57" si="15">$G$16</f>
        <v>1</v>
      </c>
      <c r="M50" s="621">
        <f t="shared" si="15"/>
        <v>1</v>
      </c>
      <c r="N50" s="386">
        <f t="shared" ref="N50:N57" si="16">K50*L50*M50</f>
        <v>26970.37</v>
      </c>
    </row>
    <row r="51" spans="1:14">
      <c r="A51" s="1061">
        <f t="shared" si="1"/>
        <v>37</v>
      </c>
      <c r="B51" s="403">
        <v>36520</v>
      </c>
      <c r="C51" s="4" t="s">
        <v>809</v>
      </c>
      <c r="D51" s="414">
        <v>867772</v>
      </c>
      <c r="E51" s="578">
        <v>0</v>
      </c>
      <c r="F51" s="578">
        <f t="shared" si="12"/>
        <v>867772</v>
      </c>
      <c r="G51" s="620">
        <f t="shared" si="13"/>
        <v>1</v>
      </c>
      <c r="H51" s="620">
        <f t="shared" si="13"/>
        <v>1</v>
      </c>
      <c r="I51" s="578">
        <f t="shared" si="14"/>
        <v>867772</v>
      </c>
      <c r="J51" s="106"/>
      <c r="K51" s="414">
        <v>867772</v>
      </c>
      <c r="L51" s="621">
        <f t="shared" si="15"/>
        <v>1</v>
      </c>
      <c r="M51" s="621">
        <f t="shared" si="15"/>
        <v>1</v>
      </c>
      <c r="N51" s="391">
        <f t="shared" si="16"/>
        <v>867772</v>
      </c>
    </row>
    <row r="52" spans="1:14">
      <c r="A52" s="1061">
        <f t="shared" si="1"/>
        <v>38</v>
      </c>
      <c r="B52" s="403">
        <v>36602</v>
      </c>
      <c r="C52" s="4" t="s">
        <v>874</v>
      </c>
      <c r="D52" s="414">
        <v>49001.72</v>
      </c>
      <c r="E52" s="578">
        <v>0</v>
      </c>
      <c r="F52" s="578">
        <f t="shared" si="12"/>
        <v>49001.72</v>
      </c>
      <c r="G52" s="620">
        <f t="shared" si="13"/>
        <v>1</v>
      </c>
      <c r="H52" s="620">
        <f t="shared" si="13"/>
        <v>1</v>
      </c>
      <c r="I52" s="578">
        <f t="shared" si="14"/>
        <v>49001.72</v>
      </c>
      <c r="J52" s="106"/>
      <c r="K52" s="414">
        <v>49001.719999999987</v>
      </c>
      <c r="L52" s="621">
        <f t="shared" si="15"/>
        <v>1</v>
      </c>
      <c r="M52" s="621">
        <f t="shared" si="15"/>
        <v>1</v>
      </c>
      <c r="N52" s="391">
        <f t="shared" si="16"/>
        <v>49001.719999999987</v>
      </c>
    </row>
    <row r="53" spans="1:14">
      <c r="A53" s="1061">
        <f t="shared" si="1"/>
        <v>39</v>
      </c>
      <c r="B53" s="403">
        <v>36603</v>
      </c>
      <c r="C53" s="4" t="s">
        <v>1013</v>
      </c>
      <c r="D53" s="414">
        <v>60826.29</v>
      </c>
      <c r="E53" s="578">
        <v>0</v>
      </c>
      <c r="F53" s="578">
        <f t="shared" si="12"/>
        <v>60826.29</v>
      </c>
      <c r="G53" s="620">
        <f t="shared" si="13"/>
        <v>1</v>
      </c>
      <c r="H53" s="620">
        <f t="shared" si="13"/>
        <v>1</v>
      </c>
      <c r="I53" s="578">
        <f t="shared" si="14"/>
        <v>60826.29</v>
      </c>
      <c r="J53" s="106"/>
      <c r="K53" s="414">
        <v>60826.290000000008</v>
      </c>
      <c r="L53" s="621">
        <f t="shared" si="15"/>
        <v>1</v>
      </c>
      <c r="M53" s="621">
        <f t="shared" si="15"/>
        <v>1</v>
      </c>
      <c r="N53" s="391">
        <f t="shared" si="16"/>
        <v>60826.290000000008</v>
      </c>
    </row>
    <row r="54" spans="1:14">
      <c r="A54" s="1061">
        <f t="shared" si="1"/>
        <v>40</v>
      </c>
      <c r="B54" s="403">
        <v>36700</v>
      </c>
      <c r="C54" s="4" t="s">
        <v>861</v>
      </c>
      <c r="D54" s="414">
        <v>185508.8</v>
      </c>
      <c r="E54" s="578">
        <v>0</v>
      </c>
      <c r="F54" s="578">
        <f t="shared" si="12"/>
        <v>185508.8</v>
      </c>
      <c r="G54" s="620">
        <f t="shared" si="13"/>
        <v>1</v>
      </c>
      <c r="H54" s="620">
        <f t="shared" si="13"/>
        <v>1</v>
      </c>
      <c r="I54" s="578">
        <f t="shared" si="14"/>
        <v>185508.8</v>
      </c>
      <c r="J54" s="106"/>
      <c r="K54" s="414">
        <v>185508.8</v>
      </c>
      <c r="L54" s="621">
        <f t="shared" si="15"/>
        <v>1</v>
      </c>
      <c r="M54" s="621">
        <f t="shared" si="15"/>
        <v>1</v>
      </c>
      <c r="N54" s="391">
        <f t="shared" si="16"/>
        <v>185508.8</v>
      </c>
    </row>
    <row r="55" spans="1:14">
      <c r="A55" s="1061">
        <f t="shared" si="1"/>
        <v>41</v>
      </c>
      <c r="B55" s="403">
        <v>36701</v>
      </c>
      <c r="C55" s="4" t="s">
        <v>16</v>
      </c>
      <c r="D55" s="414">
        <v>27762017.09</v>
      </c>
      <c r="E55" s="578">
        <v>0</v>
      </c>
      <c r="F55" s="578">
        <f t="shared" si="12"/>
        <v>27762017.09</v>
      </c>
      <c r="G55" s="620">
        <f t="shared" si="13"/>
        <v>1</v>
      </c>
      <c r="H55" s="620">
        <f t="shared" si="13"/>
        <v>1</v>
      </c>
      <c r="I55" s="578">
        <f t="shared" si="14"/>
        <v>27762017.09</v>
      </c>
      <c r="J55" s="106"/>
      <c r="K55" s="414">
        <v>27762017.089999992</v>
      </c>
      <c r="L55" s="621">
        <f t="shared" si="15"/>
        <v>1</v>
      </c>
      <c r="M55" s="621">
        <f t="shared" si="15"/>
        <v>1</v>
      </c>
      <c r="N55" s="391">
        <f t="shared" si="16"/>
        <v>27762017.089999992</v>
      </c>
    </row>
    <row r="56" spans="1:14">
      <c r="A56" s="1061">
        <f t="shared" si="1"/>
        <v>42</v>
      </c>
      <c r="B56" s="403">
        <v>36900</v>
      </c>
      <c r="C56" s="4" t="s">
        <v>1014</v>
      </c>
      <c r="D56" s="414">
        <v>615021.88</v>
      </c>
      <c r="E56" s="578">
        <v>0</v>
      </c>
      <c r="F56" s="578">
        <f t="shared" si="12"/>
        <v>615021.88</v>
      </c>
      <c r="G56" s="620">
        <f t="shared" si="13"/>
        <v>1</v>
      </c>
      <c r="H56" s="620">
        <f t="shared" si="13"/>
        <v>1</v>
      </c>
      <c r="I56" s="578">
        <f t="shared" si="14"/>
        <v>615021.88</v>
      </c>
      <c r="J56" s="106"/>
      <c r="K56" s="414">
        <v>615021.88</v>
      </c>
      <c r="L56" s="621">
        <f t="shared" si="15"/>
        <v>1</v>
      </c>
      <c r="M56" s="621">
        <f t="shared" si="15"/>
        <v>1</v>
      </c>
      <c r="N56" s="391">
        <f t="shared" si="16"/>
        <v>615021.88</v>
      </c>
    </row>
    <row r="57" spans="1:14">
      <c r="A57" s="1061">
        <f t="shared" si="1"/>
        <v>43</v>
      </c>
      <c r="B57" s="403">
        <v>36901</v>
      </c>
      <c r="C57" s="4" t="s">
        <v>1014</v>
      </c>
      <c r="D57" s="414">
        <v>2269871.41</v>
      </c>
      <c r="E57" s="1141">
        <v>0</v>
      </c>
      <c r="F57" s="1141">
        <f t="shared" si="12"/>
        <v>2269871.41</v>
      </c>
      <c r="G57" s="620">
        <f t="shared" si="13"/>
        <v>1</v>
      </c>
      <c r="H57" s="620">
        <f t="shared" si="13"/>
        <v>1</v>
      </c>
      <c r="I57" s="1141">
        <f t="shared" si="14"/>
        <v>2269871.41</v>
      </c>
      <c r="J57" s="106"/>
      <c r="K57" s="414">
        <v>2269871.41</v>
      </c>
      <c r="L57" s="621">
        <f t="shared" si="15"/>
        <v>1</v>
      </c>
      <c r="M57" s="621">
        <f t="shared" si="15"/>
        <v>1</v>
      </c>
      <c r="N57" s="392">
        <f t="shared" si="16"/>
        <v>2269871.41</v>
      </c>
    </row>
    <row r="58" spans="1:14">
      <c r="A58" s="1061">
        <f t="shared" si="1"/>
        <v>44</v>
      </c>
      <c r="B58" s="421"/>
      <c r="C58" s="4"/>
      <c r="D58" s="809"/>
      <c r="E58" s="106"/>
      <c r="F58" s="106"/>
      <c r="G58" s="620"/>
      <c r="H58" s="620"/>
      <c r="I58" s="106"/>
      <c r="J58" s="106"/>
      <c r="K58" s="809"/>
    </row>
    <row r="59" spans="1:14">
      <c r="A59" s="1061">
        <f t="shared" si="1"/>
        <v>45</v>
      </c>
      <c r="B59" s="421"/>
      <c r="C59" s="4" t="s">
        <v>1404</v>
      </c>
      <c r="D59" s="459">
        <f>SUM(D50:D58)</f>
        <v>31836989.559999999</v>
      </c>
      <c r="E59" s="445">
        <f>SUM(E50:E58)</f>
        <v>0</v>
      </c>
      <c r="F59" s="459">
        <f>SUM(F50:F58)</f>
        <v>31836989.559999999</v>
      </c>
      <c r="G59" s="620"/>
      <c r="H59" s="620"/>
      <c r="I59" s="459">
        <f>SUM(I50:I58)</f>
        <v>31836989.559999999</v>
      </c>
      <c r="J59" s="106"/>
      <c r="K59" s="459">
        <f>SUM(K50:K58)</f>
        <v>31836989.559999991</v>
      </c>
      <c r="N59" s="404">
        <f>SUM(N50:N58)</f>
        <v>31836989.559999991</v>
      </c>
    </row>
    <row r="60" spans="1:14">
      <c r="A60" s="1061">
        <f t="shared" si="1"/>
        <v>46</v>
      </c>
      <c r="B60" s="421"/>
      <c r="C60" s="1"/>
      <c r="D60" s="106"/>
      <c r="E60" s="106"/>
      <c r="F60" s="106"/>
      <c r="G60" s="620"/>
      <c r="H60" s="620"/>
      <c r="I60" s="106"/>
      <c r="J60" s="106"/>
      <c r="K60" s="106"/>
    </row>
    <row r="61" spans="1:14">
      <c r="A61" s="1061">
        <f t="shared" si="1"/>
        <v>47</v>
      </c>
      <c r="B61" s="421"/>
      <c r="C61" s="17" t="s">
        <v>307</v>
      </c>
      <c r="D61" s="106"/>
      <c r="E61" s="106"/>
      <c r="F61" s="106"/>
      <c r="G61" s="620"/>
      <c r="H61" s="620"/>
      <c r="I61" s="106"/>
      <c r="J61" s="106"/>
      <c r="K61" s="106"/>
    </row>
    <row r="62" spans="1:14">
      <c r="A62" s="1061">
        <f t="shared" si="1"/>
        <v>48</v>
      </c>
      <c r="B62" s="403">
        <v>37400</v>
      </c>
      <c r="C62" s="4" t="s">
        <v>1168</v>
      </c>
      <c r="D62" s="414">
        <v>531166.79</v>
      </c>
      <c r="E62" s="1138">
        <v>0</v>
      </c>
      <c r="F62" s="1138">
        <f t="shared" ref="F62:F81" si="17">D62+E62</f>
        <v>531166.79</v>
      </c>
      <c r="G62" s="620">
        <f t="shared" ref="G62:H81" si="18">$G$16</f>
        <v>1</v>
      </c>
      <c r="H62" s="620">
        <f t="shared" si="18"/>
        <v>1</v>
      </c>
      <c r="I62" s="459">
        <f t="shared" ref="I62:I81" si="19">F62*G62*H62</f>
        <v>531166.79</v>
      </c>
      <c r="J62" s="106"/>
      <c r="K62" s="414">
        <v>531166.79</v>
      </c>
      <c r="L62" s="621">
        <f t="shared" ref="L62:M81" si="20">$G$16</f>
        <v>1</v>
      </c>
      <c r="M62" s="621">
        <f t="shared" si="20"/>
        <v>1</v>
      </c>
      <c r="N62" s="386">
        <f t="shared" ref="N62:N81" si="21">K62*L62*M62</f>
        <v>531166.79</v>
      </c>
    </row>
    <row r="63" spans="1:14">
      <c r="A63" s="1061">
        <f t="shared" si="1"/>
        <v>49</v>
      </c>
      <c r="B63" s="403">
        <v>37401</v>
      </c>
      <c r="C63" s="4" t="s">
        <v>300</v>
      </c>
      <c r="D63" s="414">
        <v>37326.42</v>
      </c>
      <c r="E63" s="578">
        <v>0</v>
      </c>
      <c r="F63" s="578">
        <f t="shared" si="17"/>
        <v>37326.42</v>
      </c>
      <c r="G63" s="620">
        <f t="shared" si="18"/>
        <v>1</v>
      </c>
      <c r="H63" s="620">
        <f t="shared" si="18"/>
        <v>1</v>
      </c>
      <c r="I63" s="578">
        <f t="shared" si="19"/>
        <v>37326.42</v>
      </c>
      <c r="J63" s="106"/>
      <c r="K63" s="414">
        <v>37326.419999999991</v>
      </c>
      <c r="L63" s="621">
        <f t="shared" si="20"/>
        <v>1</v>
      </c>
      <c r="M63" s="621">
        <f t="shared" si="20"/>
        <v>1</v>
      </c>
      <c r="N63" s="391">
        <f t="shared" si="21"/>
        <v>37326.419999999991</v>
      </c>
    </row>
    <row r="64" spans="1:14">
      <c r="A64" s="1061">
        <f t="shared" si="1"/>
        <v>50</v>
      </c>
      <c r="B64" s="403">
        <v>37402</v>
      </c>
      <c r="C64" s="4" t="s">
        <v>1018</v>
      </c>
      <c r="D64" s="414">
        <v>1512923.1275792017</v>
      </c>
      <c r="E64" s="578">
        <v>0</v>
      </c>
      <c r="F64" s="578">
        <f t="shared" si="17"/>
        <v>1512923.1275792017</v>
      </c>
      <c r="G64" s="620">
        <f t="shared" si="18"/>
        <v>1</v>
      </c>
      <c r="H64" s="620">
        <f t="shared" si="18"/>
        <v>1</v>
      </c>
      <c r="I64" s="578">
        <f t="shared" si="19"/>
        <v>1512923.1275792017</v>
      </c>
      <c r="J64" s="106"/>
      <c r="K64" s="414">
        <v>1508789.9783511746</v>
      </c>
      <c r="L64" s="621">
        <f t="shared" si="20"/>
        <v>1</v>
      </c>
      <c r="M64" s="621">
        <f t="shared" si="20"/>
        <v>1</v>
      </c>
      <c r="N64" s="391">
        <f t="shared" si="21"/>
        <v>1508789.9783511746</v>
      </c>
    </row>
    <row r="65" spans="1:14">
      <c r="A65" s="1061">
        <f t="shared" si="1"/>
        <v>51</v>
      </c>
      <c r="B65" s="403">
        <v>37403</v>
      </c>
      <c r="C65" s="4" t="s">
        <v>1015</v>
      </c>
      <c r="D65" s="414">
        <v>2783.89</v>
      </c>
      <c r="E65" s="578">
        <v>0</v>
      </c>
      <c r="F65" s="578">
        <f t="shared" si="17"/>
        <v>2783.89</v>
      </c>
      <c r="G65" s="620">
        <f t="shared" si="18"/>
        <v>1</v>
      </c>
      <c r="H65" s="620">
        <f t="shared" si="18"/>
        <v>1</v>
      </c>
      <c r="I65" s="578">
        <f t="shared" si="19"/>
        <v>2783.89</v>
      </c>
      <c r="J65" s="106"/>
      <c r="K65" s="414">
        <v>2783.89</v>
      </c>
      <c r="L65" s="621">
        <f t="shared" si="20"/>
        <v>1</v>
      </c>
      <c r="M65" s="621">
        <f t="shared" si="20"/>
        <v>1</v>
      </c>
      <c r="N65" s="391">
        <f t="shared" si="21"/>
        <v>2783.89</v>
      </c>
    </row>
    <row r="66" spans="1:14">
      <c r="A66" s="1061">
        <f t="shared" si="1"/>
        <v>52</v>
      </c>
      <c r="B66" s="403">
        <v>37500</v>
      </c>
      <c r="C66" s="4" t="s">
        <v>874</v>
      </c>
      <c r="D66" s="414">
        <v>336167.54</v>
      </c>
      <c r="E66" s="578">
        <v>0</v>
      </c>
      <c r="F66" s="578">
        <f t="shared" si="17"/>
        <v>336167.54</v>
      </c>
      <c r="G66" s="620">
        <f t="shared" si="18"/>
        <v>1</v>
      </c>
      <c r="H66" s="620">
        <f t="shared" si="18"/>
        <v>1</v>
      </c>
      <c r="I66" s="578">
        <f t="shared" si="19"/>
        <v>336167.54</v>
      </c>
      <c r="J66" s="106"/>
      <c r="K66" s="414">
        <v>336167.54</v>
      </c>
      <c r="L66" s="621">
        <f t="shared" si="20"/>
        <v>1</v>
      </c>
      <c r="M66" s="621">
        <f t="shared" si="20"/>
        <v>1</v>
      </c>
      <c r="N66" s="391">
        <f t="shared" si="21"/>
        <v>336167.54</v>
      </c>
    </row>
    <row r="67" spans="1:14">
      <c r="A67" s="1061">
        <f t="shared" si="1"/>
        <v>53</v>
      </c>
      <c r="B67" s="403">
        <v>37501</v>
      </c>
      <c r="C67" s="4" t="s">
        <v>1016</v>
      </c>
      <c r="D67" s="414">
        <v>99818.13</v>
      </c>
      <c r="E67" s="578">
        <v>0</v>
      </c>
      <c r="F67" s="578">
        <f t="shared" si="17"/>
        <v>99818.13</v>
      </c>
      <c r="G67" s="620">
        <f t="shared" si="18"/>
        <v>1</v>
      </c>
      <c r="H67" s="620">
        <f t="shared" si="18"/>
        <v>1</v>
      </c>
      <c r="I67" s="578">
        <f t="shared" si="19"/>
        <v>99818.13</v>
      </c>
      <c r="J67" s="106"/>
      <c r="K67" s="414">
        <v>99818.12999999999</v>
      </c>
      <c r="L67" s="621">
        <f t="shared" si="20"/>
        <v>1</v>
      </c>
      <c r="M67" s="621">
        <f t="shared" si="20"/>
        <v>1</v>
      </c>
      <c r="N67" s="391">
        <f t="shared" si="21"/>
        <v>99818.12999999999</v>
      </c>
    </row>
    <row r="68" spans="1:14">
      <c r="A68" s="1061">
        <f t="shared" si="1"/>
        <v>54</v>
      </c>
      <c r="B68" s="403">
        <v>37502</v>
      </c>
      <c r="C68" s="4" t="s">
        <v>1018</v>
      </c>
      <c r="D68" s="414">
        <v>46264.19</v>
      </c>
      <c r="E68" s="578">
        <v>0</v>
      </c>
      <c r="F68" s="578">
        <f t="shared" si="17"/>
        <v>46264.19</v>
      </c>
      <c r="G68" s="620">
        <f t="shared" si="18"/>
        <v>1</v>
      </c>
      <c r="H68" s="620">
        <f t="shared" si="18"/>
        <v>1</v>
      </c>
      <c r="I68" s="578">
        <f t="shared" si="19"/>
        <v>46264.19</v>
      </c>
      <c r="J68" s="106"/>
      <c r="K68" s="414">
        <v>46264.189999999995</v>
      </c>
      <c r="L68" s="621">
        <f t="shared" si="20"/>
        <v>1</v>
      </c>
      <c r="M68" s="621">
        <f t="shared" si="20"/>
        <v>1</v>
      </c>
      <c r="N68" s="391">
        <f t="shared" si="21"/>
        <v>46264.189999999995</v>
      </c>
    </row>
    <row r="69" spans="1:14">
      <c r="A69" s="1061">
        <f t="shared" si="1"/>
        <v>55</v>
      </c>
      <c r="B69" s="403">
        <v>37503</v>
      </c>
      <c r="C69" s="4" t="s">
        <v>1017</v>
      </c>
      <c r="D69" s="414">
        <v>4005.08</v>
      </c>
      <c r="E69" s="578">
        <v>0</v>
      </c>
      <c r="F69" s="578">
        <f t="shared" si="17"/>
        <v>4005.08</v>
      </c>
      <c r="G69" s="620">
        <f t="shared" si="18"/>
        <v>1</v>
      </c>
      <c r="H69" s="620">
        <f t="shared" si="18"/>
        <v>1</v>
      </c>
      <c r="I69" s="578">
        <f t="shared" si="19"/>
        <v>4005.08</v>
      </c>
      <c r="J69" s="106"/>
      <c r="K69" s="414">
        <v>4005.0800000000013</v>
      </c>
      <c r="L69" s="621">
        <f t="shared" si="20"/>
        <v>1</v>
      </c>
      <c r="M69" s="621">
        <f t="shared" si="20"/>
        <v>1</v>
      </c>
      <c r="N69" s="391">
        <f t="shared" si="21"/>
        <v>4005.0800000000013</v>
      </c>
    </row>
    <row r="70" spans="1:14">
      <c r="A70" s="1061">
        <f t="shared" si="1"/>
        <v>56</v>
      </c>
      <c r="B70" s="403">
        <v>37600</v>
      </c>
      <c r="C70" s="4" t="s">
        <v>861</v>
      </c>
      <c r="D70" s="414">
        <v>19851936.127854101</v>
      </c>
      <c r="E70" s="578">
        <v>0</v>
      </c>
      <c r="F70" s="578">
        <f t="shared" si="17"/>
        <v>19851936.127854101</v>
      </c>
      <c r="G70" s="620">
        <f t="shared" si="18"/>
        <v>1</v>
      </c>
      <c r="H70" s="620">
        <f t="shared" si="18"/>
        <v>1</v>
      </c>
      <c r="I70" s="578">
        <f t="shared" si="19"/>
        <v>19851936.127854101</v>
      </c>
      <c r="J70" s="106"/>
      <c r="K70" s="414">
        <v>20013608.051776387</v>
      </c>
      <c r="L70" s="621">
        <f t="shared" si="20"/>
        <v>1</v>
      </c>
      <c r="M70" s="621">
        <f t="shared" si="20"/>
        <v>1</v>
      </c>
      <c r="N70" s="391">
        <f t="shared" si="21"/>
        <v>20013608.051776387</v>
      </c>
    </row>
    <row r="71" spans="1:14">
      <c r="A71" s="1061">
        <f t="shared" si="1"/>
        <v>57</v>
      </c>
      <c r="B71" s="403">
        <v>37601</v>
      </c>
      <c r="C71" s="4" t="s">
        <v>16</v>
      </c>
      <c r="D71" s="414">
        <v>115243656.35638624</v>
      </c>
      <c r="E71" s="578">
        <v>0</v>
      </c>
      <c r="F71" s="578">
        <f t="shared" si="17"/>
        <v>115243656.35638624</v>
      </c>
      <c r="G71" s="620">
        <f t="shared" si="18"/>
        <v>1</v>
      </c>
      <c r="H71" s="620">
        <f t="shared" si="18"/>
        <v>1</v>
      </c>
      <c r="I71" s="578">
        <f t="shared" si="19"/>
        <v>115243656.35638624</v>
      </c>
      <c r="J71" s="106"/>
      <c r="K71" s="414">
        <v>112254928.57763277</v>
      </c>
      <c r="L71" s="621">
        <f t="shared" si="20"/>
        <v>1</v>
      </c>
      <c r="M71" s="621">
        <f t="shared" si="20"/>
        <v>1</v>
      </c>
      <c r="N71" s="391">
        <f t="shared" si="21"/>
        <v>112254928.57763277</v>
      </c>
    </row>
    <row r="72" spans="1:14">
      <c r="A72" s="1061">
        <f t="shared" si="1"/>
        <v>58</v>
      </c>
      <c r="B72" s="403">
        <v>37602</v>
      </c>
      <c r="C72" s="4" t="s">
        <v>862</v>
      </c>
      <c r="D72" s="414">
        <v>102941718.13203225</v>
      </c>
      <c r="E72" s="578">
        <v>0</v>
      </c>
      <c r="F72" s="578">
        <f t="shared" si="17"/>
        <v>102941718.13203225</v>
      </c>
      <c r="G72" s="620">
        <f t="shared" si="18"/>
        <v>1</v>
      </c>
      <c r="H72" s="620">
        <f t="shared" si="18"/>
        <v>1</v>
      </c>
      <c r="I72" s="578">
        <f t="shared" si="19"/>
        <v>102941718.13203225</v>
      </c>
      <c r="J72" s="106"/>
      <c r="K72" s="414">
        <v>96957375.739566952</v>
      </c>
      <c r="L72" s="621">
        <f t="shared" si="20"/>
        <v>1</v>
      </c>
      <c r="M72" s="621">
        <f t="shared" si="20"/>
        <v>1</v>
      </c>
      <c r="N72" s="391">
        <f t="shared" si="21"/>
        <v>96957375.739566952</v>
      </c>
    </row>
    <row r="73" spans="1:14">
      <c r="A73" s="1061">
        <f t="shared" si="1"/>
        <v>59</v>
      </c>
      <c r="B73" s="403">
        <v>37800</v>
      </c>
      <c r="C73" s="4" t="s">
        <v>234</v>
      </c>
      <c r="D73" s="414">
        <v>7676734.4512174474</v>
      </c>
      <c r="E73" s="578">
        <v>0</v>
      </c>
      <c r="F73" s="578">
        <f t="shared" si="17"/>
        <v>7676734.4512174474</v>
      </c>
      <c r="G73" s="620">
        <f t="shared" si="18"/>
        <v>1</v>
      </c>
      <c r="H73" s="620">
        <f t="shared" si="18"/>
        <v>1</v>
      </c>
      <c r="I73" s="578">
        <f t="shared" si="19"/>
        <v>7676734.4512174474</v>
      </c>
      <c r="J73" s="106"/>
      <c r="K73" s="414">
        <v>7455218.168403713</v>
      </c>
      <c r="L73" s="621">
        <f t="shared" si="20"/>
        <v>1</v>
      </c>
      <c r="M73" s="621">
        <f t="shared" si="20"/>
        <v>1</v>
      </c>
      <c r="N73" s="391">
        <f t="shared" si="21"/>
        <v>7455218.168403713</v>
      </c>
    </row>
    <row r="74" spans="1:14">
      <c r="A74" s="1061">
        <f t="shared" si="1"/>
        <v>60</v>
      </c>
      <c r="B74" s="403">
        <v>37900</v>
      </c>
      <c r="C74" s="4" t="s">
        <v>1211</v>
      </c>
      <c r="D74" s="414">
        <v>3226534.3593070898</v>
      </c>
      <c r="E74" s="578">
        <v>0</v>
      </c>
      <c r="F74" s="578">
        <f t="shared" si="17"/>
        <v>3226534.3593070898</v>
      </c>
      <c r="G74" s="620">
        <f t="shared" si="18"/>
        <v>1</v>
      </c>
      <c r="H74" s="620">
        <f t="shared" si="18"/>
        <v>1</v>
      </c>
      <c r="I74" s="578">
        <f t="shared" si="19"/>
        <v>3226534.3593070898</v>
      </c>
      <c r="J74" s="106"/>
      <c r="K74" s="414">
        <v>3149215.6829671138</v>
      </c>
      <c r="L74" s="621">
        <f t="shared" si="20"/>
        <v>1</v>
      </c>
      <c r="M74" s="621">
        <f t="shared" si="20"/>
        <v>1</v>
      </c>
      <c r="N74" s="391">
        <f t="shared" si="21"/>
        <v>3149215.6829671138</v>
      </c>
    </row>
    <row r="75" spans="1:14">
      <c r="A75" s="1061">
        <f t="shared" si="1"/>
        <v>61</v>
      </c>
      <c r="B75" s="403">
        <v>37905</v>
      </c>
      <c r="C75" s="4" t="s">
        <v>742</v>
      </c>
      <c r="D75" s="414">
        <v>1393820.61</v>
      </c>
      <c r="E75" s="578">
        <v>0</v>
      </c>
      <c r="F75" s="578">
        <f t="shared" si="17"/>
        <v>1393820.61</v>
      </c>
      <c r="G75" s="620">
        <f t="shared" si="18"/>
        <v>1</v>
      </c>
      <c r="H75" s="620">
        <f t="shared" si="18"/>
        <v>1</v>
      </c>
      <c r="I75" s="578">
        <f t="shared" si="19"/>
        <v>1393820.61</v>
      </c>
      <c r="J75" s="106"/>
      <c r="K75" s="414">
        <v>1393820.6099999999</v>
      </c>
      <c r="L75" s="621">
        <f t="shared" si="20"/>
        <v>1</v>
      </c>
      <c r="M75" s="621">
        <f t="shared" si="20"/>
        <v>1</v>
      </c>
      <c r="N75" s="391">
        <f t="shared" si="21"/>
        <v>1393820.6099999999</v>
      </c>
    </row>
    <row r="76" spans="1:14">
      <c r="A76" s="1061">
        <f t="shared" si="1"/>
        <v>62</v>
      </c>
      <c r="B76" s="403">
        <v>38000</v>
      </c>
      <c r="C76" s="4" t="s">
        <v>1072</v>
      </c>
      <c r="D76" s="414">
        <v>120887154.71300758</v>
      </c>
      <c r="E76" s="578">
        <v>0</v>
      </c>
      <c r="F76" s="578">
        <f t="shared" si="17"/>
        <v>120887154.71300758</v>
      </c>
      <c r="G76" s="620">
        <f t="shared" si="18"/>
        <v>1</v>
      </c>
      <c r="H76" s="620">
        <f t="shared" si="18"/>
        <v>1</v>
      </c>
      <c r="I76" s="578">
        <f t="shared" si="19"/>
        <v>120887154.71300758</v>
      </c>
      <c r="J76" s="106"/>
      <c r="K76" s="414">
        <v>118106406.31006402</v>
      </c>
      <c r="L76" s="621">
        <f t="shared" si="20"/>
        <v>1</v>
      </c>
      <c r="M76" s="621">
        <f t="shared" si="20"/>
        <v>1</v>
      </c>
      <c r="N76" s="391">
        <f t="shared" si="21"/>
        <v>118106406.31006402</v>
      </c>
    </row>
    <row r="77" spans="1:14">
      <c r="A77" s="1061">
        <f t="shared" si="1"/>
        <v>63</v>
      </c>
      <c r="B77" s="403">
        <v>38100</v>
      </c>
      <c r="C77" s="4" t="s">
        <v>863</v>
      </c>
      <c r="D77" s="414">
        <v>36601857.641466372</v>
      </c>
      <c r="E77" s="578">
        <v>0</v>
      </c>
      <c r="F77" s="578">
        <f t="shared" si="17"/>
        <v>36601857.641466372</v>
      </c>
      <c r="G77" s="620">
        <f t="shared" si="18"/>
        <v>1</v>
      </c>
      <c r="H77" s="620">
        <f t="shared" si="18"/>
        <v>1</v>
      </c>
      <c r="I77" s="578">
        <f t="shared" si="19"/>
        <v>36601857.641466372</v>
      </c>
      <c r="J77" s="106"/>
      <c r="K77" s="414">
        <v>34622185.768570453</v>
      </c>
      <c r="L77" s="621">
        <f t="shared" si="20"/>
        <v>1</v>
      </c>
      <c r="M77" s="621">
        <f t="shared" si="20"/>
        <v>1</v>
      </c>
      <c r="N77" s="391">
        <f t="shared" si="21"/>
        <v>34622185.768570453</v>
      </c>
    </row>
    <row r="78" spans="1:14">
      <c r="A78" s="1061">
        <f t="shared" si="1"/>
        <v>64</v>
      </c>
      <c r="B78" s="403">
        <v>38200</v>
      </c>
      <c r="C78" s="4" t="s">
        <v>456</v>
      </c>
      <c r="D78" s="414">
        <v>51902559.866343148</v>
      </c>
      <c r="E78" s="578">
        <v>0</v>
      </c>
      <c r="F78" s="578">
        <f t="shared" si="17"/>
        <v>51902559.866343148</v>
      </c>
      <c r="G78" s="620">
        <f t="shared" si="18"/>
        <v>1</v>
      </c>
      <c r="H78" s="620">
        <f t="shared" si="18"/>
        <v>1</v>
      </c>
      <c r="I78" s="578">
        <f t="shared" si="19"/>
        <v>51902559.866343148</v>
      </c>
      <c r="J78" s="106"/>
      <c r="K78" s="414">
        <v>51622932.758045681</v>
      </c>
      <c r="L78" s="621">
        <f t="shared" si="20"/>
        <v>1</v>
      </c>
      <c r="M78" s="621">
        <f t="shared" si="20"/>
        <v>1</v>
      </c>
      <c r="N78" s="391">
        <f t="shared" si="21"/>
        <v>51622932.758045681</v>
      </c>
    </row>
    <row r="79" spans="1:14">
      <c r="A79" s="1061">
        <f t="shared" si="1"/>
        <v>65</v>
      </c>
      <c r="B79" s="403">
        <v>38300</v>
      </c>
      <c r="C79" s="4" t="s">
        <v>1073</v>
      </c>
      <c r="D79" s="414">
        <v>8499937.9098713286</v>
      </c>
      <c r="E79" s="578">
        <v>0</v>
      </c>
      <c r="F79" s="578">
        <f t="shared" si="17"/>
        <v>8499937.9098713286</v>
      </c>
      <c r="G79" s="620">
        <f t="shared" si="18"/>
        <v>1</v>
      </c>
      <c r="H79" s="620">
        <f t="shared" si="18"/>
        <v>1</v>
      </c>
      <c r="I79" s="578">
        <f t="shared" si="19"/>
        <v>8499937.9098713286</v>
      </c>
      <c r="J79" s="106"/>
      <c r="K79" s="414">
        <v>8422699.8366987836</v>
      </c>
      <c r="L79" s="621">
        <f t="shared" si="20"/>
        <v>1</v>
      </c>
      <c r="M79" s="621">
        <f t="shared" si="20"/>
        <v>1</v>
      </c>
      <c r="N79" s="391">
        <f t="shared" si="21"/>
        <v>8422699.8366987836</v>
      </c>
    </row>
    <row r="80" spans="1:14">
      <c r="A80" s="1061">
        <f t="shared" si="1"/>
        <v>66</v>
      </c>
      <c r="B80" s="403">
        <v>38400</v>
      </c>
      <c r="C80" s="4" t="s">
        <v>457</v>
      </c>
      <c r="D80" s="414">
        <v>154276.35999999999</v>
      </c>
      <c r="E80" s="578">
        <v>0</v>
      </c>
      <c r="F80" s="578">
        <f t="shared" si="17"/>
        <v>154276.35999999999</v>
      </c>
      <c r="G80" s="620">
        <f t="shared" si="18"/>
        <v>1</v>
      </c>
      <c r="H80" s="620">
        <f t="shared" si="18"/>
        <v>1</v>
      </c>
      <c r="I80" s="578">
        <f t="shared" si="19"/>
        <v>154276.35999999999</v>
      </c>
      <c r="J80" s="106"/>
      <c r="K80" s="414">
        <v>154276.35999999993</v>
      </c>
      <c r="L80" s="621">
        <f t="shared" si="20"/>
        <v>1</v>
      </c>
      <c r="M80" s="621">
        <f t="shared" si="20"/>
        <v>1</v>
      </c>
      <c r="N80" s="391">
        <f t="shared" si="21"/>
        <v>154276.35999999993</v>
      </c>
    </row>
    <row r="81" spans="1:14">
      <c r="A81" s="1061">
        <f t="shared" ref="A81:A144" si="22">A80+1</f>
        <v>67</v>
      </c>
      <c r="B81" s="403">
        <v>38500</v>
      </c>
      <c r="C81" s="4" t="s">
        <v>458</v>
      </c>
      <c r="D81" s="414">
        <v>5471655.884870314</v>
      </c>
      <c r="E81" s="578">
        <v>0</v>
      </c>
      <c r="F81" s="578">
        <f t="shared" si="17"/>
        <v>5471655.884870314</v>
      </c>
      <c r="G81" s="620">
        <f t="shared" si="18"/>
        <v>1</v>
      </c>
      <c r="H81" s="620">
        <f t="shared" si="18"/>
        <v>1</v>
      </c>
      <c r="I81" s="578">
        <f t="shared" si="19"/>
        <v>5471655.884870314</v>
      </c>
      <c r="J81" s="106"/>
      <c r="K81" s="414">
        <v>5432526.9593107468</v>
      </c>
      <c r="L81" s="621">
        <f t="shared" si="20"/>
        <v>1</v>
      </c>
      <c r="M81" s="621">
        <f t="shared" si="20"/>
        <v>1</v>
      </c>
      <c r="N81" s="391">
        <f t="shared" si="21"/>
        <v>5432526.9593107468</v>
      </c>
    </row>
    <row r="82" spans="1:14">
      <c r="A82" s="1061">
        <f t="shared" si="22"/>
        <v>68</v>
      </c>
      <c r="B82" s="421"/>
      <c r="C82" s="4"/>
      <c r="D82" s="809"/>
      <c r="E82" s="809"/>
      <c r="F82" s="809"/>
      <c r="G82" s="620"/>
      <c r="H82" s="620"/>
      <c r="I82" s="809"/>
      <c r="J82" s="106"/>
      <c r="K82" s="809"/>
      <c r="N82" s="786"/>
    </row>
    <row r="83" spans="1:14">
      <c r="A83" s="1061">
        <f t="shared" si="22"/>
        <v>69</v>
      </c>
      <c r="B83" s="421"/>
      <c r="C83" s="4" t="s">
        <v>308</v>
      </c>
      <c r="D83" s="459">
        <f>SUM(D62:D82)</f>
        <v>476422297.57993507</v>
      </c>
      <c r="E83" s="445">
        <f>SUM(E62:E82)</f>
        <v>0</v>
      </c>
      <c r="F83" s="459">
        <f>SUM(F62:F82)</f>
        <v>476422297.57993507</v>
      </c>
      <c r="G83" s="620"/>
      <c r="H83" s="620"/>
      <c r="I83" s="459">
        <f>SUM(I62:I82)</f>
        <v>476422297.57993507</v>
      </c>
      <c r="J83" s="106"/>
      <c r="K83" s="459">
        <f>SUM(K62:K82)</f>
        <v>462151516.84138787</v>
      </c>
      <c r="N83" s="404">
        <f>SUM(N62:N82)</f>
        <v>462151516.84138787</v>
      </c>
    </row>
    <row r="84" spans="1:14">
      <c r="A84" s="1061">
        <f t="shared" si="22"/>
        <v>70</v>
      </c>
      <c r="B84" s="421"/>
      <c r="C84" s="4"/>
      <c r="D84" s="106"/>
      <c r="E84" s="106"/>
      <c r="F84" s="106"/>
      <c r="G84" s="620"/>
      <c r="H84" s="620"/>
      <c r="I84" s="106"/>
      <c r="J84" s="106"/>
      <c r="K84" s="106"/>
    </row>
    <row r="85" spans="1:14">
      <c r="A85" s="1061">
        <f t="shared" si="22"/>
        <v>71</v>
      </c>
      <c r="B85" s="421"/>
      <c r="C85" s="17" t="s">
        <v>309</v>
      </c>
      <c r="D85" s="106"/>
      <c r="E85" s="106"/>
      <c r="F85" s="106"/>
      <c r="G85" s="620"/>
      <c r="H85" s="620"/>
      <c r="I85" s="106"/>
      <c r="J85" s="106"/>
      <c r="K85" s="106"/>
    </row>
    <row r="86" spans="1:14">
      <c r="A86" s="1061">
        <f t="shared" si="22"/>
        <v>72</v>
      </c>
      <c r="B86" s="403">
        <v>38900</v>
      </c>
      <c r="C86" s="4" t="s">
        <v>1168</v>
      </c>
      <c r="D86" s="414">
        <v>1027349.7</v>
      </c>
      <c r="E86" s="1138">
        <v>0</v>
      </c>
      <c r="F86" s="1138">
        <f t="shared" ref="F86:F105" si="23">D86+E86</f>
        <v>1027349.7</v>
      </c>
      <c r="G86" s="620">
        <f t="shared" ref="G86:H99" si="24">$G$16</f>
        <v>1</v>
      </c>
      <c r="H86" s="620">
        <f t="shared" si="24"/>
        <v>1</v>
      </c>
      <c r="I86" s="459">
        <f t="shared" ref="I86:I105" si="25">F86*G86*H86</f>
        <v>1027349.7</v>
      </c>
      <c r="J86" s="106"/>
      <c r="K86" s="414">
        <v>1027349.6999999998</v>
      </c>
      <c r="L86" s="621">
        <f>$G$16</f>
        <v>1</v>
      </c>
      <c r="M86" s="621">
        <f>$G$16</f>
        <v>1</v>
      </c>
      <c r="N86" s="386">
        <f>K86*L86*M86</f>
        <v>1027349.6999999998</v>
      </c>
    </row>
    <row r="87" spans="1:14">
      <c r="A87" s="1061">
        <f t="shared" si="22"/>
        <v>73</v>
      </c>
      <c r="B87" s="403">
        <v>39000</v>
      </c>
      <c r="C87" s="4" t="s">
        <v>874</v>
      </c>
      <c r="D87" s="414">
        <v>5383328.0007365234</v>
      </c>
      <c r="E87" s="578">
        <v>0</v>
      </c>
      <c r="F87" s="578">
        <f t="shared" si="23"/>
        <v>5383328.0007365234</v>
      </c>
      <c r="G87" s="620">
        <f t="shared" si="24"/>
        <v>1</v>
      </c>
      <c r="H87" s="620">
        <f t="shared" si="24"/>
        <v>1</v>
      </c>
      <c r="I87" s="578">
        <f t="shared" si="25"/>
        <v>5383328.0007365234</v>
      </c>
      <c r="J87" s="106"/>
      <c r="K87" s="414">
        <v>5230166.7904300252</v>
      </c>
      <c r="L87" s="621">
        <f>$G$16</f>
        <v>1</v>
      </c>
      <c r="M87" s="621">
        <f>$G$16</f>
        <v>1</v>
      </c>
      <c r="N87" s="391">
        <f t="shared" ref="N87:N105" si="26">K87*L87*M87</f>
        <v>5230166.7904300252</v>
      </c>
    </row>
    <row r="88" spans="1:14">
      <c r="A88" s="1061">
        <f t="shared" si="22"/>
        <v>74</v>
      </c>
      <c r="B88" s="403">
        <v>39002</v>
      </c>
      <c r="C88" s="4" t="s">
        <v>764</v>
      </c>
      <c r="D88" s="414">
        <v>173114.85</v>
      </c>
      <c r="E88" s="578">
        <v>0</v>
      </c>
      <c r="F88" s="578">
        <f t="shared" si="23"/>
        <v>173114.85</v>
      </c>
      <c r="G88" s="620">
        <f t="shared" si="24"/>
        <v>1</v>
      </c>
      <c r="H88" s="620">
        <f t="shared" si="24"/>
        <v>1</v>
      </c>
      <c r="I88" s="578">
        <f t="shared" si="25"/>
        <v>173114.85</v>
      </c>
      <c r="J88" s="106"/>
      <c r="K88" s="414">
        <v>173114.85000000003</v>
      </c>
      <c r="L88" s="621">
        <f t="shared" ref="L88:M99" si="27">$G$16</f>
        <v>1</v>
      </c>
      <c r="M88" s="621">
        <f t="shared" si="27"/>
        <v>1</v>
      </c>
      <c r="N88" s="391">
        <f t="shared" si="26"/>
        <v>173114.85000000003</v>
      </c>
    </row>
    <row r="89" spans="1:14">
      <c r="A89" s="1061">
        <f t="shared" si="22"/>
        <v>75</v>
      </c>
      <c r="B89" s="403">
        <v>39003</v>
      </c>
      <c r="C89" s="4" t="s">
        <v>1017</v>
      </c>
      <c r="D89" s="414">
        <v>709199.18</v>
      </c>
      <c r="E89" s="578">
        <v>0</v>
      </c>
      <c r="F89" s="578">
        <f t="shared" si="23"/>
        <v>709199.18</v>
      </c>
      <c r="G89" s="620">
        <f t="shared" si="24"/>
        <v>1</v>
      </c>
      <c r="H89" s="620">
        <f t="shared" si="24"/>
        <v>1</v>
      </c>
      <c r="I89" s="578">
        <f t="shared" si="25"/>
        <v>709199.18</v>
      </c>
      <c r="J89" s="106"/>
      <c r="K89" s="414">
        <v>709199.17999999982</v>
      </c>
      <c r="L89" s="621">
        <f t="shared" si="27"/>
        <v>1</v>
      </c>
      <c r="M89" s="621">
        <f t="shared" si="27"/>
        <v>1</v>
      </c>
      <c r="N89" s="391">
        <f t="shared" si="26"/>
        <v>709199.17999999982</v>
      </c>
    </row>
    <row r="90" spans="1:14">
      <c r="A90" s="1061">
        <f t="shared" si="22"/>
        <v>76</v>
      </c>
      <c r="B90" s="403">
        <v>39004</v>
      </c>
      <c r="C90" s="4" t="s">
        <v>459</v>
      </c>
      <c r="D90" s="414">
        <v>7461.49</v>
      </c>
      <c r="E90" s="578">
        <v>0</v>
      </c>
      <c r="F90" s="578">
        <f t="shared" si="23"/>
        <v>7461.49</v>
      </c>
      <c r="G90" s="620">
        <f t="shared" si="24"/>
        <v>1</v>
      </c>
      <c r="H90" s="620">
        <f t="shared" si="24"/>
        <v>1</v>
      </c>
      <c r="I90" s="578">
        <f t="shared" si="25"/>
        <v>7461.49</v>
      </c>
      <c r="J90" s="106"/>
      <c r="K90" s="414">
        <v>7461.4900000000007</v>
      </c>
      <c r="L90" s="621">
        <f t="shared" si="27"/>
        <v>1</v>
      </c>
      <c r="M90" s="621">
        <f t="shared" si="27"/>
        <v>1</v>
      </c>
      <c r="N90" s="391">
        <f t="shared" si="26"/>
        <v>7461.4900000000007</v>
      </c>
    </row>
    <row r="91" spans="1:14">
      <c r="A91" s="1061">
        <f t="shared" si="22"/>
        <v>77</v>
      </c>
      <c r="B91" s="403">
        <v>39009</v>
      </c>
      <c r="C91" s="4" t="s">
        <v>1056</v>
      </c>
      <c r="D91" s="414">
        <v>1246194.18</v>
      </c>
      <c r="E91" s="578">
        <v>0</v>
      </c>
      <c r="F91" s="578">
        <f t="shared" si="23"/>
        <v>1246194.18</v>
      </c>
      <c r="G91" s="620">
        <f t="shared" si="24"/>
        <v>1</v>
      </c>
      <c r="H91" s="620">
        <f t="shared" si="24"/>
        <v>1</v>
      </c>
      <c r="I91" s="578">
        <f t="shared" si="25"/>
        <v>1246194.18</v>
      </c>
      <c r="J91" s="106"/>
      <c r="K91" s="414">
        <v>1246194.18</v>
      </c>
      <c r="L91" s="621">
        <f t="shared" si="27"/>
        <v>1</v>
      </c>
      <c r="M91" s="621">
        <f t="shared" si="27"/>
        <v>1</v>
      </c>
      <c r="N91" s="391">
        <f t="shared" si="26"/>
        <v>1246194.18</v>
      </c>
    </row>
    <row r="92" spans="1:14">
      <c r="A92" s="1061">
        <f t="shared" si="22"/>
        <v>78</v>
      </c>
      <c r="B92" s="403">
        <v>39100</v>
      </c>
      <c r="C92" s="4" t="s">
        <v>796</v>
      </c>
      <c r="D92" s="414">
        <v>1999699.0665487142</v>
      </c>
      <c r="E92" s="578">
        <v>0</v>
      </c>
      <c r="F92" s="578">
        <f t="shared" si="23"/>
        <v>1999699.0665487142</v>
      </c>
      <c r="G92" s="620">
        <f t="shared" si="24"/>
        <v>1</v>
      </c>
      <c r="H92" s="620">
        <f t="shared" si="24"/>
        <v>1</v>
      </c>
      <c r="I92" s="578">
        <f t="shared" si="25"/>
        <v>1999699.0665487142</v>
      </c>
      <c r="J92" s="106"/>
      <c r="K92" s="414">
        <v>1941484.44904389</v>
      </c>
      <c r="L92" s="621">
        <f t="shared" si="27"/>
        <v>1</v>
      </c>
      <c r="M92" s="621">
        <f t="shared" si="27"/>
        <v>1</v>
      </c>
      <c r="N92" s="391">
        <f t="shared" si="26"/>
        <v>1941484.44904389</v>
      </c>
    </row>
    <row r="93" spans="1:14">
      <c r="A93" s="1061">
        <f t="shared" si="22"/>
        <v>79</v>
      </c>
      <c r="B93" s="403">
        <v>39200</v>
      </c>
      <c r="C93" s="4" t="s">
        <v>1096</v>
      </c>
      <c r="D93" s="414">
        <v>362906.41</v>
      </c>
      <c r="E93" s="578">
        <v>0</v>
      </c>
      <c r="F93" s="578">
        <f t="shared" si="23"/>
        <v>362906.41</v>
      </c>
      <c r="G93" s="620">
        <f t="shared" si="24"/>
        <v>1</v>
      </c>
      <c r="H93" s="620">
        <f t="shared" si="24"/>
        <v>1</v>
      </c>
      <c r="I93" s="578">
        <f t="shared" si="25"/>
        <v>362906.41</v>
      </c>
      <c r="J93" s="106"/>
      <c r="K93" s="414">
        <v>362906.41000000009</v>
      </c>
      <c r="L93" s="621">
        <f t="shared" si="27"/>
        <v>1</v>
      </c>
      <c r="M93" s="621">
        <f t="shared" si="27"/>
        <v>1</v>
      </c>
      <c r="N93" s="391">
        <f t="shared" si="26"/>
        <v>362906.41000000009</v>
      </c>
    </row>
    <row r="94" spans="1:14">
      <c r="A94" s="1061">
        <f t="shared" si="22"/>
        <v>80</v>
      </c>
      <c r="B94" s="403">
        <v>39202</v>
      </c>
      <c r="C94" s="4" t="s">
        <v>91</v>
      </c>
      <c r="D94" s="414">
        <v>33191.910000000003</v>
      </c>
      <c r="E94" s="578">
        <v>0</v>
      </c>
      <c r="F94" s="578">
        <f t="shared" si="23"/>
        <v>33191.910000000003</v>
      </c>
      <c r="G94" s="620">
        <f t="shared" si="24"/>
        <v>1</v>
      </c>
      <c r="H94" s="620">
        <f t="shared" si="24"/>
        <v>1</v>
      </c>
      <c r="I94" s="578">
        <f t="shared" si="25"/>
        <v>33191.910000000003</v>
      </c>
      <c r="J94" s="106"/>
      <c r="K94" s="414">
        <v>33191.910000000018</v>
      </c>
      <c r="L94" s="621">
        <f t="shared" si="27"/>
        <v>1</v>
      </c>
      <c r="M94" s="621">
        <f t="shared" si="27"/>
        <v>1</v>
      </c>
      <c r="N94" s="391">
        <f t="shared" si="26"/>
        <v>33191.910000000018</v>
      </c>
    </row>
    <row r="95" spans="1:14">
      <c r="A95" s="1061">
        <f t="shared" si="22"/>
        <v>81</v>
      </c>
      <c r="B95" s="403">
        <v>39400</v>
      </c>
      <c r="C95" s="4" t="s">
        <v>1055</v>
      </c>
      <c r="D95" s="414">
        <v>2792363.7613919452</v>
      </c>
      <c r="E95" s="578">
        <v>0</v>
      </c>
      <c r="F95" s="578">
        <f t="shared" si="23"/>
        <v>2792363.7613919452</v>
      </c>
      <c r="G95" s="620">
        <f t="shared" si="24"/>
        <v>1</v>
      </c>
      <c r="H95" s="620">
        <f t="shared" si="24"/>
        <v>1</v>
      </c>
      <c r="I95" s="578">
        <f t="shared" si="25"/>
        <v>2792363.7613919452</v>
      </c>
      <c r="J95" s="106"/>
      <c r="K95" s="414">
        <v>2649349.9844577657</v>
      </c>
      <c r="L95" s="621">
        <f t="shared" si="27"/>
        <v>1</v>
      </c>
      <c r="M95" s="621">
        <f t="shared" si="27"/>
        <v>1</v>
      </c>
      <c r="N95" s="391">
        <f t="shared" si="26"/>
        <v>2649349.9844577657</v>
      </c>
    </row>
    <row r="96" spans="1:14">
      <c r="A96" s="1061">
        <f t="shared" si="22"/>
        <v>82</v>
      </c>
      <c r="B96" s="403">
        <v>39603</v>
      </c>
      <c r="C96" s="4" t="s">
        <v>92</v>
      </c>
      <c r="D96" s="414">
        <v>47302.960000000006</v>
      </c>
      <c r="E96" s="578">
        <v>0</v>
      </c>
      <c r="F96" s="578">
        <f t="shared" si="23"/>
        <v>47302.960000000006</v>
      </c>
      <c r="G96" s="620">
        <f t="shared" si="24"/>
        <v>1</v>
      </c>
      <c r="H96" s="620">
        <f t="shared" si="24"/>
        <v>1</v>
      </c>
      <c r="I96" s="578">
        <f t="shared" si="25"/>
        <v>47302.960000000006</v>
      </c>
      <c r="J96" s="106"/>
      <c r="K96" s="414">
        <v>47302.960000000006</v>
      </c>
      <c r="L96" s="621">
        <f t="shared" si="27"/>
        <v>1</v>
      </c>
      <c r="M96" s="621">
        <f t="shared" si="27"/>
        <v>1</v>
      </c>
      <c r="N96" s="391">
        <f t="shared" si="26"/>
        <v>47302.960000000006</v>
      </c>
    </row>
    <row r="97" spans="1:17">
      <c r="A97" s="1061">
        <f t="shared" si="22"/>
        <v>83</v>
      </c>
      <c r="B97" s="403">
        <v>39604</v>
      </c>
      <c r="C97" s="4" t="s">
        <v>93</v>
      </c>
      <c r="D97" s="414">
        <v>62747.29</v>
      </c>
      <c r="E97" s="578">
        <v>0</v>
      </c>
      <c r="F97" s="578">
        <f t="shared" si="23"/>
        <v>62747.29</v>
      </c>
      <c r="G97" s="620">
        <f t="shared" si="24"/>
        <v>1</v>
      </c>
      <c r="H97" s="620">
        <f t="shared" si="24"/>
        <v>1</v>
      </c>
      <c r="I97" s="578">
        <f t="shared" si="25"/>
        <v>62747.29</v>
      </c>
      <c r="J97" s="106"/>
      <c r="K97" s="414">
        <v>62747.290000000008</v>
      </c>
      <c r="L97" s="621">
        <f t="shared" si="27"/>
        <v>1</v>
      </c>
      <c r="M97" s="621">
        <f t="shared" si="27"/>
        <v>1</v>
      </c>
      <c r="N97" s="391">
        <f t="shared" si="26"/>
        <v>62747.290000000008</v>
      </c>
    </row>
    <row r="98" spans="1:17">
      <c r="A98" s="1061">
        <f t="shared" si="22"/>
        <v>84</v>
      </c>
      <c r="B98" s="403">
        <v>39605</v>
      </c>
      <c r="C98" s="1" t="s">
        <v>94</v>
      </c>
      <c r="D98" s="414">
        <v>33235.94</v>
      </c>
      <c r="E98" s="578">
        <v>0</v>
      </c>
      <c r="F98" s="578">
        <f t="shared" si="23"/>
        <v>33235.94</v>
      </c>
      <c r="G98" s="620">
        <f t="shared" si="24"/>
        <v>1</v>
      </c>
      <c r="H98" s="620">
        <f t="shared" si="24"/>
        <v>1</v>
      </c>
      <c r="I98" s="578">
        <f t="shared" si="25"/>
        <v>33235.94</v>
      </c>
      <c r="J98" s="106"/>
      <c r="K98" s="414">
        <v>33235.94</v>
      </c>
      <c r="L98" s="621">
        <f t="shared" si="27"/>
        <v>1</v>
      </c>
      <c r="M98" s="621">
        <f t="shared" si="27"/>
        <v>1</v>
      </c>
      <c r="N98" s="391">
        <f t="shared" si="26"/>
        <v>33235.94</v>
      </c>
    </row>
    <row r="99" spans="1:17">
      <c r="A99" s="1061">
        <f t="shared" si="22"/>
        <v>85</v>
      </c>
      <c r="B99" s="403">
        <v>39700</v>
      </c>
      <c r="C99" s="4" t="s">
        <v>454</v>
      </c>
      <c r="D99" s="414">
        <v>415293.31897464715</v>
      </c>
      <c r="E99" s="578">
        <v>0</v>
      </c>
      <c r="F99" s="578">
        <f t="shared" si="23"/>
        <v>415293.31897464715</v>
      </c>
      <c r="G99" s="620">
        <f t="shared" si="24"/>
        <v>1</v>
      </c>
      <c r="H99" s="620">
        <f t="shared" si="24"/>
        <v>1</v>
      </c>
      <c r="I99" s="578">
        <f t="shared" si="25"/>
        <v>415293.31897464715</v>
      </c>
      <c r="J99" s="106"/>
      <c r="K99" s="414">
        <v>402560.81136545411</v>
      </c>
      <c r="L99" s="621">
        <f t="shared" si="27"/>
        <v>1</v>
      </c>
      <c r="M99" s="621">
        <f t="shared" si="27"/>
        <v>1</v>
      </c>
      <c r="N99" s="391">
        <f t="shared" si="26"/>
        <v>402560.81136545411</v>
      </c>
    </row>
    <row r="100" spans="1:17">
      <c r="A100" s="1061">
        <f t="shared" si="22"/>
        <v>86</v>
      </c>
      <c r="B100" s="403">
        <v>39705</v>
      </c>
      <c r="C100" s="4" t="s">
        <v>738</v>
      </c>
      <c r="D100" s="414">
        <v>0</v>
      </c>
      <c r="E100" s="578">
        <v>0</v>
      </c>
      <c r="F100" s="578">
        <f t="shared" si="23"/>
        <v>0</v>
      </c>
      <c r="G100" s="620">
        <f t="shared" ref="G100:H105" si="28">$G$16</f>
        <v>1</v>
      </c>
      <c r="H100" s="620">
        <f t="shared" si="28"/>
        <v>1</v>
      </c>
      <c r="I100" s="578">
        <f t="shared" si="25"/>
        <v>0</v>
      </c>
      <c r="J100" s="106"/>
      <c r="K100" s="414">
        <v>0</v>
      </c>
      <c r="L100" s="621">
        <f t="shared" ref="L100:M105" si="29">$G$16</f>
        <v>1</v>
      </c>
      <c r="M100" s="621">
        <f t="shared" si="29"/>
        <v>1</v>
      </c>
      <c r="N100" s="391">
        <f t="shared" si="26"/>
        <v>0</v>
      </c>
    </row>
    <row r="101" spans="1:17">
      <c r="A101" s="1061">
        <f t="shared" si="22"/>
        <v>87</v>
      </c>
      <c r="B101" s="403">
        <v>39800</v>
      </c>
      <c r="C101" s="4" t="s">
        <v>666</v>
      </c>
      <c r="D101" s="414">
        <v>4410069.2160203485</v>
      </c>
      <c r="E101" s="578">
        <v>0</v>
      </c>
      <c r="F101" s="578">
        <f t="shared" si="23"/>
        <v>4410069.2160203485</v>
      </c>
      <c r="G101" s="620">
        <f t="shared" si="28"/>
        <v>1</v>
      </c>
      <c r="H101" s="620">
        <f t="shared" si="28"/>
        <v>1</v>
      </c>
      <c r="I101" s="578">
        <f t="shared" si="25"/>
        <v>4410069.2160203485</v>
      </c>
      <c r="J101" s="106"/>
      <c r="K101" s="414">
        <v>4284327.7881335504</v>
      </c>
      <c r="L101" s="621">
        <f t="shared" si="29"/>
        <v>1</v>
      </c>
      <c r="M101" s="621">
        <f t="shared" si="29"/>
        <v>1</v>
      </c>
      <c r="N101" s="391">
        <f t="shared" si="26"/>
        <v>4284327.7881335504</v>
      </c>
    </row>
    <row r="102" spans="1:17">
      <c r="A102" s="1061">
        <f t="shared" si="22"/>
        <v>88</v>
      </c>
      <c r="B102" s="403">
        <v>39903</v>
      </c>
      <c r="C102" s="4" t="s">
        <v>1022</v>
      </c>
      <c r="D102" s="414">
        <v>94727.9417910052</v>
      </c>
      <c r="E102" s="578">
        <v>0</v>
      </c>
      <c r="F102" s="578">
        <f t="shared" si="23"/>
        <v>94727.9417910052</v>
      </c>
      <c r="G102" s="620">
        <f t="shared" si="28"/>
        <v>1</v>
      </c>
      <c r="H102" s="620">
        <f t="shared" si="28"/>
        <v>1</v>
      </c>
      <c r="I102" s="578">
        <f t="shared" si="25"/>
        <v>94727.9417910052</v>
      </c>
      <c r="J102" s="106"/>
      <c r="K102" s="414">
        <v>94708.436797863818</v>
      </c>
      <c r="L102" s="621">
        <f t="shared" si="29"/>
        <v>1</v>
      </c>
      <c r="M102" s="621">
        <f t="shared" si="29"/>
        <v>1</v>
      </c>
      <c r="N102" s="391">
        <f t="shared" si="26"/>
        <v>94708.436797863818</v>
      </c>
    </row>
    <row r="103" spans="1:17">
      <c r="A103" s="1061">
        <f t="shared" si="22"/>
        <v>89</v>
      </c>
      <c r="B103" s="403">
        <v>39906</v>
      </c>
      <c r="C103" s="4" t="s">
        <v>465</v>
      </c>
      <c r="D103" s="414">
        <v>1767842.0151059492</v>
      </c>
      <c r="E103" s="578">
        <v>0</v>
      </c>
      <c r="F103" s="578">
        <f t="shared" si="23"/>
        <v>1767842.0151059492</v>
      </c>
      <c r="G103" s="620">
        <f t="shared" si="28"/>
        <v>1</v>
      </c>
      <c r="H103" s="620">
        <f t="shared" si="28"/>
        <v>1</v>
      </c>
      <c r="I103" s="578">
        <f t="shared" si="25"/>
        <v>1767842.0151059492</v>
      </c>
      <c r="J103" s="106"/>
      <c r="K103" s="414">
        <v>1642398.5905692575</v>
      </c>
      <c r="L103" s="621">
        <f t="shared" si="29"/>
        <v>1</v>
      </c>
      <c r="M103" s="621">
        <f t="shared" si="29"/>
        <v>1</v>
      </c>
      <c r="N103" s="391">
        <f t="shared" si="26"/>
        <v>1642398.5905692575</v>
      </c>
    </row>
    <row r="104" spans="1:17">
      <c r="A104" s="1061">
        <f t="shared" si="22"/>
        <v>90</v>
      </c>
      <c r="B104" s="403">
        <v>39907</v>
      </c>
      <c r="C104" s="4" t="s">
        <v>520</v>
      </c>
      <c r="D104" s="414">
        <v>13751.77</v>
      </c>
      <c r="E104" s="578">
        <v>0</v>
      </c>
      <c r="F104" s="578">
        <f t="shared" si="23"/>
        <v>13751.77</v>
      </c>
      <c r="G104" s="620">
        <f t="shared" si="28"/>
        <v>1</v>
      </c>
      <c r="H104" s="620">
        <f t="shared" si="28"/>
        <v>1</v>
      </c>
      <c r="I104" s="578">
        <f t="shared" si="25"/>
        <v>13751.77</v>
      </c>
      <c r="J104" s="106"/>
      <c r="K104" s="414">
        <v>13751.769999999999</v>
      </c>
      <c r="L104" s="621">
        <f t="shared" si="29"/>
        <v>1</v>
      </c>
      <c r="M104" s="621">
        <f t="shared" si="29"/>
        <v>1</v>
      </c>
      <c r="N104" s="391">
        <f t="shared" si="26"/>
        <v>13751.769999999999</v>
      </c>
    </row>
    <row r="105" spans="1:17">
      <c r="A105" s="1061">
        <f t="shared" si="22"/>
        <v>91</v>
      </c>
      <c r="B105" s="403">
        <v>39908</v>
      </c>
      <c r="C105" s="4" t="s">
        <v>184</v>
      </c>
      <c r="D105" s="414">
        <v>123514.83</v>
      </c>
      <c r="E105" s="578">
        <v>0</v>
      </c>
      <c r="F105" s="578">
        <f t="shared" si="23"/>
        <v>123514.83</v>
      </c>
      <c r="G105" s="620">
        <f t="shared" si="28"/>
        <v>1</v>
      </c>
      <c r="H105" s="620">
        <f t="shared" si="28"/>
        <v>1</v>
      </c>
      <c r="I105" s="578">
        <f t="shared" si="25"/>
        <v>123514.83</v>
      </c>
      <c r="J105" s="106"/>
      <c r="K105" s="414">
        <v>123514.83000000002</v>
      </c>
      <c r="L105" s="621">
        <f t="shared" si="29"/>
        <v>1</v>
      </c>
      <c r="M105" s="621">
        <f t="shared" si="29"/>
        <v>1</v>
      </c>
      <c r="N105" s="391">
        <f t="shared" si="26"/>
        <v>123514.83000000002</v>
      </c>
    </row>
    <row r="106" spans="1:17">
      <c r="A106" s="1061">
        <f t="shared" si="22"/>
        <v>92</v>
      </c>
      <c r="B106" s="421"/>
      <c r="C106" s="4"/>
      <c r="D106" s="809"/>
      <c r="E106" s="809"/>
      <c r="F106" s="809"/>
      <c r="G106" s="1128"/>
      <c r="H106" s="1128"/>
      <c r="I106" s="809"/>
      <c r="J106" s="106"/>
      <c r="K106" s="809"/>
      <c r="N106" s="786"/>
    </row>
    <row r="107" spans="1:17">
      <c r="A107" s="1061">
        <f t="shared" si="22"/>
        <v>93</v>
      </c>
      <c r="B107" s="421"/>
      <c r="C107" s="4" t="s">
        <v>4</v>
      </c>
      <c r="D107" s="459">
        <f>SUM(D86:D106)</f>
        <v>20703293.830569129</v>
      </c>
      <c r="E107" s="445">
        <f>SUM(E86:E106)</f>
        <v>0</v>
      </c>
      <c r="F107" s="459">
        <f>SUM(F86:F106)</f>
        <v>20703293.830569129</v>
      </c>
      <c r="G107" s="620"/>
      <c r="H107" s="620"/>
      <c r="I107" s="459">
        <f>SUM(I86:I106)</f>
        <v>20703293.830569129</v>
      </c>
      <c r="J107" s="106"/>
      <c r="K107" s="459">
        <f>SUM(K86:K106)</f>
        <v>20084967.360797804</v>
      </c>
      <c r="N107" s="404">
        <f>SUM(N86:N106)</f>
        <v>20084967.360797804</v>
      </c>
    </row>
    <row r="108" spans="1:17">
      <c r="A108" s="1061">
        <f t="shared" si="22"/>
        <v>94</v>
      </c>
      <c r="B108" s="421"/>
      <c r="C108" s="4"/>
      <c r="D108" s="106"/>
      <c r="E108" s="106"/>
      <c r="F108" s="106"/>
      <c r="G108" s="1128"/>
      <c r="H108" s="1128"/>
      <c r="I108" s="106"/>
      <c r="J108" s="106"/>
      <c r="K108" s="106"/>
    </row>
    <row r="109" spans="1:17" ht="15.75" thickBot="1">
      <c r="A109" s="1061">
        <f t="shared" si="22"/>
        <v>95</v>
      </c>
      <c r="B109" s="421"/>
      <c r="C109" s="245" t="s">
        <v>1364</v>
      </c>
      <c r="D109" s="1136">
        <f>D19+D26+D47+D59+D83+D107</f>
        <v>545358879.9017415</v>
      </c>
      <c r="E109" s="425">
        <f>E19+E26+E47+E59+E83+E107</f>
        <v>0</v>
      </c>
      <c r="F109" s="1136">
        <f>F19+F26+F47+F59+F83+F107</f>
        <v>545358879.9017415</v>
      </c>
      <c r="G109" s="1128"/>
      <c r="H109" s="1128"/>
      <c r="I109" s="1136">
        <f>I19+I26+I47+I59+I83+I107</f>
        <v>545358879.9017415</v>
      </c>
      <c r="J109" s="106"/>
      <c r="K109" s="1136">
        <f>K19+K26+K47+K59+K83+K107</f>
        <v>529885388.63301581</v>
      </c>
      <c r="N109" s="412">
        <f>N19+N26+N47+N59+N83+N107</f>
        <v>529885388.63301581</v>
      </c>
      <c r="P109" s="1055"/>
      <c r="Q109" s="1055"/>
    </row>
    <row r="110" spans="1:17" ht="15.75" thickTop="1">
      <c r="A110" s="1061">
        <f t="shared" si="22"/>
        <v>96</v>
      </c>
      <c r="B110" s="421"/>
      <c r="C110" s="4"/>
      <c r="D110" s="106"/>
      <c r="E110" s="106"/>
      <c r="F110" s="106"/>
      <c r="G110" s="1128"/>
      <c r="H110" s="1128"/>
      <c r="I110" s="106"/>
      <c r="J110" s="106"/>
      <c r="K110" s="106"/>
    </row>
    <row r="111" spans="1:17">
      <c r="A111" s="1061">
        <f t="shared" si="22"/>
        <v>97</v>
      </c>
      <c r="B111" s="421"/>
      <c r="C111" s="107" t="s">
        <v>766</v>
      </c>
      <c r="D111" s="414">
        <v>14123020.170000006</v>
      </c>
      <c r="E111" s="424">
        <v>0</v>
      </c>
      <c r="F111" s="424">
        <f>D111+E111</f>
        <v>14123020.170000006</v>
      </c>
      <c r="G111" s="567">
        <f>$G$16</f>
        <v>1</v>
      </c>
      <c r="H111" s="567">
        <f>$G$16</f>
        <v>1</v>
      </c>
      <c r="I111" s="424">
        <f>F111*G111*H111</f>
        <v>14123020.170000006</v>
      </c>
      <c r="J111" s="106"/>
      <c r="K111" s="414">
        <v>14123020.170000007</v>
      </c>
      <c r="L111" s="621">
        <f>$G$16</f>
        <v>1</v>
      </c>
      <c r="M111" s="621">
        <f>$G$16</f>
        <v>1</v>
      </c>
      <c r="N111" s="420">
        <f>K111*L111*M111</f>
        <v>14123020.170000007</v>
      </c>
    </row>
    <row r="112" spans="1:17">
      <c r="A112" s="1061">
        <f t="shared" si="22"/>
        <v>98</v>
      </c>
      <c r="B112" s="421"/>
      <c r="C112" s="106"/>
      <c r="D112" s="106"/>
      <c r="E112" s="106"/>
      <c r="F112" s="106"/>
      <c r="G112" s="1128"/>
      <c r="H112" s="1128"/>
      <c r="I112" s="106"/>
      <c r="J112" s="106"/>
      <c r="K112" s="459"/>
    </row>
    <row r="113" spans="1:19" ht="15.75">
      <c r="A113" s="1061">
        <f t="shared" si="22"/>
        <v>99</v>
      </c>
      <c r="B113" s="416" t="s">
        <v>7</v>
      </c>
      <c r="D113" s="106"/>
      <c r="E113" s="106"/>
      <c r="F113" s="106"/>
      <c r="G113" s="1128"/>
      <c r="H113" s="1128"/>
      <c r="I113" s="106"/>
      <c r="J113" s="106"/>
      <c r="K113" s="459"/>
    </row>
    <row r="114" spans="1:19">
      <c r="A114" s="1061">
        <f t="shared" si="22"/>
        <v>100</v>
      </c>
      <c r="B114" s="421"/>
      <c r="D114" s="106"/>
      <c r="E114" s="106"/>
      <c r="F114" s="106"/>
      <c r="G114" s="1128"/>
      <c r="H114" s="1128"/>
      <c r="I114" s="106"/>
      <c r="J114" s="106"/>
      <c r="K114" s="459"/>
    </row>
    <row r="115" spans="1:19">
      <c r="A115" s="1061">
        <f t="shared" si="22"/>
        <v>101</v>
      </c>
      <c r="B115" s="421"/>
      <c r="C115" s="17" t="s">
        <v>305</v>
      </c>
      <c r="D115" s="106"/>
      <c r="E115" s="106"/>
      <c r="F115" s="106"/>
      <c r="G115" s="1128"/>
      <c r="H115" s="1128"/>
      <c r="I115" s="106"/>
      <c r="J115" s="106"/>
      <c r="K115" s="459"/>
    </row>
    <row r="116" spans="1:19">
      <c r="A116" s="1061">
        <f t="shared" si="22"/>
        <v>102</v>
      </c>
      <c r="B116" s="423">
        <v>30100</v>
      </c>
      <c r="C116" s="4" t="s">
        <v>299</v>
      </c>
      <c r="D116" s="414">
        <v>185309.27</v>
      </c>
      <c r="E116" s="445">
        <v>0</v>
      </c>
      <c r="F116" s="445">
        <f>D116+E116</f>
        <v>185309.27</v>
      </c>
      <c r="G116" s="620">
        <f>$G$16</f>
        <v>1</v>
      </c>
      <c r="H116" s="622">
        <f>Allocation!$D$17</f>
        <v>0.49090457251500325</v>
      </c>
      <c r="I116" s="445">
        <f>F116*G116*H116</f>
        <v>90969.167972417315</v>
      </c>
      <c r="J116" s="106"/>
      <c r="K116" s="414">
        <v>185309.27</v>
      </c>
      <c r="L116" s="621">
        <f t="shared" ref="L116:M117" si="30">G116</f>
        <v>1</v>
      </c>
      <c r="M116" s="555">
        <f t="shared" si="30"/>
        <v>0.49090457251500325</v>
      </c>
      <c r="N116" s="382">
        <f>K116*L116*M116</f>
        <v>90969.167972417315</v>
      </c>
      <c r="S116" s="78"/>
    </row>
    <row r="117" spans="1:19">
      <c r="A117" s="1061">
        <f t="shared" si="22"/>
        <v>103</v>
      </c>
      <c r="B117" s="423">
        <v>30300</v>
      </c>
      <c r="C117" s="4" t="s">
        <v>558</v>
      </c>
      <c r="D117" s="414">
        <v>1109551.68</v>
      </c>
      <c r="E117" s="1141">
        <v>0</v>
      </c>
      <c r="F117" s="1141">
        <f>D117+E117</f>
        <v>1109551.68</v>
      </c>
      <c r="G117" s="620">
        <f>$G$16</f>
        <v>1</v>
      </c>
      <c r="H117" s="622">
        <f>$H$116</f>
        <v>0.49090457251500325</v>
      </c>
      <c r="I117" s="1141">
        <f>F117*G117*H117</f>
        <v>544683.99315370363</v>
      </c>
      <c r="J117" s="106"/>
      <c r="K117" s="414">
        <v>1109551.68</v>
      </c>
      <c r="L117" s="621">
        <f t="shared" si="30"/>
        <v>1</v>
      </c>
      <c r="M117" s="555">
        <f t="shared" si="30"/>
        <v>0.49090457251500325</v>
      </c>
      <c r="N117" s="392">
        <f>K117*L117*M117</f>
        <v>544683.99315370363</v>
      </c>
      <c r="S117" s="78"/>
    </row>
    <row r="118" spans="1:19">
      <c r="A118" s="1061">
        <f t="shared" si="22"/>
        <v>104</v>
      </c>
      <c r="B118" s="421"/>
      <c r="C118" s="4"/>
      <c r="D118" s="809"/>
      <c r="E118" s="106"/>
      <c r="F118" s="106"/>
      <c r="G118" s="1128"/>
      <c r="H118" s="1128"/>
      <c r="I118" s="106"/>
      <c r="J118" s="106"/>
      <c r="K118" s="809"/>
    </row>
    <row r="119" spans="1:19">
      <c r="A119" s="1061">
        <f t="shared" si="22"/>
        <v>105</v>
      </c>
      <c r="B119" s="421"/>
      <c r="C119" s="4" t="s">
        <v>306</v>
      </c>
      <c r="D119" s="459">
        <f>SUM(D116:D118)</f>
        <v>1294860.95</v>
      </c>
      <c r="E119" s="445">
        <f>SUM(E116:E118)</f>
        <v>0</v>
      </c>
      <c r="F119" s="445">
        <f>SUM(F116:F118)</f>
        <v>1294860.95</v>
      </c>
      <c r="G119" s="620"/>
      <c r="H119" s="620"/>
      <c r="I119" s="445">
        <f>SUM(I116:I118)</f>
        <v>635653.16112612095</v>
      </c>
      <c r="J119" s="106"/>
      <c r="K119" s="459">
        <f>SUM(K116:K118)</f>
        <v>1294860.95</v>
      </c>
      <c r="N119" s="382">
        <f>SUM(N116:N118)</f>
        <v>635653.16112612095</v>
      </c>
    </row>
    <row r="120" spans="1:19">
      <c r="A120" s="1061">
        <f t="shared" si="22"/>
        <v>106</v>
      </c>
      <c r="B120" s="421"/>
      <c r="D120" s="106"/>
      <c r="E120" s="106"/>
      <c r="F120" s="106"/>
      <c r="G120" s="1128"/>
      <c r="H120" s="1128"/>
      <c r="I120" s="106"/>
      <c r="J120" s="106"/>
      <c r="K120" s="106"/>
    </row>
    <row r="121" spans="1:19">
      <c r="A121" s="1061">
        <f t="shared" si="22"/>
        <v>107</v>
      </c>
      <c r="B121" s="421"/>
      <c r="C121" s="17" t="s">
        <v>307</v>
      </c>
      <c r="D121" s="106"/>
      <c r="E121" s="106"/>
      <c r="F121" s="106"/>
      <c r="G121" s="1128"/>
      <c r="H121" s="1128"/>
      <c r="I121" s="106"/>
      <c r="J121" s="106"/>
      <c r="K121" s="106"/>
    </row>
    <row r="122" spans="1:19">
      <c r="A122" s="1061">
        <f t="shared" si="22"/>
        <v>108</v>
      </c>
      <c r="B122" s="423">
        <v>37400</v>
      </c>
      <c r="C122" s="4" t="s">
        <v>1168</v>
      </c>
      <c r="D122" s="459">
        <v>0</v>
      </c>
      <c r="E122" s="445">
        <v>0</v>
      </c>
      <c r="F122" s="445">
        <f t="shared" ref="F122:F142" si="31">D122+E122</f>
        <v>0</v>
      </c>
      <c r="G122" s="620">
        <f t="shared" ref="G122:G142" si="32">$G$16</f>
        <v>1</v>
      </c>
      <c r="H122" s="622">
        <f t="shared" ref="H122:H142" si="33">$H$116</f>
        <v>0.49090457251500325</v>
      </c>
      <c r="I122" s="445">
        <f t="shared" ref="I122:I142" si="34">F122*G122*H122</f>
        <v>0</v>
      </c>
      <c r="J122" s="106"/>
      <c r="K122" s="459">
        <v>0</v>
      </c>
      <c r="L122" s="621">
        <f t="shared" ref="L122:L142" si="35">G122</f>
        <v>1</v>
      </c>
      <c r="M122" s="622">
        <f t="shared" ref="M122:M142" si="36">H122</f>
        <v>0.49090457251500325</v>
      </c>
      <c r="N122" s="382">
        <f t="shared" ref="N122:N142" si="37">K122*L122*M122</f>
        <v>0</v>
      </c>
      <c r="P122" s="768"/>
    </row>
    <row r="123" spans="1:19">
      <c r="A123" s="1061">
        <f t="shared" si="22"/>
        <v>109</v>
      </c>
      <c r="B123" s="423">
        <v>35010</v>
      </c>
      <c r="C123" s="4" t="s">
        <v>300</v>
      </c>
      <c r="D123" s="806">
        <v>0</v>
      </c>
      <c r="E123" s="578">
        <v>0</v>
      </c>
      <c r="F123" s="578">
        <f t="shared" si="31"/>
        <v>0</v>
      </c>
      <c r="G123" s="620">
        <f t="shared" si="32"/>
        <v>1</v>
      </c>
      <c r="H123" s="622">
        <f t="shared" si="33"/>
        <v>0.49090457251500325</v>
      </c>
      <c r="I123" s="578">
        <f t="shared" si="34"/>
        <v>0</v>
      </c>
      <c r="J123" s="106"/>
      <c r="K123" s="806">
        <v>0</v>
      </c>
      <c r="L123" s="621">
        <f t="shared" si="35"/>
        <v>1</v>
      </c>
      <c r="M123" s="622">
        <f t="shared" si="36"/>
        <v>0.49090457251500325</v>
      </c>
      <c r="N123" s="391">
        <f t="shared" si="37"/>
        <v>0</v>
      </c>
      <c r="P123" s="768"/>
    </row>
    <row r="124" spans="1:19">
      <c r="A124" s="1061">
        <f t="shared" si="22"/>
        <v>110</v>
      </c>
      <c r="B124" s="423">
        <v>37402</v>
      </c>
      <c r="C124" s="4" t="s">
        <v>1018</v>
      </c>
      <c r="D124" s="806">
        <v>0</v>
      </c>
      <c r="E124" s="578">
        <v>0</v>
      </c>
      <c r="F124" s="578">
        <f t="shared" si="31"/>
        <v>0</v>
      </c>
      <c r="G124" s="620">
        <f t="shared" si="32"/>
        <v>1</v>
      </c>
      <c r="H124" s="622">
        <f t="shared" si="33"/>
        <v>0.49090457251500325</v>
      </c>
      <c r="I124" s="578">
        <f t="shared" si="34"/>
        <v>0</v>
      </c>
      <c r="J124" s="106"/>
      <c r="K124" s="806">
        <v>0</v>
      </c>
      <c r="L124" s="621">
        <f t="shared" si="35"/>
        <v>1</v>
      </c>
      <c r="M124" s="622">
        <f t="shared" si="36"/>
        <v>0.49090457251500325</v>
      </c>
      <c r="N124" s="391">
        <f t="shared" si="37"/>
        <v>0</v>
      </c>
      <c r="P124" s="768"/>
    </row>
    <row r="125" spans="1:19">
      <c r="A125" s="1061">
        <f t="shared" si="22"/>
        <v>111</v>
      </c>
      <c r="B125" s="423">
        <v>37403</v>
      </c>
      <c r="C125" s="4" t="s">
        <v>1015</v>
      </c>
      <c r="D125" s="806">
        <v>0</v>
      </c>
      <c r="E125" s="578">
        <v>0</v>
      </c>
      <c r="F125" s="578">
        <f t="shared" si="31"/>
        <v>0</v>
      </c>
      <c r="G125" s="620">
        <f t="shared" si="32"/>
        <v>1</v>
      </c>
      <c r="H125" s="622">
        <f t="shared" si="33"/>
        <v>0.49090457251500325</v>
      </c>
      <c r="I125" s="578">
        <f t="shared" si="34"/>
        <v>0</v>
      </c>
      <c r="J125" s="106"/>
      <c r="K125" s="806">
        <v>0</v>
      </c>
      <c r="L125" s="621">
        <f t="shared" si="35"/>
        <v>1</v>
      </c>
      <c r="M125" s="622">
        <f t="shared" si="36"/>
        <v>0.49090457251500325</v>
      </c>
      <c r="N125" s="391">
        <f t="shared" si="37"/>
        <v>0</v>
      </c>
    </row>
    <row r="126" spans="1:19">
      <c r="A126" s="1061">
        <f t="shared" si="22"/>
        <v>112</v>
      </c>
      <c r="B126" s="423">
        <v>36602</v>
      </c>
      <c r="C126" s="4" t="s">
        <v>874</v>
      </c>
      <c r="D126" s="806">
        <v>0</v>
      </c>
      <c r="E126" s="578">
        <v>0</v>
      </c>
      <c r="F126" s="578">
        <f t="shared" si="31"/>
        <v>0</v>
      </c>
      <c r="G126" s="620">
        <f t="shared" si="32"/>
        <v>1</v>
      </c>
      <c r="H126" s="622">
        <f t="shared" si="33"/>
        <v>0.49090457251500325</v>
      </c>
      <c r="I126" s="578">
        <f t="shared" si="34"/>
        <v>0</v>
      </c>
      <c r="J126" s="106"/>
      <c r="K126" s="806">
        <v>0</v>
      </c>
      <c r="L126" s="621">
        <f t="shared" si="35"/>
        <v>1</v>
      </c>
      <c r="M126" s="622">
        <f t="shared" si="36"/>
        <v>0.49090457251500325</v>
      </c>
      <c r="N126" s="391">
        <f t="shared" si="37"/>
        <v>0</v>
      </c>
      <c r="P126" s="768"/>
    </row>
    <row r="127" spans="1:19">
      <c r="A127" s="1061">
        <f t="shared" si="22"/>
        <v>113</v>
      </c>
      <c r="B127" s="423">
        <v>37402</v>
      </c>
      <c r="C127" s="4" t="s">
        <v>1018</v>
      </c>
      <c r="D127" s="806">
        <v>0</v>
      </c>
      <c r="E127" s="578">
        <v>0</v>
      </c>
      <c r="F127" s="578">
        <f>D127+E127</f>
        <v>0</v>
      </c>
      <c r="G127" s="620">
        <f t="shared" si="32"/>
        <v>1</v>
      </c>
      <c r="H127" s="622">
        <f t="shared" si="33"/>
        <v>0.49090457251500325</v>
      </c>
      <c r="I127" s="578">
        <f>F127*G127*H127</f>
        <v>0</v>
      </c>
      <c r="J127" s="106"/>
      <c r="K127" s="806">
        <v>0</v>
      </c>
      <c r="L127" s="621">
        <f>G127</f>
        <v>1</v>
      </c>
      <c r="M127" s="622">
        <f>H127</f>
        <v>0.49090457251500325</v>
      </c>
      <c r="N127" s="391">
        <f>K127*L127*M127</f>
        <v>0</v>
      </c>
    </row>
    <row r="128" spans="1:19">
      <c r="A128" s="1061">
        <f t="shared" si="22"/>
        <v>114</v>
      </c>
      <c r="B128" s="423">
        <v>37501</v>
      </c>
      <c r="C128" s="4" t="s">
        <v>1016</v>
      </c>
      <c r="D128" s="806">
        <v>0</v>
      </c>
      <c r="E128" s="578">
        <v>0</v>
      </c>
      <c r="F128" s="578">
        <f t="shared" si="31"/>
        <v>0</v>
      </c>
      <c r="G128" s="620">
        <f t="shared" si="32"/>
        <v>1</v>
      </c>
      <c r="H128" s="622">
        <f t="shared" si="33"/>
        <v>0.49090457251500325</v>
      </c>
      <c r="I128" s="578">
        <f t="shared" si="34"/>
        <v>0</v>
      </c>
      <c r="J128" s="106"/>
      <c r="K128" s="806">
        <v>0</v>
      </c>
      <c r="L128" s="621">
        <f t="shared" si="35"/>
        <v>1</v>
      </c>
      <c r="M128" s="622">
        <f t="shared" si="36"/>
        <v>0.49090457251500325</v>
      </c>
      <c r="N128" s="391">
        <f t="shared" si="37"/>
        <v>0</v>
      </c>
    </row>
    <row r="129" spans="1:14">
      <c r="A129" s="1061">
        <f t="shared" si="22"/>
        <v>115</v>
      </c>
      <c r="B129" s="423">
        <v>37503</v>
      </c>
      <c r="C129" s="4" t="s">
        <v>1017</v>
      </c>
      <c r="D129" s="806">
        <v>0</v>
      </c>
      <c r="E129" s="578">
        <v>0</v>
      </c>
      <c r="F129" s="578">
        <f t="shared" si="31"/>
        <v>0</v>
      </c>
      <c r="G129" s="620">
        <f t="shared" si="32"/>
        <v>1</v>
      </c>
      <c r="H129" s="622">
        <f t="shared" si="33"/>
        <v>0.49090457251500325</v>
      </c>
      <c r="I129" s="578">
        <f t="shared" si="34"/>
        <v>0</v>
      </c>
      <c r="J129" s="106"/>
      <c r="K129" s="806">
        <v>0</v>
      </c>
      <c r="L129" s="621">
        <f t="shared" si="35"/>
        <v>1</v>
      </c>
      <c r="M129" s="622">
        <f t="shared" si="36"/>
        <v>0.49090457251500325</v>
      </c>
      <c r="N129" s="391">
        <f t="shared" si="37"/>
        <v>0</v>
      </c>
    </row>
    <row r="130" spans="1:14">
      <c r="A130" s="1061">
        <f t="shared" si="22"/>
        <v>116</v>
      </c>
      <c r="B130" s="423">
        <v>36700</v>
      </c>
      <c r="C130" s="4" t="s">
        <v>861</v>
      </c>
      <c r="D130" s="806">
        <v>0</v>
      </c>
      <c r="E130" s="578">
        <v>0</v>
      </c>
      <c r="F130" s="578">
        <f t="shared" si="31"/>
        <v>0</v>
      </c>
      <c r="G130" s="620">
        <f t="shared" si="32"/>
        <v>1</v>
      </c>
      <c r="H130" s="622">
        <f t="shared" si="33"/>
        <v>0.49090457251500325</v>
      </c>
      <c r="I130" s="578">
        <f t="shared" si="34"/>
        <v>0</v>
      </c>
      <c r="J130" s="106"/>
      <c r="K130" s="806">
        <v>0</v>
      </c>
      <c r="L130" s="621">
        <f t="shared" si="35"/>
        <v>1</v>
      </c>
      <c r="M130" s="622">
        <f t="shared" si="36"/>
        <v>0.49090457251500325</v>
      </c>
      <c r="N130" s="391">
        <f t="shared" si="37"/>
        <v>0</v>
      </c>
    </row>
    <row r="131" spans="1:14">
      <c r="A131" s="1061">
        <f t="shared" si="22"/>
        <v>117</v>
      </c>
      <c r="B131" s="423">
        <v>36701</v>
      </c>
      <c r="C131" s="4" t="s">
        <v>16</v>
      </c>
      <c r="D131" s="806">
        <v>0</v>
      </c>
      <c r="E131" s="578">
        <v>0</v>
      </c>
      <c r="F131" s="578">
        <f t="shared" si="31"/>
        <v>0</v>
      </c>
      <c r="G131" s="620">
        <f t="shared" si="32"/>
        <v>1</v>
      </c>
      <c r="H131" s="622">
        <f t="shared" si="33"/>
        <v>0.49090457251500325</v>
      </c>
      <c r="I131" s="578">
        <f t="shared" si="34"/>
        <v>0</v>
      </c>
      <c r="J131" s="106"/>
      <c r="K131" s="806">
        <v>0</v>
      </c>
      <c r="L131" s="621">
        <f t="shared" si="35"/>
        <v>1</v>
      </c>
      <c r="M131" s="622">
        <f t="shared" si="36"/>
        <v>0.49090457251500325</v>
      </c>
      <c r="N131" s="391">
        <f t="shared" si="37"/>
        <v>0</v>
      </c>
    </row>
    <row r="132" spans="1:14">
      <c r="A132" s="1061">
        <f t="shared" si="22"/>
        <v>118</v>
      </c>
      <c r="B132" s="423">
        <v>37602</v>
      </c>
      <c r="C132" s="4" t="s">
        <v>862</v>
      </c>
      <c r="D132" s="806">
        <v>0</v>
      </c>
      <c r="E132" s="578">
        <v>0</v>
      </c>
      <c r="F132" s="578">
        <f t="shared" si="31"/>
        <v>0</v>
      </c>
      <c r="G132" s="620">
        <f t="shared" si="32"/>
        <v>1</v>
      </c>
      <c r="H132" s="622">
        <f t="shared" si="33"/>
        <v>0.49090457251500325</v>
      </c>
      <c r="I132" s="578">
        <f t="shared" si="34"/>
        <v>0</v>
      </c>
      <c r="J132" s="106"/>
      <c r="K132" s="806">
        <v>0</v>
      </c>
      <c r="L132" s="621">
        <f t="shared" si="35"/>
        <v>1</v>
      </c>
      <c r="M132" s="622">
        <f t="shared" si="36"/>
        <v>0.49090457251500325</v>
      </c>
      <c r="N132" s="391">
        <f t="shared" si="37"/>
        <v>0</v>
      </c>
    </row>
    <row r="133" spans="1:14">
      <c r="A133" s="1061">
        <f t="shared" si="22"/>
        <v>119</v>
      </c>
      <c r="B133" s="423">
        <v>37800</v>
      </c>
      <c r="C133" s="4" t="s">
        <v>234</v>
      </c>
      <c r="D133" s="806">
        <v>0</v>
      </c>
      <c r="E133" s="578">
        <v>0</v>
      </c>
      <c r="F133" s="578">
        <f t="shared" si="31"/>
        <v>0</v>
      </c>
      <c r="G133" s="620">
        <f t="shared" si="32"/>
        <v>1</v>
      </c>
      <c r="H133" s="622">
        <f t="shared" si="33"/>
        <v>0.49090457251500325</v>
      </c>
      <c r="I133" s="578">
        <f t="shared" si="34"/>
        <v>0</v>
      </c>
      <c r="J133" s="106"/>
      <c r="K133" s="806">
        <v>0</v>
      </c>
      <c r="L133" s="621">
        <f t="shared" si="35"/>
        <v>1</v>
      </c>
      <c r="M133" s="622">
        <f t="shared" si="36"/>
        <v>0.49090457251500325</v>
      </c>
      <c r="N133" s="391">
        <f t="shared" si="37"/>
        <v>0</v>
      </c>
    </row>
    <row r="134" spans="1:14">
      <c r="A134" s="1061">
        <f t="shared" si="22"/>
        <v>120</v>
      </c>
      <c r="B134" s="423">
        <v>37900</v>
      </c>
      <c r="C134" s="4" t="s">
        <v>1211</v>
      </c>
      <c r="D134" s="806">
        <v>0</v>
      </c>
      <c r="E134" s="578">
        <v>0</v>
      </c>
      <c r="F134" s="578">
        <f t="shared" si="31"/>
        <v>0</v>
      </c>
      <c r="G134" s="620">
        <f t="shared" si="32"/>
        <v>1</v>
      </c>
      <c r="H134" s="622">
        <f t="shared" si="33"/>
        <v>0.49090457251500325</v>
      </c>
      <c r="I134" s="578">
        <f t="shared" si="34"/>
        <v>0</v>
      </c>
      <c r="J134" s="106"/>
      <c r="K134" s="806">
        <v>0</v>
      </c>
      <c r="L134" s="621">
        <f t="shared" si="35"/>
        <v>1</v>
      </c>
      <c r="M134" s="622">
        <f t="shared" si="36"/>
        <v>0.49090457251500325</v>
      </c>
      <c r="N134" s="391">
        <f t="shared" si="37"/>
        <v>0</v>
      </c>
    </row>
    <row r="135" spans="1:14">
      <c r="A135" s="1061">
        <f t="shared" si="22"/>
        <v>121</v>
      </c>
      <c r="B135" s="423">
        <v>37905</v>
      </c>
      <c r="C135" s="4" t="s">
        <v>742</v>
      </c>
      <c r="D135" s="806">
        <v>0</v>
      </c>
      <c r="E135" s="578">
        <v>0</v>
      </c>
      <c r="F135" s="578">
        <f t="shared" si="31"/>
        <v>0</v>
      </c>
      <c r="G135" s="620">
        <f t="shared" si="32"/>
        <v>1</v>
      </c>
      <c r="H135" s="622">
        <f t="shared" si="33"/>
        <v>0.49090457251500325</v>
      </c>
      <c r="I135" s="578">
        <f t="shared" si="34"/>
        <v>0</v>
      </c>
      <c r="J135" s="106"/>
      <c r="K135" s="806">
        <v>0</v>
      </c>
      <c r="L135" s="621">
        <f t="shared" si="35"/>
        <v>1</v>
      </c>
      <c r="M135" s="622">
        <f t="shared" si="36"/>
        <v>0.49090457251500325</v>
      </c>
      <c r="N135" s="391">
        <f t="shared" si="37"/>
        <v>0</v>
      </c>
    </row>
    <row r="136" spans="1:14">
      <c r="A136" s="1061">
        <f t="shared" si="22"/>
        <v>122</v>
      </c>
      <c r="B136" s="423">
        <v>38000</v>
      </c>
      <c r="C136" s="4" t="s">
        <v>1072</v>
      </c>
      <c r="D136" s="806">
        <v>0</v>
      </c>
      <c r="E136" s="578">
        <v>0</v>
      </c>
      <c r="F136" s="578">
        <f t="shared" si="31"/>
        <v>0</v>
      </c>
      <c r="G136" s="620">
        <f t="shared" si="32"/>
        <v>1</v>
      </c>
      <c r="H136" s="622">
        <f t="shared" si="33"/>
        <v>0.49090457251500325</v>
      </c>
      <c r="I136" s="578">
        <f t="shared" si="34"/>
        <v>0</v>
      </c>
      <c r="J136" s="106"/>
      <c r="K136" s="806">
        <v>0</v>
      </c>
      <c r="L136" s="621">
        <f t="shared" si="35"/>
        <v>1</v>
      </c>
      <c r="M136" s="622">
        <f t="shared" si="36"/>
        <v>0.49090457251500325</v>
      </c>
      <c r="N136" s="391">
        <f t="shared" si="37"/>
        <v>0</v>
      </c>
    </row>
    <row r="137" spans="1:14">
      <c r="A137" s="1061">
        <f t="shared" si="22"/>
        <v>123</v>
      </c>
      <c r="B137" s="423">
        <v>38100</v>
      </c>
      <c r="C137" s="4" t="s">
        <v>863</v>
      </c>
      <c r="D137" s="806">
        <v>0</v>
      </c>
      <c r="E137" s="578">
        <v>0</v>
      </c>
      <c r="F137" s="578">
        <f t="shared" si="31"/>
        <v>0</v>
      </c>
      <c r="G137" s="620">
        <f t="shared" si="32"/>
        <v>1</v>
      </c>
      <c r="H137" s="622">
        <f t="shared" si="33"/>
        <v>0.49090457251500325</v>
      </c>
      <c r="I137" s="578">
        <f t="shared" si="34"/>
        <v>0</v>
      </c>
      <c r="J137" s="106"/>
      <c r="K137" s="806">
        <v>0</v>
      </c>
      <c r="L137" s="621">
        <f t="shared" si="35"/>
        <v>1</v>
      </c>
      <c r="M137" s="622">
        <f t="shared" si="36"/>
        <v>0.49090457251500325</v>
      </c>
      <c r="N137" s="391">
        <f t="shared" si="37"/>
        <v>0</v>
      </c>
    </row>
    <row r="138" spans="1:14">
      <c r="A138" s="1061">
        <f t="shared" si="22"/>
        <v>124</v>
      </c>
      <c r="B138" s="423">
        <v>38200</v>
      </c>
      <c r="C138" s="4" t="s">
        <v>456</v>
      </c>
      <c r="D138" s="806">
        <v>0</v>
      </c>
      <c r="E138" s="578">
        <v>0</v>
      </c>
      <c r="F138" s="578">
        <f t="shared" si="31"/>
        <v>0</v>
      </c>
      <c r="G138" s="620">
        <f t="shared" si="32"/>
        <v>1</v>
      </c>
      <c r="H138" s="622">
        <f t="shared" si="33"/>
        <v>0.49090457251500325</v>
      </c>
      <c r="I138" s="578">
        <f t="shared" si="34"/>
        <v>0</v>
      </c>
      <c r="J138" s="106"/>
      <c r="K138" s="806">
        <v>0</v>
      </c>
      <c r="L138" s="621">
        <f t="shared" si="35"/>
        <v>1</v>
      </c>
      <c r="M138" s="622">
        <f t="shared" si="36"/>
        <v>0.49090457251500325</v>
      </c>
      <c r="N138" s="391">
        <f t="shared" si="37"/>
        <v>0</v>
      </c>
    </row>
    <row r="139" spans="1:14">
      <c r="A139" s="1061">
        <f t="shared" si="22"/>
        <v>125</v>
      </c>
      <c r="B139" s="423">
        <v>38300</v>
      </c>
      <c r="C139" s="4" t="s">
        <v>1073</v>
      </c>
      <c r="D139" s="806">
        <v>0</v>
      </c>
      <c r="E139" s="578">
        <v>0</v>
      </c>
      <c r="F139" s="578">
        <f t="shared" si="31"/>
        <v>0</v>
      </c>
      <c r="G139" s="620">
        <f t="shared" si="32"/>
        <v>1</v>
      </c>
      <c r="H139" s="622">
        <f t="shared" si="33"/>
        <v>0.49090457251500325</v>
      </c>
      <c r="I139" s="578">
        <f t="shared" si="34"/>
        <v>0</v>
      </c>
      <c r="J139" s="106"/>
      <c r="K139" s="806">
        <v>0</v>
      </c>
      <c r="L139" s="621">
        <f t="shared" si="35"/>
        <v>1</v>
      </c>
      <c r="M139" s="622">
        <f t="shared" si="36"/>
        <v>0.49090457251500325</v>
      </c>
      <c r="N139" s="391">
        <f t="shared" si="37"/>
        <v>0</v>
      </c>
    </row>
    <row r="140" spans="1:14">
      <c r="A140" s="1061">
        <f t="shared" si="22"/>
        <v>126</v>
      </c>
      <c r="B140" s="423">
        <v>38400</v>
      </c>
      <c r="C140" s="4" t="s">
        <v>457</v>
      </c>
      <c r="D140" s="806">
        <v>0</v>
      </c>
      <c r="E140" s="578">
        <v>0</v>
      </c>
      <c r="F140" s="578">
        <f t="shared" si="31"/>
        <v>0</v>
      </c>
      <c r="G140" s="620">
        <f t="shared" si="32"/>
        <v>1</v>
      </c>
      <c r="H140" s="622">
        <f t="shared" si="33"/>
        <v>0.49090457251500325</v>
      </c>
      <c r="I140" s="578">
        <f t="shared" si="34"/>
        <v>0</v>
      </c>
      <c r="J140" s="106"/>
      <c r="K140" s="806">
        <v>0</v>
      </c>
      <c r="L140" s="621">
        <f t="shared" si="35"/>
        <v>1</v>
      </c>
      <c r="M140" s="622">
        <f t="shared" si="36"/>
        <v>0.49090457251500325</v>
      </c>
      <c r="N140" s="391">
        <f t="shared" si="37"/>
        <v>0</v>
      </c>
    </row>
    <row r="141" spans="1:14">
      <c r="A141" s="1061">
        <f t="shared" si="22"/>
        <v>127</v>
      </c>
      <c r="B141" s="423">
        <v>38500</v>
      </c>
      <c r="C141" s="4" t="s">
        <v>458</v>
      </c>
      <c r="D141" s="806">
        <v>0</v>
      </c>
      <c r="E141" s="578">
        <v>0</v>
      </c>
      <c r="F141" s="578">
        <f t="shared" si="31"/>
        <v>0</v>
      </c>
      <c r="G141" s="620">
        <f t="shared" si="32"/>
        <v>1</v>
      </c>
      <c r="H141" s="622">
        <f t="shared" si="33"/>
        <v>0.49090457251500325</v>
      </c>
      <c r="I141" s="578">
        <f t="shared" si="34"/>
        <v>0</v>
      </c>
      <c r="J141" s="106"/>
      <c r="K141" s="806">
        <v>0</v>
      </c>
      <c r="L141" s="621">
        <f t="shared" si="35"/>
        <v>1</v>
      </c>
      <c r="M141" s="622">
        <f t="shared" si="36"/>
        <v>0.49090457251500325</v>
      </c>
      <c r="N141" s="391">
        <f t="shared" si="37"/>
        <v>0</v>
      </c>
    </row>
    <row r="142" spans="1:14">
      <c r="A142" s="1061">
        <f t="shared" si="22"/>
        <v>128</v>
      </c>
      <c r="B142" s="423">
        <v>38600</v>
      </c>
      <c r="C142" s="4" t="s">
        <v>111</v>
      </c>
      <c r="D142" s="1135">
        <v>0</v>
      </c>
      <c r="E142" s="1141">
        <v>0</v>
      </c>
      <c r="F142" s="1141">
        <f t="shared" si="31"/>
        <v>0</v>
      </c>
      <c r="G142" s="620">
        <f t="shared" si="32"/>
        <v>1</v>
      </c>
      <c r="H142" s="622">
        <f t="shared" si="33"/>
        <v>0.49090457251500325</v>
      </c>
      <c r="I142" s="1141">
        <f t="shared" si="34"/>
        <v>0</v>
      </c>
      <c r="J142" s="106"/>
      <c r="K142" s="1135">
        <v>0</v>
      </c>
      <c r="L142" s="621">
        <f t="shared" si="35"/>
        <v>1</v>
      </c>
      <c r="M142" s="622">
        <f t="shared" si="36"/>
        <v>0.49090457251500325</v>
      </c>
      <c r="N142" s="392">
        <f t="shared" si="37"/>
        <v>0</v>
      </c>
    </row>
    <row r="143" spans="1:14">
      <c r="A143" s="1061">
        <f t="shared" si="22"/>
        <v>129</v>
      </c>
      <c r="B143" s="421"/>
      <c r="C143" s="4"/>
      <c r="D143" s="106"/>
      <c r="E143" s="106"/>
      <c r="F143" s="106"/>
      <c r="G143" s="1128"/>
      <c r="H143" s="1128"/>
      <c r="I143" s="106"/>
      <c r="J143" s="106"/>
      <c r="K143" s="106"/>
      <c r="M143" s="622"/>
    </row>
    <row r="144" spans="1:14">
      <c r="A144" s="1061">
        <f t="shared" si="22"/>
        <v>130</v>
      </c>
      <c r="B144" s="421"/>
      <c r="C144" s="4" t="s">
        <v>308</v>
      </c>
      <c r="D144" s="459">
        <f>SUM(D122:D143)</f>
        <v>0</v>
      </c>
      <c r="E144" s="445">
        <f>SUM(E122:E143)</f>
        <v>0</v>
      </c>
      <c r="F144" s="445">
        <f>SUM(F122:F143)</f>
        <v>0</v>
      </c>
      <c r="G144" s="1128"/>
      <c r="H144" s="1128"/>
      <c r="I144" s="445">
        <f>SUM(I122:I143)</f>
        <v>0</v>
      </c>
      <c r="J144" s="106"/>
      <c r="K144" s="459">
        <f>SUM(K122:K143)</f>
        <v>0</v>
      </c>
      <c r="M144" s="622"/>
      <c r="N144" s="382">
        <f>SUM(N122:N143)</f>
        <v>0</v>
      </c>
    </row>
    <row r="145" spans="1:19">
      <c r="A145" s="1061">
        <f t="shared" ref="A145:A208" si="38">A144+1</f>
        <v>131</v>
      </c>
      <c r="B145" s="421"/>
      <c r="C145" s="4"/>
      <c r="D145" s="106"/>
      <c r="E145" s="106"/>
      <c r="F145" s="106"/>
      <c r="G145" s="1128"/>
      <c r="H145" s="1128"/>
      <c r="I145" s="106"/>
      <c r="J145" s="106"/>
      <c r="K145" s="106"/>
      <c r="M145" s="622"/>
    </row>
    <row r="146" spans="1:19">
      <c r="A146" s="1061">
        <f t="shared" si="38"/>
        <v>132</v>
      </c>
      <c r="B146" s="421"/>
      <c r="C146" s="17" t="s">
        <v>1190</v>
      </c>
      <c r="D146" s="106"/>
      <c r="E146" s="106"/>
      <c r="F146" s="106"/>
      <c r="G146" s="1128"/>
      <c r="H146" s="1128"/>
      <c r="I146" s="106"/>
      <c r="J146" s="106"/>
      <c r="K146" s="106"/>
      <c r="M146" s="622"/>
    </row>
    <row r="147" spans="1:19">
      <c r="A147" s="1061">
        <f t="shared" si="38"/>
        <v>133</v>
      </c>
      <c r="B147" s="423">
        <v>39001</v>
      </c>
      <c r="C147" s="4" t="s">
        <v>556</v>
      </c>
      <c r="D147" s="414">
        <v>179338.52</v>
      </c>
      <c r="E147" s="445">
        <v>0</v>
      </c>
      <c r="F147" s="445">
        <f t="shared" ref="F147:F162" si="39">D147+E147</f>
        <v>179338.52</v>
      </c>
      <c r="G147" s="620">
        <f t="shared" ref="G147:G162" si="40">$G$16</f>
        <v>1</v>
      </c>
      <c r="H147" s="622">
        <f t="shared" ref="H147:H162" si="41">$H$116</f>
        <v>0.49090457251500325</v>
      </c>
      <c r="I147" s="445">
        <f t="shared" ref="I147:I162" si="42">F147*G147*H147</f>
        <v>88038.099496073351</v>
      </c>
      <c r="J147" s="106"/>
      <c r="K147" s="414">
        <v>179338.52</v>
      </c>
      <c r="L147" s="621">
        <f t="shared" ref="L147:L162" si="43">G147</f>
        <v>1</v>
      </c>
      <c r="M147" s="622">
        <f t="shared" ref="M147:M162" si="44">H147</f>
        <v>0.49090457251500325</v>
      </c>
      <c r="N147" s="382">
        <f t="shared" ref="N147:N162" si="45">K147*L147*M147</f>
        <v>88038.099496073351</v>
      </c>
      <c r="S147" s="78"/>
    </row>
    <row r="148" spans="1:19">
      <c r="A148" s="1061">
        <f t="shared" si="38"/>
        <v>134</v>
      </c>
      <c r="B148" s="423">
        <v>39004</v>
      </c>
      <c r="C148" s="4" t="s">
        <v>459</v>
      </c>
      <c r="D148" s="414">
        <v>5771</v>
      </c>
      <c r="E148" s="578">
        <v>0</v>
      </c>
      <c r="F148" s="578">
        <f t="shared" si="39"/>
        <v>5771</v>
      </c>
      <c r="G148" s="620">
        <f t="shared" si="40"/>
        <v>1</v>
      </c>
      <c r="H148" s="622">
        <f t="shared" si="41"/>
        <v>0.49090457251500325</v>
      </c>
      <c r="I148" s="578">
        <f t="shared" si="42"/>
        <v>2833.0102879840838</v>
      </c>
      <c r="J148" s="106"/>
      <c r="K148" s="414">
        <v>5771</v>
      </c>
      <c r="L148" s="621">
        <f t="shared" si="43"/>
        <v>1</v>
      </c>
      <c r="M148" s="622">
        <f t="shared" si="44"/>
        <v>0.49090457251500325</v>
      </c>
      <c r="N148" s="391">
        <f t="shared" si="45"/>
        <v>2833.0102879840838</v>
      </c>
      <c r="S148" s="78"/>
    </row>
    <row r="149" spans="1:19">
      <c r="A149" s="1061">
        <f t="shared" si="38"/>
        <v>135</v>
      </c>
      <c r="B149" s="423">
        <v>39009</v>
      </c>
      <c r="C149" s="4" t="s">
        <v>1056</v>
      </c>
      <c r="D149" s="414">
        <v>188834</v>
      </c>
      <c r="E149" s="578">
        <v>0</v>
      </c>
      <c r="F149" s="578">
        <f t="shared" si="39"/>
        <v>188834</v>
      </c>
      <c r="G149" s="620">
        <f t="shared" si="40"/>
        <v>1</v>
      </c>
      <c r="H149" s="622">
        <f t="shared" si="41"/>
        <v>0.49090457251500325</v>
      </c>
      <c r="I149" s="578">
        <f t="shared" si="42"/>
        <v>92699.474046298128</v>
      </c>
      <c r="J149" s="106"/>
      <c r="K149" s="414">
        <v>154218.61538461538</v>
      </c>
      <c r="L149" s="621">
        <f t="shared" si="43"/>
        <v>1</v>
      </c>
      <c r="M149" s="622">
        <f t="shared" si="44"/>
        <v>0.49090457251500325</v>
      </c>
      <c r="N149" s="391">
        <f t="shared" si="45"/>
        <v>75706.62345924032</v>
      </c>
      <c r="S149" s="78"/>
    </row>
    <row r="150" spans="1:19">
      <c r="A150" s="1061">
        <f t="shared" si="38"/>
        <v>136</v>
      </c>
      <c r="B150" s="423">
        <v>39100</v>
      </c>
      <c r="C150" s="4" t="s">
        <v>796</v>
      </c>
      <c r="D150" s="414">
        <v>42652.820000000007</v>
      </c>
      <c r="E150" s="578">
        <v>0</v>
      </c>
      <c r="F150" s="578">
        <f t="shared" si="39"/>
        <v>42652.820000000007</v>
      </c>
      <c r="G150" s="620">
        <f t="shared" si="40"/>
        <v>1</v>
      </c>
      <c r="H150" s="622">
        <f t="shared" si="41"/>
        <v>0.49090457251500325</v>
      </c>
      <c r="I150" s="578">
        <f t="shared" si="42"/>
        <v>20938.464368659384</v>
      </c>
      <c r="J150" s="106"/>
      <c r="K150" s="414">
        <v>42652.820000000014</v>
      </c>
      <c r="L150" s="621">
        <f t="shared" si="43"/>
        <v>1</v>
      </c>
      <c r="M150" s="622">
        <f t="shared" si="44"/>
        <v>0.49090457251500325</v>
      </c>
      <c r="N150" s="391">
        <f t="shared" si="45"/>
        <v>20938.464368659388</v>
      </c>
      <c r="S150" s="78"/>
    </row>
    <row r="151" spans="1:19">
      <c r="A151" s="1061">
        <f t="shared" si="38"/>
        <v>137</v>
      </c>
      <c r="B151" s="423">
        <v>39200</v>
      </c>
      <c r="C151" s="4" t="s">
        <v>1096</v>
      </c>
      <c r="D151" s="414">
        <v>4109.6899999999996</v>
      </c>
      <c r="E151" s="578">
        <v>0</v>
      </c>
      <c r="F151" s="578">
        <f t="shared" si="39"/>
        <v>4109.6899999999996</v>
      </c>
      <c r="G151" s="620">
        <f t="shared" si="40"/>
        <v>1</v>
      </c>
      <c r="H151" s="622">
        <f t="shared" si="41"/>
        <v>0.49090457251500325</v>
      </c>
      <c r="I151" s="578">
        <f t="shared" si="42"/>
        <v>2017.4656126191835</v>
      </c>
      <c r="J151" s="106"/>
      <c r="K151" s="414">
        <v>4109.6900000000005</v>
      </c>
      <c r="L151" s="621">
        <f t="shared" si="43"/>
        <v>1</v>
      </c>
      <c r="M151" s="622">
        <f t="shared" si="44"/>
        <v>0.49090457251500325</v>
      </c>
      <c r="N151" s="391">
        <f t="shared" si="45"/>
        <v>2017.465612619184</v>
      </c>
      <c r="S151" s="78"/>
    </row>
    <row r="152" spans="1:19">
      <c r="A152" s="1061">
        <f t="shared" si="38"/>
        <v>138</v>
      </c>
      <c r="B152" s="423">
        <v>39400</v>
      </c>
      <c r="C152" s="4" t="s">
        <v>1055</v>
      </c>
      <c r="D152" s="414">
        <v>163707.46</v>
      </c>
      <c r="E152" s="578">
        <v>0</v>
      </c>
      <c r="F152" s="578">
        <f t="shared" si="39"/>
        <v>163707.46</v>
      </c>
      <c r="G152" s="620">
        <f t="shared" si="40"/>
        <v>1</v>
      </c>
      <c r="H152" s="622">
        <f t="shared" si="41"/>
        <v>0.49090457251500325</v>
      </c>
      <c r="I152" s="578">
        <f t="shared" si="42"/>
        <v>80364.740668816987</v>
      </c>
      <c r="J152" s="106"/>
      <c r="K152" s="414">
        <v>163707.46</v>
      </c>
      <c r="L152" s="621">
        <f t="shared" si="43"/>
        <v>1</v>
      </c>
      <c r="M152" s="622">
        <f t="shared" si="44"/>
        <v>0.49090457251500325</v>
      </c>
      <c r="N152" s="391">
        <f t="shared" si="45"/>
        <v>80364.740668816987</v>
      </c>
      <c r="S152" s="78"/>
    </row>
    <row r="153" spans="1:19">
      <c r="A153" s="1061">
        <f t="shared" si="38"/>
        <v>139</v>
      </c>
      <c r="B153" s="423">
        <v>39600</v>
      </c>
      <c r="C153" s="4" t="s">
        <v>557</v>
      </c>
      <c r="D153" s="414">
        <v>11037.170000000002</v>
      </c>
      <c r="E153" s="578">
        <v>0</v>
      </c>
      <c r="F153" s="578">
        <f t="shared" si="39"/>
        <v>11037.170000000002</v>
      </c>
      <c r="G153" s="620">
        <f t="shared" si="40"/>
        <v>1</v>
      </c>
      <c r="H153" s="622">
        <f t="shared" si="41"/>
        <v>0.49090457251500325</v>
      </c>
      <c r="I153" s="578">
        <f t="shared" si="42"/>
        <v>5418.1972206254195</v>
      </c>
      <c r="J153" s="106"/>
      <c r="K153" s="414">
        <v>11037.170000000002</v>
      </c>
      <c r="L153" s="621">
        <f t="shared" si="43"/>
        <v>1</v>
      </c>
      <c r="M153" s="622">
        <f t="shared" si="44"/>
        <v>0.49090457251500325</v>
      </c>
      <c r="N153" s="391">
        <f t="shared" si="45"/>
        <v>5418.1972206254195</v>
      </c>
      <c r="S153" s="78"/>
    </row>
    <row r="154" spans="1:19">
      <c r="A154" s="1061">
        <f t="shared" si="38"/>
        <v>140</v>
      </c>
      <c r="B154" s="423">
        <v>39700</v>
      </c>
      <c r="C154" s="4" t="s">
        <v>454</v>
      </c>
      <c r="D154" s="414">
        <v>225613.58</v>
      </c>
      <c r="E154" s="578">
        <v>0</v>
      </c>
      <c r="F154" s="578">
        <f t="shared" si="39"/>
        <v>225613.58</v>
      </c>
      <c r="G154" s="620">
        <f t="shared" si="40"/>
        <v>1</v>
      </c>
      <c r="H154" s="622">
        <f t="shared" si="41"/>
        <v>0.49090457251500325</v>
      </c>
      <c r="I154" s="578">
        <f t="shared" si="42"/>
        <v>110754.73804347948</v>
      </c>
      <c r="J154" s="106"/>
      <c r="K154" s="414">
        <v>225613.58000000005</v>
      </c>
      <c r="L154" s="621">
        <f t="shared" si="43"/>
        <v>1</v>
      </c>
      <c r="M154" s="622">
        <f t="shared" si="44"/>
        <v>0.49090457251500325</v>
      </c>
      <c r="N154" s="391">
        <f t="shared" si="45"/>
        <v>110754.7380434795</v>
      </c>
      <c r="S154" s="78"/>
    </row>
    <row r="155" spans="1:19">
      <c r="A155" s="1061">
        <f t="shared" si="38"/>
        <v>141</v>
      </c>
      <c r="B155" s="423">
        <v>39800</v>
      </c>
      <c r="C155" s="4" t="s">
        <v>666</v>
      </c>
      <c r="D155" s="414">
        <v>882228.18</v>
      </c>
      <c r="E155" s="578">
        <v>0</v>
      </c>
      <c r="F155" s="578">
        <f t="shared" si="39"/>
        <v>882228.18</v>
      </c>
      <c r="G155" s="620">
        <f t="shared" si="40"/>
        <v>1</v>
      </c>
      <c r="H155" s="622">
        <f t="shared" si="41"/>
        <v>0.49090457251500325</v>
      </c>
      <c r="I155" s="578">
        <f t="shared" si="42"/>
        <v>433089.84756358934</v>
      </c>
      <c r="J155" s="106"/>
      <c r="K155" s="414">
        <v>882228.17999999982</v>
      </c>
      <c r="L155" s="621">
        <f t="shared" si="43"/>
        <v>1</v>
      </c>
      <c r="M155" s="622">
        <f t="shared" si="44"/>
        <v>0.49090457251500325</v>
      </c>
      <c r="N155" s="391">
        <f t="shared" si="45"/>
        <v>433089.84756358922</v>
      </c>
      <c r="S155" s="78"/>
    </row>
    <row r="156" spans="1:19">
      <c r="A156" s="1061">
        <f t="shared" si="38"/>
        <v>142</v>
      </c>
      <c r="B156" s="423">
        <v>39900</v>
      </c>
      <c r="C156" s="4" t="s">
        <v>1173</v>
      </c>
      <c r="D156" s="414">
        <v>76993.22</v>
      </c>
      <c r="E156" s="578">
        <v>0</v>
      </c>
      <c r="F156" s="578">
        <f t="shared" si="39"/>
        <v>76993.22</v>
      </c>
      <c r="G156" s="620">
        <f t="shared" si="40"/>
        <v>1</v>
      </c>
      <c r="H156" s="622">
        <f t="shared" si="41"/>
        <v>0.49090457251500325</v>
      </c>
      <c r="I156" s="578">
        <f t="shared" si="42"/>
        <v>37796.323750653595</v>
      </c>
      <c r="J156" s="106"/>
      <c r="K156" s="414">
        <v>76993.219999999987</v>
      </c>
      <c r="L156" s="621">
        <f t="shared" si="43"/>
        <v>1</v>
      </c>
      <c r="M156" s="622">
        <f t="shared" si="44"/>
        <v>0.49090457251500325</v>
      </c>
      <c r="N156" s="391">
        <f t="shared" si="45"/>
        <v>37796.323750653595</v>
      </c>
      <c r="S156" s="78"/>
    </row>
    <row r="157" spans="1:19">
      <c r="A157" s="1061">
        <f t="shared" si="38"/>
        <v>143</v>
      </c>
      <c r="B157" s="423">
        <v>39901</v>
      </c>
      <c r="C157" s="4" t="s">
        <v>489</v>
      </c>
      <c r="D157" s="414">
        <v>344193.54</v>
      </c>
      <c r="E157" s="578">
        <v>0</v>
      </c>
      <c r="F157" s="578">
        <f t="shared" si="39"/>
        <v>344193.54</v>
      </c>
      <c r="G157" s="620">
        <f t="shared" si="40"/>
        <v>1</v>
      </c>
      <c r="H157" s="622">
        <f t="shared" si="41"/>
        <v>0.49090457251500325</v>
      </c>
      <c r="I157" s="578">
        <f t="shared" si="42"/>
        <v>168966.18261612565</v>
      </c>
      <c r="J157" s="106"/>
      <c r="K157" s="414">
        <v>344193.54</v>
      </c>
      <c r="L157" s="621">
        <f t="shared" si="43"/>
        <v>1</v>
      </c>
      <c r="M157" s="622">
        <f t="shared" si="44"/>
        <v>0.49090457251500325</v>
      </c>
      <c r="N157" s="391">
        <f t="shared" si="45"/>
        <v>168966.18261612565</v>
      </c>
      <c r="S157" s="78"/>
    </row>
    <row r="158" spans="1:19">
      <c r="A158" s="1061">
        <f t="shared" si="38"/>
        <v>144</v>
      </c>
      <c r="B158" s="423">
        <v>39902</v>
      </c>
      <c r="C158" s="4" t="s">
        <v>979</v>
      </c>
      <c r="D158" s="414">
        <v>8273.14</v>
      </c>
      <c r="E158" s="578">
        <v>0</v>
      </c>
      <c r="F158" s="578">
        <f t="shared" si="39"/>
        <v>8273.14</v>
      </c>
      <c r="G158" s="620">
        <f t="shared" si="40"/>
        <v>1</v>
      </c>
      <c r="H158" s="622">
        <f t="shared" si="41"/>
        <v>0.49090457251500325</v>
      </c>
      <c r="I158" s="578">
        <f t="shared" si="42"/>
        <v>4061.3222550567739</v>
      </c>
      <c r="J158" s="106"/>
      <c r="K158" s="414">
        <v>8273.14</v>
      </c>
      <c r="L158" s="621">
        <f t="shared" si="43"/>
        <v>1</v>
      </c>
      <c r="M158" s="622">
        <f t="shared" si="44"/>
        <v>0.49090457251500325</v>
      </c>
      <c r="N158" s="391">
        <f t="shared" si="45"/>
        <v>4061.3222550567739</v>
      </c>
      <c r="S158" s="78"/>
    </row>
    <row r="159" spans="1:19">
      <c r="A159" s="1061">
        <f t="shared" si="38"/>
        <v>145</v>
      </c>
      <c r="B159" s="423">
        <v>39903</v>
      </c>
      <c r="C159" s="4" t="s">
        <v>1022</v>
      </c>
      <c r="D159" s="414">
        <v>209357.66</v>
      </c>
      <c r="E159" s="578">
        <v>0</v>
      </c>
      <c r="F159" s="578">
        <f t="shared" si="39"/>
        <v>209357.66</v>
      </c>
      <c r="G159" s="620">
        <f t="shared" si="40"/>
        <v>1</v>
      </c>
      <c r="H159" s="622">
        <f t="shared" si="41"/>
        <v>0.49090457251500325</v>
      </c>
      <c r="I159" s="578">
        <f t="shared" si="42"/>
        <v>102774.6325850414</v>
      </c>
      <c r="J159" s="106"/>
      <c r="K159" s="414">
        <v>209357.66</v>
      </c>
      <c r="L159" s="621">
        <f t="shared" si="43"/>
        <v>1</v>
      </c>
      <c r="M159" s="622">
        <f t="shared" si="44"/>
        <v>0.49090457251500325</v>
      </c>
      <c r="N159" s="391">
        <f t="shared" si="45"/>
        <v>102774.6325850414</v>
      </c>
      <c r="S159" s="78"/>
    </row>
    <row r="160" spans="1:19">
      <c r="A160" s="1061">
        <f t="shared" si="38"/>
        <v>146</v>
      </c>
      <c r="B160" s="423">
        <v>39906</v>
      </c>
      <c r="C160" s="4" t="s">
        <v>465</v>
      </c>
      <c r="D160" s="414">
        <v>325080.34000000003</v>
      </c>
      <c r="E160" s="578">
        <v>0</v>
      </c>
      <c r="F160" s="578">
        <f t="shared" si="39"/>
        <v>325080.34000000003</v>
      </c>
      <c r="G160" s="620">
        <f t="shared" si="40"/>
        <v>1</v>
      </c>
      <c r="H160" s="622">
        <f t="shared" si="41"/>
        <v>0.49090457251500325</v>
      </c>
      <c r="I160" s="578">
        <f t="shared" si="42"/>
        <v>159583.42534073192</v>
      </c>
      <c r="J160" s="106"/>
      <c r="K160" s="414">
        <v>325080.33999999997</v>
      </c>
      <c r="L160" s="621">
        <f t="shared" si="43"/>
        <v>1</v>
      </c>
      <c r="M160" s="622">
        <f t="shared" si="44"/>
        <v>0.49090457251500325</v>
      </c>
      <c r="N160" s="391">
        <f t="shared" si="45"/>
        <v>159583.42534073189</v>
      </c>
      <c r="S160" s="78"/>
    </row>
    <row r="161" spans="1:19">
      <c r="A161" s="1061">
        <f t="shared" si="38"/>
        <v>147</v>
      </c>
      <c r="B161" s="423">
        <v>39907</v>
      </c>
      <c r="C161" s="4" t="s">
        <v>520</v>
      </c>
      <c r="D161" s="414">
        <v>74880.070000000007</v>
      </c>
      <c r="E161" s="578">
        <v>0</v>
      </c>
      <c r="F161" s="578">
        <f t="shared" si="39"/>
        <v>74880.070000000007</v>
      </c>
      <c r="G161" s="620">
        <f t="shared" si="40"/>
        <v>1</v>
      </c>
      <c r="H161" s="622">
        <f t="shared" si="41"/>
        <v>0.49090457251500325</v>
      </c>
      <c r="I161" s="578">
        <f t="shared" si="42"/>
        <v>36758.96875324352</v>
      </c>
      <c r="J161" s="106"/>
      <c r="K161" s="414">
        <v>74880.070000000036</v>
      </c>
      <c r="L161" s="621">
        <f t="shared" si="43"/>
        <v>1</v>
      </c>
      <c r="M161" s="555">
        <f t="shared" si="44"/>
        <v>0.49090457251500325</v>
      </c>
      <c r="N161" s="391">
        <f t="shared" si="45"/>
        <v>36758.968753243535</v>
      </c>
      <c r="S161" s="78"/>
    </row>
    <row r="162" spans="1:19">
      <c r="A162" s="1061">
        <f t="shared" si="38"/>
        <v>148</v>
      </c>
      <c r="B162" s="423">
        <v>39908</v>
      </c>
      <c r="C162" s="4" t="s">
        <v>184</v>
      </c>
      <c r="D162" s="414">
        <v>898473.13</v>
      </c>
      <c r="E162" s="578">
        <v>0</v>
      </c>
      <c r="F162" s="578">
        <f t="shared" si="39"/>
        <v>898473.13</v>
      </c>
      <c r="G162" s="620">
        <f t="shared" si="40"/>
        <v>1</v>
      </c>
      <c r="H162" s="622">
        <f t="shared" si="41"/>
        <v>0.49090457251500325</v>
      </c>
      <c r="I162" s="578">
        <f t="shared" si="42"/>
        <v>441064.56779886695</v>
      </c>
      <c r="J162" s="106"/>
      <c r="K162" s="414">
        <v>898473.13000000024</v>
      </c>
      <c r="L162" s="621">
        <f t="shared" si="43"/>
        <v>1</v>
      </c>
      <c r="M162" s="555">
        <f t="shared" si="44"/>
        <v>0.49090457251500325</v>
      </c>
      <c r="N162" s="391">
        <f t="shared" si="45"/>
        <v>441064.56779886706</v>
      </c>
      <c r="S162" s="78"/>
    </row>
    <row r="163" spans="1:19">
      <c r="A163" s="1061">
        <f t="shared" si="38"/>
        <v>149</v>
      </c>
      <c r="B163" s="421"/>
      <c r="C163" s="4"/>
      <c r="D163" s="809"/>
      <c r="E163" s="809"/>
      <c r="F163" s="809"/>
      <c r="G163" s="1128"/>
      <c r="H163" s="1128"/>
      <c r="I163" s="809"/>
      <c r="J163" s="106"/>
      <c r="K163" s="809"/>
      <c r="N163" s="786"/>
    </row>
    <row r="164" spans="1:19">
      <c r="A164" s="1061">
        <f t="shared" si="38"/>
        <v>150</v>
      </c>
      <c r="B164" s="421"/>
      <c r="C164" s="4" t="s">
        <v>4</v>
      </c>
      <c r="D164" s="459">
        <f>SUM(D147:D163)</f>
        <v>3640543.5199999996</v>
      </c>
      <c r="E164" s="445">
        <f>SUM(E147:E163)</f>
        <v>0</v>
      </c>
      <c r="F164" s="459">
        <f>SUM(F147:F163)</f>
        <v>3640543.5199999996</v>
      </c>
      <c r="G164" s="1128"/>
      <c r="H164" s="1128"/>
      <c r="I164" s="459">
        <f>SUM(I147:I163)</f>
        <v>1787159.460407865</v>
      </c>
      <c r="J164" s="106"/>
      <c r="K164" s="459">
        <f>SUM(K147:K163)</f>
        <v>3605928.1353846155</v>
      </c>
      <c r="N164" s="404">
        <f>SUM(N147:N163)</f>
        <v>1770166.6098208074</v>
      </c>
    </row>
    <row r="165" spans="1:19">
      <c r="A165" s="1061">
        <f t="shared" si="38"/>
        <v>151</v>
      </c>
      <c r="B165" s="421"/>
      <c r="C165" s="4"/>
      <c r="D165" s="106"/>
      <c r="E165" s="106"/>
      <c r="F165" s="106"/>
      <c r="G165" s="1128"/>
      <c r="H165" s="1128"/>
      <c r="I165" s="106"/>
      <c r="J165" s="106"/>
      <c r="K165" s="106"/>
    </row>
    <row r="166" spans="1:19" ht="15.75" thickBot="1">
      <c r="A166" s="1061">
        <f t="shared" si="38"/>
        <v>152</v>
      </c>
      <c r="B166" s="421"/>
      <c r="C166" s="245" t="s">
        <v>1363</v>
      </c>
      <c r="D166" s="1136">
        <f>D119+D144+D164</f>
        <v>4935404.47</v>
      </c>
      <c r="E166" s="425">
        <f>E119+E144+E164</f>
        <v>0</v>
      </c>
      <c r="F166" s="1136">
        <f>F119+F144+F164</f>
        <v>4935404.47</v>
      </c>
      <c r="G166" s="1128"/>
      <c r="H166" s="1128"/>
      <c r="I166" s="1136">
        <f>I119+I144+I164</f>
        <v>2422812.6215339862</v>
      </c>
      <c r="J166" s="106"/>
      <c r="K166" s="1136">
        <f>K119+K144+K164</f>
        <v>4900789.0853846157</v>
      </c>
      <c r="N166" s="412">
        <f>N119+N144+N164</f>
        <v>2405819.7709469283</v>
      </c>
      <c r="P166" s="1055"/>
      <c r="Q166" s="1055"/>
    </row>
    <row r="167" spans="1:19" ht="15.75" thickTop="1">
      <c r="A167" s="1061">
        <f t="shared" si="38"/>
        <v>153</v>
      </c>
      <c r="B167" s="421"/>
      <c r="C167" s="115"/>
      <c r="D167" s="414"/>
      <c r="E167" s="424"/>
      <c r="F167" s="424"/>
      <c r="G167" s="1128"/>
      <c r="H167" s="1128"/>
      <c r="I167" s="424"/>
      <c r="J167" s="106"/>
      <c r="K167" s="106"/>
    </row>
    <row r="168" spans="1:19">
      <c r="A168" s="1061">
        <f t="shared" si="38"/>
        <v>154</v>
      </c>
      <c r="B168" s="421"/>
      <c r="C168" s="107" t="s">
        <v>766</v>
      </c>
      <c r="D168" s="414">
        <v>-174493.9</v>
      </c>
      <c r="E168" s="424">
        <v>0</v>
      </c>
      <c r="F168" s="424">
        <f>D168+E168</f>
        <v>-174493.9</v>
      </c>
      <c r="G168" s="620">
        <f>$G$16</f>
        <v>1</v>
      </c>
      <c r="H168" s="622">
        <f>$H$116</f>
        <v>0.49090457251500325</v>
      </c>
      <c r="I168" s="424">
        <f>F168*G168*H168</f>
        <v>-85659.853385975715</v>
      </c>
      <c r="J168" s="106"/>
      <c r="K168" s="414">
        <v>-174493.89999999997</v>
      </c>
      <c r="L168" s="621">
        <f>G168</f>
        <v>1</v>
      </c>
      <c r="M168" s="555">
        <f>H168</f>
        <v>0.49090457251500325</v>
      </c>
      <c r="N168" s="420">
        <f>K168*L168*M168</f>
        <v>-85659.853385975701</v>
      </c>
    </row>
    <row r="169" spans="1:19">
      <c r="A169" s="1061">
        <f t="shared" si="38"/>
        <v>155</v>
      </c>
      <c r="B169" s="421"/>
      <c r="D169" s="106"/>
      <c r="E169" s="106"/>
      <c r="F169" s="106"/>
      <c r="G169" s="1128"/>
      <c r="H169" s="1128"/>
      <c r="I169" s="106"/>
      <c r="J169" s="106"/>
      <c r="K169" s="106"/>
    </row>
    <row r="170" spans="1:19" ht="15.75">
      <c r="A170" s="1061">
        <f t="shared" si="38"/>
        <v>156</v>
      </c>
      <c r="B170" s="416" t="s">
        <v>8</v>
      </c>
      <c r="D170" s="106"/>
      <c r="E170" s="106"/>
      <c r="F170" s="106"/>
      <c r="G170" s="1128"/>
      <c r="H170" s="1128"/>
      <c r="I170" s="106"/>
      <c r="J170" s="106"/>
      <c r="K170" s="106"/>
    </row>
    <row r="171" spans="1:19">
      <c r="A171" s="1061">
        <f t="shared" si="38"/>
        <v>157</v>
      </c>
      <c r="B171" s="421"/>
      <c r="D171" s="106"/>
      <c r="E171" s="106"/>
      <c r="F171" s="106"/>
      <c r="G171" s="1128"/>
      <c r="H171" s="1128"/>
      <c r="I171" s="106"/>
      <c r="J171" s="106"/>
      <c r="K171" s="106"/>
    </row>
    <row r="172" spans="1:19">
      <c r="A172" s="1061">
        <f t="shared" si="38"/>
        <v>158</v>
      </c>
      <c r="B172" s="421"/>
      <c r="C172" s="810" t="s">
        <v>309</v>
      </c>
      <c r="D172" s="106"/>
      <c r="E172" s="106"/>
      <c r="F172" s="106"/>
      <c r="G172" s="1128"/>
      <c r="H172" s="1128"/>
      <c r="I172" s="106"/>
      <c r="J172" s="106"/>
      <c r="K172" s="106"/>
    </row>
    <row r="173" spans="1:19">
      <c r="A173" s="1061">
        <f t="shared" si="38"/>
        <v>159</v>
      </c>
      <c r="B173" s="413">
        <v>39000</v>
      </c>
      <c r="C173" s="308" t="s">
        <v>874</v>
      </c>
      <c r="D173" s="414">
        <v>2406158.4247643272</v>
      </c>
      <c r="E173" s="445">
        <v>0</v>
      </c>
      <c r="F173" s="445">
        <f t="shared" ref="F173:F194" si="46">D173+E173</f>
        <v>2406158.4247643272</v>
      </c>
      <c r="G173" s="622">
        <f>Allocation!$C$14</f>
        <v>0.1071</v>
      </c>
      <c r="H173" s="622">
        <f>Allocation!$D$14</f>
        <v>0.49090457251500325</v>
      </c>
      <c r="I173" s="445">
        <f t="shared" ref="I173:I194" si="47">F173*G173*H173</f>
        <v>126505.89591890793</v>
      </c>
      <c r="J173" s="106"/>
      <c r="K173" s="414">
        <v>2328248.7189121102</v>
      </c>
      <c r="L173" s="555">
        <f t="shared" ref="L173:L194" si="48">G173</f>
        <v>0.1071</v>
      </c>
      <c r="M173" s="555">
        <f t="shared" ref="M173:M194" si="49">H173</f>
        <v>0.49090457251500325</v>
      </c>
      <c r="N173" s="382">
        <f t="shared" ref="N173:N194" si="50">K173*L173*M173</f>
        <v>122409.72459528504</v>
      </c>
      <c r="P173" s="872"/>
      <c r="S173" s="78"/>
    </row>
    <row r="174" spans="1:19">
      <c r="A174" s="1061">
        <f t="shared" si="38"/>
        <v>160</v>
      </c>
      <c r="B174" s="413">
        <v>39005</v>
      </c>
      <c r="C174" s="308" t="s">
        <v>1217</v>
      </c>
      <c r="D174" s="414">
        <v>9199400.5099999998</v>
      </c>
      <c r="E174" s="812">
        <v>0</v>
      </c>
      <c r="F174" s="578">
        <f>D174+E174</f>
        <v>9199400.5099999998</v>
      </c>
      <c r="G174" s="622">
        <v>1</v>
      </c>
      <c r="H174" s="622">
        <f>Allocation!$E$20</f>
        <v>1.5418259551017742E-2</v>
      </c>
      <c r="I174" s="578">
        <f>F174*G174*H174</f>
        <v>141838.74477694498</v>
      </c>
      <c r="J174" s="106"/>
      <c r="K174" s="414">
        <v>9199400.5100000016</v>
      </c>
      <c r="L174" s="555">
        <f>G174</f>
        <v>1</v>
      </c>
      <c r="M174" s="555">
        <f>H174</f>
        <v>1.5418259551017742E-2</v>
      </c>
      <c r="N174" s="391">
        <f>K174*L174*M174</f>
        <v>141838.74477694501</v>
      </c>
      <c r="P174" s="872"/>
      <c r="S174" s="78"/>
    </row>
    <row r="175" spans="1:19">
      <c r="A175" s="1061">
        <f t="shared" si="38"/>
        <v>161</v>
      </c>
      <c r="B175" s="413">
        <v>39009</v>
      </c>
      <c r="C175" s="308" t="s">
        <v>1056</v>
      </c>
      <c r="D175" s="414">
        <v>9915817.7427804563</v>
      </c>
      <c r="E175" s="812">
        <v>0</v>
      </c>
      <c r="F175" s="578">
        <f t="shared" si="46"/>
        <v>9915817.7427804563</v>
      </c>
      <c r="G175" s="622">
        <f t="shared" ref="G175:G188" si="51">$G$173</f>
        <v>0.1071</v>
      </c>
      <c r="H175" s="622">
        <f>$H$173</f>
        <v>0.49090457251500325</v>
      </c>
      <c r="I175" s="578">
        <f t="shared" si="47"/>
        <v>521332.84093374235</v>
      </c>
      <c r="J175" s="106"/>
      <c r="K175" s="414">
        <v>9655510.3041819111</v>
      </c>
      <c r="L175" s="555">
        <f t="shared" si="48"/>
        <v>0.1071</v>
      </c>
      <c r="M175" s="555">
        <f t="shared" si="49"/>
        <v>0.49090457251500325</v>
      </c>
      <c r="N175" s="391">
        <f t="shared" si="50"/>
        <v>507646.94835271226</v>
      </c>
      <c r="P175" s="872"/>
      <c r="S175" s="78"/>
    </row>
    <row r="176" spans="1:19">
      <c r="A176" s="1061">
        <f t="shared" si="38"/>
        <v>162</v>
      </c>
      <c r="B176" s="413">
        <v>39100</v>
      </c>
      <c r="C176" s="308" t="s">
        <v>796</v>
      </c>
      <c r="D176" s="414">
        <v>11440325.866491925</v>
      </c>
      <c r="E176" s="812">
        <v>0</v>
      </c>
      <c r="F176" s="578">
        <f t="shared" si="46"/>
        <v>11440325.866491925</v>
      </c>
      <c r="G176" s="622">
        <f t="shared" si="51"/>
        <v>0.1071</v>
      </c>
      <c r="H176" s="622">
        <f>$H$173</f>
        <v>0.49090457251500325</v>
      </c>
      <c r="I176" s="578">
        <f t="shared" si="47"/>
        <v>601485.19667260535</v>
      </c>
      <c r="J176" s="106"/>
      <c r="K176" s="414">
        <v>11222845.811255045</v>
      </c>
      <c r="L176" s="555">
        <f t="shared" si="48"/>
        <v>0.1071</v>
      </c>
      <c r="M176" s="555">
        <f t="shared" si="49"/>
        <v>0.49090457251500325</v>
      </c>
      <c r="N176" s="391">
        <f t="shared" si="50"/>
        <v>590050.99144776457</v>
      </c>
      <c r="P176" s="872"/>
      <c r="S176" s="78"/>
    </row>
    <row r="177" spans="1:19">
      <c r="A177" s="1061">
        <f t="shared" si="38"/>
        <v>163</v>
      </c>
      <c r="B177" s="413">
        <v>39102</v>
      </c>
      <c r="C177" s="308" t="s">
        <v>542</v>
      </c>
      <c r="D177" s="414">
        <v>0</v>
      </c>
      <c r="E177" s="812">
        <v>0</v>
      </c>
      <c r="F177" s="578">
        <f t="shared" si="46"/>
        <v>0</v>
      </c>
      <c r="G177" s="622">
        <f t="shared" si="51"/>
        <v>0.1071</v>
      </c>
      <c r="H177" s="622">
        <f>$H$173</f>
        <v>0.49090457251500325</v>
      </c>
      <c r="I177" s="578">
        <f t="shared" si="47"/>
        <v>0</v>
      </c>
      <c r="J177" s="106"/>
      <c r="K177" s="414">
        <v>0</v>
      </c>
      <c r="L177" s="555">
        <f t="shared" si="48"/>
        <v>0.1071</v>
      </c>
      <c r="M177" s="555">
        <f t="shared" si="49"/>
        <v>0.49090457251500325</v>
      </c>
      <c r="N177" s="391">
        <f t="shared" si="50"/>
        <v>0</v>
      </c>
      <c r="P177" s="872"/>
      <c r="S177" s="78"/>
    </row>
    <row r="178" spans="1:19">
      <c r="A178" s="1061">
        <f t="shared" si="38"/>
        <v>164</v>
      </c>
      <c r="B178" s="413">
        <v>39103</v>
      </c>
      <c r="C178" s="308" t="s">
        <v>797</v>
      </c>
      <c r="D178" s="414">
        <v>0</v>
      </c>
      <c r="E178" s="812">
        <v>0</v>
      </c>
      <c r="F178" s="578">
        <f t="shared" si="46"/>
        <v>0</v>
      </c>
      <c r="G178" s="622">
        <f t="shared" si="51"/>
        <v>0.1071</v>
      </c>
      <c r="H178" s="622">
        <f>$H$173</f>
        <v>0.49090457251500325</v>
      </c>
      <c r="I178" s="578">
        <f t="shared" si="47"/>
        <v>0</v>
      </c>
      <c r="J178" s="106"/>
      <c r="K178" s="414">
        <v>0</v>
      </c>
      <c r="L178" s="555">
        <f t="shared" si="48"/>
        <v>0.1071</v>
      </c>
      <c r="M178" s="555">
        <f t="shared" si="49"/>
        <v>0.49090457251500325</v>
      </c>
      <c r="N178" s="391">
        <f t="shared" si="50"/>
        <v>0</v>
      </c>
      <c r="P178" s="872"/>
      <c r="S178" s="78"/>
    </row>
    <row r="179" spans="1:19">
      <c r="A179" s="1061">
        <f t="shared" si="38"/>
        <v>165</v>
      </c>
      <c r="B179" s="413">
        <v>39104</v>
      </c>
      <c r="C179" s="308" t="s">
        <v>1218</v>
      </c>
      <c r="D179" s="414">
        <v>63740.85</v>
      </c>
      <c r="E179" s="812">
        <v>0</v>
      </c>
      <c r="F179" s="578">
        <f>D179+E179</f>
        <v>63740.85</v>
      </c>
      <c r="G179" s="622">
        <v>1</v>
      </c>
      <c r="H179" s="622">
        <f>$H$174</f>
        <v>1.5418259551017742E-2</v>
      </c>
      <c r="I179" s="578">
        <f>F179*G179*H179</f>
        <v>982.77296930248917</v>
      </c>
      <c r="J179" s="106"/>
      <c r="K179" s="414">
        <v>63740.849999999984</v>
      </c>
      <c r="L179" s="555">
        <f>G179</f>
        <v>1</v>
      </c>
      <c r="M179" s="555">
        <f>H179</f>
        <v>1.5418259551017742E-2</v>
      </c>
      <c r="N179" s="391">
        <f>K179*L179*M179</f>
        <v>982.77296930248895</v>
      </c>
      <c r="P179" s="872"/>
      <c r="S179" s="78"/>
    </row>
    <row r="180" spans="1:19">
      <c r="A180" s="1061">
        <f t="shared" si="38"/>
        <v>166</v>
      </c>
      <c r="B180" s="413">
        <v>39200</v>
      </c>
      <c r="C180" s="308" t="s">
        <v>1096</v>
      </c>
      <c r="D180" s="414">
        <v>103415.63</v>
      </c>
      <c r="E180" s="812">
        <v>0</v>
      </c>
      <c r="F180" s="578">
        <f t="shared" si="46"/>
        <v>103415.63</v>
      </c>
      <c r="G180" s="622">
        <f t="shared" si="51"/>
        <v>0.1071</v>
      </c>
      <c r="H180" s="622">
        <f t="shared" ref="H180:H196" si="52">$H$173</f>
        <v>0.49090457251500325</v>
      </c>
      <c r="I180" s="578">
        <f t="shared" si="47"/>
        <v>5437.1677236712649</v>
      </c>
      <c r="J180" s="106"/>
      <c r="K180" s="414">
        <v>103415.62999999999</v>
      </c>
      <c r="L180" s="555">
        <f t="shared" si="48"/>
        <v>0.1071</v>
      </c>
      <c r="M180" s="555">
        <f t="shared" si="49"/>
        <v>0.49090457251500325</v>
      </c>
      <c r="N180" s="391">
        <f t="shared" si="50"/>
        <v>5437.167723671264</v>
      </c>
      <c r="P180" s="872"/>
      <c r="S180" s="78"/>
    </row>
    <row r="181" spans="1:19">
      <c r="A181" s="1061">
        <f t="shared" si="38"/>
        <v>167</v>
      </c>
      <c r="B181" s="413">
        <v>39300</v>
      </c>
      <c r="C181" s="308" t="s">
        <v>665</v>
      </c>
      <c r="D181" s="414">
        <v>0</v>
      </c>
      <c r="E181" s="812">
        <v>0</v>
      </c>
      <c r="F181" s="578">
        <f t="shared" si="46"/>
        <v>0</v>
      </c>
      <c r="G181" s="622">
        <f t="shared" si="51"/>
        <v>0.1071</v>
      </c>
      <c r="H181" s="622">
        <f t="shared" si="52"/>
        <v>0.49090457251500325</v>
      </c>
      <c r="I181" s="578">
        <f t="shared" si="47"/>
        <v>0</v>
      </c>
      <c r="J181" s="106"/>
      <c r="K181" s="414">
        <v>0</v>
      </c>
      <c r="L181" s="555">
        <f t="shared" si="48"/>
        <v>0.1071</v>
      </c>
      <c r="M181" s="555">
        <f t="shared" si="49"/>
        <v>0.49090457251500325</v>
      </c>
      <c r="N181" s="391">
        <f t="shared" si="50"/>
        <v>0</v>
      </c>
      <c r="P181" s="872"/>
      <c r="S181" s="78"/>
    </row>
    <row r="182" spans="1:19">
      <c r="A182" s="1061">
        <f t="shared" si="38"/>
        <v>168</v>
      </c>
      <c r="B182" s="413">
        <v>39400</v>
      </c>
      <c r="C182" s="245" t="s">
        <v>1055</v>
      </c>
      <c r="D182" s="414">
        <v>2041939.1019556366</v>
      </c>
      <c r="E182" s="812">
        <v>0</v>
      </c>
      <c r="F182" s="578">
        <f t="shared" si="46"/>
        <v>2041939.1019556366</v>
      </c>
      <c r="G182" s="622">
        <f t="shared" si="51"/>
        <v>0.1071</v>
      </c>
      <c r="H182" s="622">
        <f t="shared" si="52"/>
        <v>0.49090457251500325</v>
      </c>
      <c r="I182" s="578">
        <f t="shared" si="47"/>
        <v>107356.74461254528</v>
      </c>
      <c r="J182" s="106"/>
      <c r="K182" s="414">
        <v>1601538.3518460728</v>
      </c>
      <c r="L182" s="555">
        <f t="shared" si="48"/>
        <v>0.1071</v>
      </c>
      <c r="M182" s="555">
        <f t="shared" si="49"/>
        <v>0.49090457251500325</v>
      </c>
      <c r="N182" s="391">
        <f t="shared" si="50"/>
        <v>84202.287747791517</v>
      </c>
      <c r="P182" s="872"/>
      <c r="S182" s="78"/>
    </row>
    <row r="183" spans="1:19">
      <c r="A183" s="1061">
        <f t="shared" si="38"/>
        <v>169</v>
      </c>
      <c r="B183" s="413">
        <v>39500</v>
      </c>
      <c r="C183" s="245" t="s">
        <v>1219</v>
      </c>
      <c r="D183" s="414">
        <v>23632.07</v>
      </c>
      <c r="E183" s="812">
        <v>0</v>
      </c>
      <c r="F183" s="578">
        <f t="shared" si="46"/>
        <v>23632.07</v>
      </c>
      <c r="G183" s="622">
        <f t="shared" si="51"/>
        <v>0.1071</v>
      </c>
      <c r="H183" s="622">
        <f t="shared" si="52"/>
        <v>0.49090457251500325</v>
      </c>
      <c r="I183" s="578">
        <f t="shared" si="47"/>
        <v>1242.4768697685251</v>
      </c>
      <c r="J183" s="106"/>
      <c r="K183" s="414">
        <v>23632.070000000003</v>
      </c>
      <c r="L183" s="555">
        <f t="shared" si="48"/>
        <v>0.1071</v>
      </c>
      <c r="M183" s="555">
        <f t="shared" si="49"/>
        <v>0.49090457251500325</v>
      </c>
      <c r="N183" s="391">
        <f t="shared" si="50"/>
        <v>1242.4768697685254</v>
      </c>
      <c r="P183" s="872"/>
      <c r="S183" s="78"/>
    </row>
    <row r="184" spans="1:19">
      <c r="A184" s="1061">
        <f t="shared" si="38"/>
        <v>170</v>
      </c>
      <c r="B184" s="413">
        <v>39700</v>
      </c>
      <c r="C184" s="245" t="s">
        <v>454</v>
      </c>
      <c r="D184" s="414">
        <v>2586949.3824508828</v>
      </c>
      <c r="E184" s="812">
        <v>0</v>
      </c>
      <c r="F184" s="578">
        <f t="shared" si="46"/>
        <v>2586949.3824508828</v>
      </c>
      <c r="G184" s="622">
        <f t="shared" si="51"/>
        <v>0.1071</v>
      </c>
      <c r="H184" s="622">
        <f t="shared" si="52"/>
        <v>0.49090457251500325</v>
      </c>
      <c r="I184" s="578">
        <f t="shared" si="47"/>
        <v>136011.13956404125</v>
      </c>
      <c r="J184" s="106"/>
      <c r="K184" s="414">
        <v>2546563.8993940298</v>
      </c>
      <c r="L184" s="555">
        <f t="shared" si="48"/>
        <v>0.1071</v>
      </c>
      <c r="M184" s="555">
        <f t="shared" si="49"/>
        <v>0.49090457251500325</v>
      </c>
      <c r="N184" s="391">
        <f t="shared" si="50"/>
        <v>133887.83726455717</v>
      </c>
      <c r="P184" s="872"/>
      <c r="S184" s="78"/>
    </row>
    <row r="185" spans="1:19">
      <c r="A185" s="1061">
        <f t="shared" si="38"/>
        <v>171</v>
      </c>
      <c r="B185" s="413">
        <v>39800</v>
      </c>
      <c r="C185" s="245" t="s">
        <v>666</v>
      </c>
      <c r="D185" s="414">
        <v>573006.27824377455</v>
      </c>
      <c r="E185" s="812">
        <v>0</v>
      </c>
      <c r="F185" s="578">
        <f t="shared" si="46"/>
        <v>573006.27824377455</v>
      </c>
      <c r="G185" s="622">
        <f t="shared" si="51"/>
        <v>0.1071</v>
      </c>
      <c r="H185" s="622">
        <f t="shared" si="52"/>
        <v>0.49090457251500325</v>
      </c>
      <c r="I185" s="578">
        <f t="shared" si="47"/>
        <v>30126.309161661997</v>
      </c>
      <c r="J185" s="106"/>
      <c r="K185" s="414">
        <v>549943.61539446609</v>
      </c>
      <c r="L185" s="555">
        <f t="shared" si="48"/>
        <v>0.1071</v>
      </c>
      <c r="M185" s="555">
        <f t="shared" si="49"/>
        <v>0.49090457251500325</v>
      </c>
      <c r="N185" s="391">
        <f t="shared" si="50"/>
        <v>28913.769373757863</v>
      </c>
      <c r="P185" s="872"/>
      <c r="S185" s="78"/>
    </row>
    <row r="186" spans="1:19">
      <c r="A186" s="1061">
        <f t="shared" si="38"/>
        <v>172</v>
      </c>
      <c r="B186" s="413">
        <v>39900</v>
      </c>
      <c r="C186" s="245" t="s">
        <v>1173</v>
      </c>
      <c r="D186" s="414">
        <v>168103.3</v>
      </c>
      <c r="E186" s="812">
        <v>0</v>
      </c>
      <c r="F186" s="578">
        <f t="shared" si="46"/>
        <v>168103.3</v>
      </c>
      <c r="G186" s="622">
        <f t="shared" si="51"/>
        <v>0.1071</v>
      </c>
      <c r="H186" s="622">
        <f t="shared" si="52"/>
        <v>0.49090457251500325</v>
      </c>
      <c r="I186" s="578">
        <f t="shared" si="47"/>
        <v>8838.1788807226494</v>
      </c>
      <c r="J186" s="106"/>
      <c r="K186" s="414">
        <v>168103.30000000002</v>
      </c>
      <c r="L186" s="555">
        <f t="shared" si="48"/>
        <v>0.1071</v>
      </c>
      <c r="M186" s="555">
        <f t="shared" si="49"/>
        <v>0.49090457251500325</v>
      </c>
      <c r="N186" s="391">
        <f t="shared" si="50"/>
        <v>8838.1788807226512</v>
      </c>
      <c r="P186" s="872"/>
      <c r="S186" s="78"/>
    </row>
    <row r="187" spans="1:19">
      <c r="A187" s="1061">
        <f t="shared" si="38"/>
        <v>173</v>
      </c>
      <c r="B187" s="413">
        <v>39901</v>
      </c>
      <c r="C187" s="245" t="s">
        <v>489</v>
      </c>
      <c r="D187" s="414">
        <v>31842094.962347671</v>
      </c>
      <c r="E187" s="812">
        <v>0</v>
      </c>
      <c r="F187" s="578">
        <f t="shared" si="46"/>
        <v>31842094.962347671</v>
      </c>
      <c r="G187" s="622">
        <f t="shared" si="51"/>
        <v>0.1071</v>
      </c>
      <c r="H187" s="622">
        <f t="shared" si="52"/>
        <v>0.49090457251500325</v>
      </c>
      <c r="I187" s="578">
        <f t="shared" si="47"/>
        <v>1674126.1546572035</v>
      </c>
      <c r="J187" s="106"/>
      <c r="K187" s="414">
        <v>31428353.89844358</v>
      </c>
      <c r="L187" s="555">
        <f t="shared" si="48"/>
        <v>0.1071</v>
      </c>
      <c r="M187" s="555">
        <f t="shared" si="49"/>
        <v>0.49090457251500325</v>
      </c>
      <c r="N187" s="391">
        <f t="shared" si="50"/>
        <v>1652373.3542476646</v>
      </c>
      <c r="P187" s="872"/>
      <c r="S187" s="78"/>
    </row>
    <row r="188" spans="1:19">
      <c r="A188" s="1061">
        <f t="shared" si="38"/>
        <v>174</v>
      </c>
      <c r="B188" s="413">
        <v>39902</v>
      </c>
      <c r="C188" s="245" t="s">
        <v>979</v>
      </c>
      <c r="D188" s="414">
        <v>20146620.69294475</v>
      </c>
      <c r="E188" s="812">
        <v>0</v>
      </c>
      <c r="F188" s="578">
        <f t="shared" si="46"/>
        <v>20146620.69294475</v>
      </c>
      <c r="G188" s="622">
        <f t="shared" si="51"/>
        <v>0.1071</v>
      </c>
      <c r="H188" s="622">
        <f t="shared" si="52"/>
        <v>0.49090457251500325</v>
      </c>
      <c r="I188" s="578">
        <f t="shared" si="47"/>
        <v>1059226.3062433291</v>
      </c>
      <c r="J188" s="106"/>
      <c r="K188" s="414">
        <v>19267874.059563026</v>
      </c>
      <c r="L188" s="555">
        <f t="shared" si="48"/>
        <v>0.1071</v>
      </c>
      <c r="M188" s="555">
        <f t="shared" si="49"/>
        <v>0.49090457251500325</v>
      </c>
      <c r="N188" s="391">
        <f t="shared" si="50"/>
        <v>1013025.428945498</v>
      </c>
      <c r="P188" s="872"/>
      <c r="S188" s="78"/>
    </row>
    <row r="189" spans="1:19">
      <c r="A189" s="1061">
        <f t="shared" si="38"/>
        <v>175</v>
      </c>
      <c r="B189" s="413">
        <v>39903</v>
      </c>
      <c r="C189" s="245" t="s">
        <v>1022</v>
      </c>
      <c r="D189" s="414">
        <v>3450752.7849822449</v>
      </c>
      <c r="E189" s="812">
        <v>0</v>
      </c>
      <c r="F189" s="578">
        <f t="shared" si="46"/>
        <v>3450752.7849822449</v>
      </c>
      <c r="G189" s="622">
        <f t="shared" ref="G189:G196" si="53">$G$173</f>
        <v>0.1071</v>
      </c>
      <c r="H189" s="622">
        <f t="shared" si="52"/>
        <v>0.49090457251500325</v>
      </c>
      <c r="I189" s="578">
        <f t="shared" si="47"/>
        <v>181426.3633541099</v>
      </c>
      <c r="J189" s="106"/>
      <c r="K189" s="414">
        <v>3397429.4784985431</v>
      </c>
      <c r="L189" s="555">
        <f t="shared" si="48"/>
        <v>0.1071</v>
      </c>
      <c r="M189" s="555">
        <f t="shared" si="49"/>
        <v>0.49090457251500325</v>
      </c>
      <c r="N189" s="391">
        <f t="shared" si="50"/>
        <v>178622.84360634437</v>
      </c>
      <c r="P189" s="872"/>
      <c r="S189" s="78"/>
    </row>
    <row r="190" spans="1:19">
      <c r="A190" s="1061">
        <f t="shared" si="38"/>
        <v>176</v>
      </c>
      <c r="B190" s="413">
        <v>39904</v>
      </c>
      <c r="C190" s="245" t="s">
        <v>1198</v>
      </c>
      <c r="D190" s="414">
        <v>0</v>
      </c>
      <c r="E190" s="812">
        <v>0</v>
      </c>
      <c r="F190" s="578">
        <f t="shared" si="46"/>
        <v>0</v>
      </c>
      <c r="G190" s="622">
        <f t="shared" si="53"/>
        <v>0.1071</v>
      </c>
      <c r="H190" s="622">
        <f t="shared" si="52"/>
        <v>0.49090457251500325</v>
      </c>
      <c r="I190" s="578">
        <f t="shared" si="47"/>
        <v>0</v>
      </c>
      <c r="J190" s="106"/>
      <c r="K190" s="414">
        <v>0</v>
      </c>
      <c r="L190" s="555">
        <f t="shared" si="48"/>
        <v>0.1071</v>
      </c>
      <c r="M190" s="555">
        <f t="shared" si="49"/>
        <v>0.49090457251500325</v>
      </c>
      <c r="N190" s="391">
        <f t="shared" si="50"/>
        <v>0</v>
      </c>
      <c r="P190" s="872"/>
      <c r="S190" s="78"/>
    </row>
    <row r="191" spans="1:19">
      <c r="A191" s="1061">
        <f t="shared" si="38"/>
        <v>177</v>
      </c>
      <c r="B191" s="413">
        <v>39905</v>
      </c>
      <c r="C191" s="245" t="s">
        <v>512</v>
      </c>
      <c r="D191" s="414">
        <v>0</v>
      </c>
      <c r="E191" s="812">
        <v>0</v>
      </c>
      <c r="F191" s="578">
        <f t="shared" si="46"/>
        <v>0</v>
      </c>
      <c r="G191" s="622">
        <f t="shared" si="53"/>
        <v>0.1071</v>
      </c>
      <c r="H191" s="622">
        <f t="shared" si="52"/>
        <v>0.49090457251500325</v>
      </c>
      <c r="I191" s="578">
        <f t="shared" si="47"/>
        <v>0</v>
      </c>
      <c r="J191" s="106"/>
      <c r="K191" s="414">
        <v>0</v>
      </c>
      <c r="L191" s="555">
        <f t="shared" si="48"/>
        <v>0.1071</v>
      </c>
      <c r="M191" s="555">
        <f t="shared" si="49"/>
        <v>0.49090457251500325</v>
      </c>
      <c r="N191" s="391">
        <f t="shared" si="50"/>
        <v>0</v>
      </c>
      <c r="P191" s="872"/>
      <c r="S191" s="78"/>
    </row>
    <row r="192" spans="1:19">
      <c r="A192" s="1061">
        <f t="shared" si="38"/>
        <v>178</v>
      </c>
      <c r="B192" s="413">
        <v>39906</v>
      </c>
      <c r="C192" s="245" t="s">
        <v>465</v>
      </c>
      <c r="D192" s="414">
        <v>2514271.6990705458</v>
      </c>
      <c r="E192" s="812">
        <v>0</v>
      </c>
      <c r="F192" s="578">
        <f t="shared" si="46"/>
        <v>2514271.6990705458</v>
      </c>
      <c r="G192" s="622">
        <f t="shared" si="53"/>
        <v>0.1071</v>
      </c>
      <c r="H192" s="622">
        <f t="shared" si="52"/>
        <v>0.49090457251500325</v>
      </c>
      <c r="I192" s="578">
        <f t="shared" si="47"/>
        <v>132190.0464245732</v>
      </c>
      <c r="J192" s="106"/>
      <c r="K192" s="414">
        <v>2281438.9401675756</v>
      </c>
      <c r="L192" s="555">
        <f t="shared" si="48"/>
        <v>0.1071</v>
      </c>
      <c r="M192" s="555">
        <f t="shared" si="49"/>
        <v>0.49090457251500325</v>
      </c>
      <c r="N192" s="391">
        <f t="shared" si="50"/>
        <v>119948.65929846311</v>
      </c>
      <c r="P192" s="872"/>
      <c r="S192" s="78"/>
    </row>
    <row r="193" spans="1:19">
      <c r="A193" s="1061">
        <f t="shared" si="38"/>
        <v>179</v>
      </c>
      <c r="B193" s="413">
        <v>39907</v>
      </c>
      <c r="C193" s="245" t="s">
        <v>520</v>
      </c>
      <c r="D193" s="414">
        <v>686183.05969465547</v>
      </c>
      <c r="E193" s="812">
        <v>0</v>
      </c>
      <c r="F193" s="578">
        <f t="shared" si="46"/>
        <v>686183.05969465547</v>
      </c>
      <c r="G193" s="622">
        <f t="shared" si="53"/>
        <v>0.1071</v>
      </c>
      <c r="H193" s="622">
        <f t="shared" si="52"/>
        <v>0.49090457251500325</v>
      </c>
      <c r="I193" s="578">
        <f t="shared" si="47"/>
        <v>36076.678009907911</v>
      </c>
      <c r="J193" s="106"/>
      <c r="K193" s="414">
        <v>686169.30568836792</v>
      </c>
      <c r="L193" s="555">
        <f t="shared" si="48"/>
        <v>0.1071</v>
      </c>
      <c r="M193" s="555">
        <f t="shared" si="49"/>
        <v>0.49090457251500325</v>
      </c>
      <c r="N193" s="391">
        <f t="shared" si="50"/>
        <v>36075.954880927726</v>
      </c>
      <c r="P193" s="872"/>
      <c r="S193" s="78"/>
    </row>
    <row r="194" spans="1:19">
      <c r="A194" s="1061">
        <f t="shared" si="38"/>
        <v>180</v>
      </c>
      <c r="B194" s="413">
        <v>39908</v>
      </c>
      <c r="C194" s="245" t="s">
        <v>184</v>
      </c>
      <c r="D194" s="414">
        <v>130731450.59427312</v>
      </c>
      <c r="E194" s="812">
        <v>0</v>
      </c>
      <c r="F194" s="578">
        <f t="shared" si="46"/>
        <v>130731450.59427312</v>
      </c>
      <c r="G194" s="622">
        <f t="shared" si="53"/>
        <v>0.1071</v>
      </c>
      <c r="H194" s="622">
        <f t="shared" si="52"/>
        <v>0.49090457251500325</v>
      </c>
      <c r="I194" s="578">
        <f t="shared" si="47"/>
        <v>6873321.0215893518</v>
      </c>
      <c r="J194" s="106"/>
      <c r="K194" s="414">
        <v>122329769.43742448</v>
      </c>
      <c r="L194" s="555">
        <f t="shared" si="48"/>
        <v>0.1071</v>
      </c>
      <c r="M194" s="555">
        <f t="shared" si="49"/>
        <v>0.49090457251500325</v>
      </c>
      <c r="N194" s="391">
        <f t="shared" si="50"/>
        <v>6431595.2436716948</v>
      </c>
      <c r="P194" s="872"/>
      <c r="S194" s="78"/>
    </row>
    <row r="195" spans="1:19" s="1055" customFormat="1">
      <c r="A195" s="1061">
        <f t="shared" si="38"/>
        <v>181</v>
      </c>
      <c r="B195" s="413">
        <v>39909</v>
      </c>
      <c r="C195" s="245" t="s">
        <v>352</v>
      </c>
      <c r="D195" s="414">
        <v>982650.37</v>
      </c>
      <c r="E195" s="812">
        <v>0</v>
      </c>
      <c r="F195" s="578">
        <f t="shared" ref="F195:F196" si="54">D195+E195</f>
        <v>982650.37</v>
      </c>
      <c r="G195" s="622">
        <f t="shared" si="53"/>
        <v>0.1071</v>
      </c>
      <c r="H195" s="622">
        <f t="shared" si="52"/>
        <v>0.49090457251500325</v>
      </c>
      <c r="I195" s="578">
        <f t="shared" ref="I195:I196" si="55">F195*G195*H195</f>
        <v>51663.707656353545</v>
      </c>
      <c r="J195" s="106"/>
      <c r="K195" s="414">
        <v>982650.36999999976</v>
      </c>
      <c r="L195" s="555">
        <f t="shared" ref="L195:L196" si="56">G195</f>
        <v>0.1071</v>
      </c>
      <c r="M195" s="555">
        <f t="shared" ref="M195:M196" si="57">H195</f>
        <v>0.49090457251500325</v>
      </c>
      <c r="N195" s="391">
        <f t="shared" ref="N195:N196" si="58">K195*L195*M195</f>
        <v>51663.707656353537</v>
      </c>
      <c r="P195" s="872"/>
      <c r="S195" s="78"/>
    </row>
    <row r="196" spans="1:19">
      <c r="A196" s="1061">
        <f t="shared" si="38"/>
        <v>182</v>
      </c>
      <c r="B196" s="413">
        <v>39924</v>
      </c>
      <c r="C196" s="245" t="s">
        <v>1456</v>
      </c>
      <c r="D196" s="414">
        <v>0</v>
      </c>
      <c r="E196" s="812">
        <v>0</v>
      </c>
      <c r="F196" s="578">
        <f t="shared" si="54"/>
        <v>0</v>
      </c>
      <c r="G196" s="622">
        <f t="shared" si="53"/>
        <v>0.1071</v>
      </c>
      <c r="H196" s="622">
        <f t="shared" si="52"/>
        <v>0.49090457251500325</v>
      </c>
      <c r="I196" s="578">
        <f t="shared" si="55"/>
        <v>0</v>
      </c>
      <c r="J196" s="106"/>
      <c r="K196" s="414">
        <v>0</v>
      </c>
      <c r="L196" s="555">
        <f t="shared" si="56"/>
        <v>0.1071</v>
      </c>
      <c r="M196" s="555">
        <f t="shared" si="57"/>
        <v>0.49090457251500325</v>
      </c>
      <c r="N196" s="391">
        <f t="shared" si="58"/>
        <v>0</v>
      </c>
      <c r="P196" s="872"/>
      <c r="S196" s="78"/>
    </row>
    <row r="197" spans="1:19">
      <c r="A197" s="1061">
        <f t="shared" si="38"/>
        <v>183</v>
      </c>
      <c r="B197" s="1047"/>
      <c r="C197" s="1111"/>
      <c r="D197" s="809"/>
      <c r="E197" s="809"/>
      <c r="F197" s="809"/>
      <c r="G197" s="1128"/>
      <c r="H197" s="1128"/>
      <c r="I197" s="809"/>
      <c r="J197" s="106"/>
      <c r="K197" s="809"/>
      <c r="L197" s="773"/>
      <c r="M197" s="773"/>
      <c r="N197" s="786"/>
    </row>
    <row r="198" spans="1:19" ht="15.75" thickBot="1">
      <c r="A198" s="1061">
        <f t="shared" si="38"/>
        <v>184</v>
      </c>
      <c r="B198" s="402"/>
      <c r="C198" s="245" t="s">
        <v>1365</v>
      </c>
      <c r="D198" s="678">
        <f>SUM(D173:D196)</f>
        <v>228876513.31999999</v>
      </c>
      <c r="E198" s="678">
        <f>SUM(E173:E196)</f>
        <v>0</v>
      </c>
      <c r="F198" s="678">
        <f>SUM(F173:F196)</f>
        <v>228876513.31999999</v>
      </c>
      <c r="G198" s="1137"/>
      <c r="H198" s="1137"/>
      <c r="I198" s="678">
        <f>SUM(I173:I196)</f>
        <v>11689187.746018743</v>
      </c>
      <c r="J198" s="1082"/>
      <c r="K198" s="678">
        <f>SUM(K173:K196)</f>
        <v>217836628.55076921</v>
      </c>
      <c r="L198" s="91"/>
      <c r="M198" s="91"/>
      <c r="N198" s="678">
        <f>SUM(N173:N196)</f>
        <v>11108756.092309223</v>
      </c>
      <c r="P198" s="1055"/>
      <c r="Q198" s="1055"/>
    </row>
    <row r="199" spans="1:19" ht="15.75" thickTop="1">
      <c r="A199" s="1061">
        <f t="shared" si="38"/>
        <v>185</v>
      </c>
      <c r="B199" s="421"/>
      <c r="C199" s="4"/>
      <c r="D199" s="414"/>
      <c r="E199" s="424"/>
      <c r="F199" s="424"/>
      <c r="G199" s="1128"/>
      <c r="H199" s="1128"/>
      <c r="I199" s="424"/>
      <c r="J199" s="106"/>
      <c r="K199" s="106"/>
    </row>
    <row r="200" spans="1:19">
      <c r="A200" s="1061">
        <f t="shared" si="38"/>
        <v>186</v>
      </c>
      <c r="B200" s="421"/>
      <c r="C200" s="107" t="s">
        <v>766</v>
      </c>
      <c r="D200" s="414">
        <v>11797200.060000002</v>
      </c>
      <c r="E200" s="424">
        <v>0</v>
      </c>
      <c r="F200" s="424">
        <f>D200+E200</f>
        <v>11797200.060000002</v>
      </c>
      <c r="G200" s="622">
        <f>$G$173</f>
        <v>0.1071</v>
      </c>
      <c r="H200" s="622">
        <f>$H$173</f>
        <v>0.49090457251500325</v>
      </c>
      <c r="I200" s="424">
        <f>F200*G200*H200</f>
        <v>620248.17134435789</v>
      </c>
      <c r="J200" s="106"/>
      <c r="K200" s="414">
        <v>11797200.060000002</v>
      </c>
      <c r="L200" s="555">
        <f>G200</f>
        <v>0.1071</v>
      </c>
      <c r="M200" s="555">
        <f>H200</f>
        <v>0.49090457251500325</v>
      </c>
      <c r="N200" s="420">
        <f>K200*L200*M200</f>
        <v>620248.17134435789</v>
      </c>
    </row>
    <row r="201" spans="1:19">
      <c r="A201" s="1061">
        <f t="shared" si="38"/>
        <v>187</v>
      </c>
      <c r="B201" s="421"/>
      <c r="D201" s="106"/>
      <c r="E201" s="106"/>
      <c r="F201" s="106"/>
      <c r="G201" s="1128"/>
      <c r="H201" s="1128"/>
      <c r="I201" s="106"/>
      <c r="J201" s="106"/>
      <c r="K201" s="106"/>
    </row>
    <row r="202" spans="1:19" ht="15.75">
      <c r="A202" s="1061">
        <f t="shared" si="38"/>
        <v>188</v>
      </c>
      <c r="B202" s="416" t="s">
        <v>9</v>
      </c>
      <c r="D202" s="106"/>
      <c r="E202" s="106"/>
      <c r="F202" s="106"/>
      <c r="G202" s="1128"/>
      <c r="H202" s="1128"/>
      <c r="I202" s="106"/>
      <c r="J202" s="106"/>
      <c r="K202" s="106"/>
    </row>
    <row r="203" spans="1:19">
      <c r="A203" s="1061">
        <f t="shared" si="38"/>
        <v>189</v>
      </c>
      <c r="B203" s="421"/>
      <c r="D203" s="106"/>
      <c r="E203" s="106"/>
      <c r="F203" s="106"/>
      <c r="G203" s="1128"/>
      <c r="H203" s="1128"/>
      <c r="I203" s="106"/>
      <c r="J203" s="106"/>
      <c r="K203" s="106"/>
    </row>
    <row r="204" spans="1:19">
      <c r="A204" s="1061">
        <f t="shared" si="38"/>
        <v>190</v>
      </c>
      <c r="B204" s="402"/>
      <c r="C204" s="810" t="s">
        <v>309</v>
      </c>
      <c r="D204" s="106"/>
      <c r="E204" s="106"/>
      <c r="F204" s="106"/>
      <c r="G204" s="1128"/>
      <c r="H204" s="1128"/>
      <c r="I204" s="106"/>
      <c r="J204" s="106"/>
      <c r="K204" s="106"/>
    </row>
    <row r="205" spans="1:19">
      <c r="A205" s="1061">
        <f t="shared" si="38"/>
        <v>191</v>
      </c>
      <c r="B205" s="413">
        <v>38900</v>
      </c>
      <c r="C205" s="308" t="s">
        <v>300</v>
      </c>
      <c r="D205" s="414">
        <v>2874239.86</v>
      </c>
      <c r="E205" s="445">
        <v>0</v>
      </c>
      <c r="F205" s="445">
        <f t="shared" ref="F205:F221" si="59">D205+E205</f>
        <v>2874239.86</v>
      </c>
      <c r="G205" s="622">
        <f>Allocation!$C$15</f>
        <v>0.1086</v>
      </c>
      <c r="H205" s="622">
        <f>Allocation!$D$15</f>
        <v>0.52599015110063552</v>
      </c>
      <c r="I205" s="445">
        <f t="shared" ref="I205:I221" si="60">F205*G205*H205</f>
        <v>164183.85380713042</v>
      </c>
      <c r="J205" s="106"/>
      <c r="K205" s="414">
        <v>2874239.86</v>
      </c>
      <c r="L205" s="555">
        <f t="shared" ref="L205:L221" si="61">G205</f>
        <v>0.1086</v>
      </c>
      <c r="M205" s="555">
        <f t="shared" ref="M205:M221" si="62">H205</f>
        <v>0.52599015110063552</v>
      </c>
      <c r="N205" s="382">
        <f t="shared" ref="N205:N221" si="63">K205*L205*M205</f>
        <v>164183.85380713042</v>
      </c>
      <c r="P205" s="872"/>
      <c r="S205" s="78"/>
    </row>
    <row r="206" spans="1:19">
      <c r="A206" s="1061">
        <f t="shared" si="38"/>
        <v>192</v>
      </c>
      <c r="B206" s="413">
        <v>38910</v>
      </c>
      <c r="C206" s="308" t="s">
        <v>1220</v>
      </c>
      <c r="D206" s="414">
        <v>1887122.88</v>
      </c>
      <c r="E206" s="578">
        <v>0</v>
      </c>
      <c r="F206" s="813">
        <f>D206+E206</f>
        <v>1887122.88</v>
      </c>
      <c r="G206" s="622">
        <v>1</v>
      </c>
      <c r="H206" s="622">
        <f>Allocation!$E$21</f>
        <v>1.083947E-2</v>
      </c>
      <c r="I206" s="578">
        <f>F206*G206*H206</f>
        <v>20455.411844073598</v>
      </c>
      <c r="J206" s="106"/>
      <c r="K206" s="414">
        <v>1887122.8799999992</v>
      </c>
      <c r="L206" s="555">
        <f>G206</f>
        <v>1</v>
      </c>
      <c r="M206" s="555">
        <f>H206</f>
        <v>1.083947E-2</v>
      </c>
      <c r="N206" s="391">
        <f>K206*L206*M206</f>
        <v>20455.411844073591</v>
      </c>
      <c r="P206" s="872"/>
      <c r="S206" s="78"/>
    </row>
    <row r="207" spans="1:19">
      <c r="A207" s="1061">
        <f t="shared" si="38"/>
        <v>193</v>
      </c>
      <c r="B207" s="413">
        <v>39000</v>
      </c>
      <c r="C207" s="308" t="s">
        <v>874</v>
      </c>
      <c r="D207" s="414">
        <v>12698439.4690757</v>
      </c>
      <c r="E207" s="578">
        <v>0</v>
      </c>
      <c r="F207" s="813">
        <f t="shared" si="59"/>
        <v>12698439.4690757</v>
      </c>
      <c r="G207" s="622">
        <f>$G$205</f>
        <v>0.1086</v>
      </c>
      <c r="H207" s="622">
        <f>$H$205</f>
        <v>0.52599015110063552</v>
      </c>
      <c r="I207" s="578">
        <f t="shared" si="60"/>
        <v>725366.99472584017</v>
      </c>
      <c r="J207" s="106"/>
      <c r="K207" s="414">
        <v>12687449.523639288</v>
      </c>
      <c r="L207" s="555">
        <f t="shared" si="61"/>
        <v>0.1086</v>
      </c>
      <c r="M207" s="555">
        <f t="shared" si="62"/>
        <v>0.52599015110063552</v>
      </c>
      <c r="N207" s="391">
        <f t="shared" si="63"/>
        <v>724739.22123344964</v>
      </c>
      <c r="P207" s="872"/>
      <c r="S207" s="78"/>
    </row>
    <row r="208" spans="1:19">
      <c r="A208" s="1061">
        <f t="shared" si="38"/>
        <v>194</v>
      </c>
      <c r="B208" s="413">
        <v>39009</v>
      </c>
      <c r="C208" s="308" t="s">
        <v>1056</v>
      </c>
      <c r="D208" s="414">
        <v>4298434.33</v>
      </c>
      <c r="E208" s="578">
        <v>0</v>
      </c>
      <c r="F208" s="813">
        <f t="shared" si="59"/>
        <v>4298434.33</v>
      </c>
      <c r="G208" s="622">
        <f>$G$205</f>
        <v>0.1086</v>
      </c>
      <c r="H208" s="622">
        <f>$H$205</f>
        <v>0.52599015110063552</v>
      </c>
      <c r="I208" s="578">
        <f t="shared" si="60"/>
        <v>245537.4457287885</v>
      </c>
      <c r="J208" s="106"/>
      <c r="K208" s="414">
        <v>4298434.3299999991</v>
      </c>
      <c r="L208" s="555">
        <f t="shared" si="61"/>
        <v>0.1086</v>
      </c>
      <c r="M208" s="555">
        <f t="shared" si="62"/>
        <v>0.52599015110063552</v>
      </c>
      <c r="N208" s="391">
        <f t="shared" si="63"/>
        <v>245537.44572878844</v>
      </c>
      <c r="P208" s="872"/>
      <c r="S208" s="78"/>
    </row>
    <row r="209" spans="1:19">
      <c r="A209" s="1061">
        <f t="shared" ref="A209:A232" si="64">A208+1</f>
        <v>195</v>
      </c>
      <c r="B209" s="413">
        <v>39010</v>
      </c>
      <c r="C209" s="308" t="s">
        <v>1221</v>
      </c>
      <c r="D209" s="414">
        <v>10419806.710000001</v>
      </c>
      <c r="E209" s="578">
        <v>0</v>
      </c>
      <c r="F209" s="813">
        <f>D209+E209</f>
        <v>10419806.710000001</v>
      </c>
      <c r="G209" s="622">
        <v>1</v>
      </c>
      <c r="H209" s="622">
        <f>$H$206</f>
        <v>1.083947E-2</v>
      </c>
      <c r="I209" s="578">
        <f>F209*G209*H209</f>
        <v>112945.18223884371</v>
      </c>
      <c r="J209" s="106"/>
      <c r="K209" s="414">
        <v>10419806.710000005</v>
      </c>
      <c r="L209" s="555">
        <f>G209</f>
        <v>1</v>
      </c>
      <c r="M209" s="555">
        <f>H209</f>
        <v>1.083947E-2</v>
      </c>
      <c r="N209" s="391">
        <f>K209*L209*M209</f>
        <v>112945.18223884376</v>
      </c>
      <c r="P209" s="872"/>
      <c r="S209" s="78"/>
    </row>
    <row r="210" spans="1:19">
      <c r="A210" s="1061">
        <f t="shared" si="64"/>
        <v>196</v>
      </c>
      <c r="B210" s="413">
        <v>39100</v>
      </c>
      <c r="C210" s="308" t="s">
        <v>796</v>
      </c>
      <c r="D210" s="414">
        <v>2288545.5170168928</v>
      </c>
      <c r="E210" s="578">
        <v>0</v>
      </c>
      <c r="F210" s="813">
        <f t="shared" si="59"/>
        <v>2288545.5170168928</v>
      </c>
      <c r="G210" s="622">
        <f>$G$205</f>
        <v>0.1086</v>
      </c>
      <c r="H210" s="622">
        <f>$H$205</f>
        <v>0.52599015110063552</v>
      </c>
      <c r="I210" s="578">
        <f t="shared" si="60"/>
        <v>130727.51088938877</v>
      </c>
      <c r="J210" s="106"/>
      <c r="K210" s="414">
        <v>2297631.7918512486</v>
      </c>
      <c r="L210" s="555">
        <f t="shared" si="61"/>
        <v>0.1086</v>
      </c>
      <c r="M210" s="555">
        <f t="shared" si="62"/>
        <v>0.52599015110063552</v>
      </c>
      <c r="N210" s="391">
        <f t="shared" si="63"/>
        <v>131246.54189992358</v>
      </c>
      <c r="P210" s="872"/>
      <c r="S210" s="78"/>
    </row>
    <row r="211" spans="1:19">
      <c r="A211" s="1061">
        <f t="shared" si="64"/>
        <v>197</v>
      </c>
      <c r="B211" s="413">
        <v>39103</v>
      </c>
      <c r="C211" s="308" t="s">
        <v>1367</v>
      </c>
      <c r="D211" s="414">
        <v>-13549.797244243517</v>
      </c>
      <c r="E211" s="578">
        <v>0</v>
      </c>
      <c r="F211" s="813">
        <f t="shared" ref="F211" si="65">D211+E211</f>
        <v>-13549.797244243517</v>
      </c>
      <c r="G211" s="622">
        <f>$G$205</f>
        <v>0.1086</v>
      </c>
      <c r="H211" s="622">
        <f>$H$205</f>
        <v>0.52599015110063552</v>
      </c>
      <c r="I211" s="578">
        <f t="shared" ref="I211" si="66">F211*G211*H211</f>
        <v>-773.99870512725283</v>
      </c>
      <c r="J211" s="106"/>
      <c r="K211" s="414">
        <v>-9954.8540198717383</v>
      </c>
      <c r="L211" s="555">
        <f t="shared" ref="L211" si="67">G211</f>
        <v>0.1086</v>
      </c>
      <c r="M211" s="555">
        <f t="shared" ref="M211" si="68">H211</f>
        <v>0.52599015110063552</v>
      </c>
      <c r="N211" s="391">
        <f t="shared" ref="N211" si="69">K211*L211*M211</f>
        <v>-568.64645147254555</v>
      </c>
      <c r="P211" s="872"/>
      <c r="S211" s="78"/>
    </row>
    <row r="212" spans="1:19">
      <c r="A212" s="1061">
        <f t="shared" si="64"/>
        <v>198</v>
      </c>
      <c r="B212" s="413">
        <v>39700</v>
      </c>
      <c r="C212" s="308" t="s">
        <v>454</v>
      </c>
      <c r="D212" s="414">
        <v>1962784.81</v>
      </c>
      <c r="E212" s="578">
        <v>0</v>
      </c>
      <c r="F212" s="813">
        <f t="shared" si="59"/>
        <v>1962784.81</v>
      </c>
      <c r="G212" s="622">
        <f>$G$205</f>
        <v>0.1086</v>
      </c>
      <c r="H212" s="622">
        <f>$H$205</f>
        <v>0.52599015110063552</v>
      </c>
      <c r="I212" s="578">
        <f t="shared" si="60"/>
        <v>112119.23499658665</v>
      </c>
      <c r="J212" s="106"/>
      <c r="K212" s="414">
        <v>1962784.8099999998</v>
      </c>
      <c r="L212" s="555">
        <f t="shared" si="61"/>
        <v>0.1086</v>
      </c>
      <c r="M212" s="555">
        <f t="shared" si="62"/>
        <v>0.52599015110063552</v>
      </c>
      <c r="N212" s="391">
        <f t="shared" si="63"/>
        <v>112119.23499658663</v>
      </c>
      <c r="P212" s="872"/>
      <c r="S212" s="78"/>
    </row>
    <row r="213" spans="1:19">
      <c r="A213" s="1061">
        <f t="shared" si="64"/>
        <v>199</v>
      </c>
      <c r="B213" s="413">
        <v>39710</v>
      </c>
      <c r="C213" s="308" t="s">
        <v>1222</v>
      </c>
      <c r="D213" s="414">
        <v>271621.21999999997</v>
      </c>
      <c r="E213" s="578">
        <v>0</v>
      </c>
      <c r="F213" s="813">
        <f>D213+E213</f>
        <v>271621.21999999997</v>
      </c>
      <c r="G213" s="622">
        <v>1</v>
      </c>
      <c r="H213" s="622">
        <f>$H$206</f>
        <v>1.083947E-2</v>
      </c>
      <c r="I213" s="578">
        <f>F213*G213*H213</f>
        <v>2944.2300655534</v>
      </c>
      <c r="J213" s="106"/>
      <c r="K213" s="414">
        <v>271621.21999999986</v>
      </c>
      <c r="L213" s="555">
        <f>G213</f>
        <v>1</v>
      </c>
      <c r="M213" s="555">
        <f>H213</f>
        <v>1.083947E-2</v>
      </c>
      <c r="N213" s="391">
        <f>K213*L213*M213</f>
        <v>2944.2300655533986</v>
      </c>
      <c r="P213" s="872"/>
      <c r="S213" s="78"/>
    </row>
    <row r="214" spans="1:19">
      <c r="A214" s="1061">
        <f t="shared" si="64"/>
        <v>200</v>
      </c>
      <c r="B214" s="413">
        <v>39800</v>
      </c>
      <c r="C214" s="308" t="s">
        <v>666</v>
      </c>
      <c r="D214" s="414">
        <v>69110.818467674471</v>
      </c>
      <c r="E214" s="578">
        <v>0</v>
      </c>
      <c r="F214" s="813">
        <f t="shared" si="59"/>
        <v>69110.818467674471</v>
      </c>
      <c r="G214" s="622">
        <f t="shared" ref="G214:G221" si="70">$G$205</f>
        <v>0.1086</v>
      </c>
      <c r="H214" s="622">
        <f t="shared" ref="H214:H221" si="71">$H$205</f>
        <v>0.52599015110063552</v>
      </c>
      <c r="I214" s="578">
        <f t="shared" si="60"/>
        <v>3947.7848295471745</v>
      </c>
      <c r="J214" s="106"/>
      <c r="K214" s="414">
        <v>60843.243716844969</v>
      </c>
      <c r="L214" s="555">
        <f t="shared" si="61"/>
        <v>0.1086</v>
      </c>
      <c r="M214" s="555">
        <f t="shared" si="62"/>
        <v>0.52599015110063552</v>
      </c>
      <c r="N214" s="391">
        <f t="shared" si="63"/>
        <v>3475.5200394298622</v>
      </c>
      <c r="P214" s="872"/>
      <c r="S214" s="78"/>
    </row>
    <row r="215" spans="1:19">
      <c r="A215" s="1061">
        <f t="shared" si="64"/>
        <v>201</v>
      </c>
      <c r="B215" s="413">
        <v>39900</v>
      </c>
      <c r="C215" s="308" t="s">
        <v>1173</v>
      </c>
      <c r="D215" s="414">
        <v>629166.46</v>
      </c>
      <c r="E215" s="578">
        <v>0</v>
      </c>
      <c r="F215" s="813">
        <f t="shared" si="59"/>
        <v>629166.46</v>
      </c>
      <c r="G215" s="622">
        <f t="shared" si="70"/>
        <v>0.1086</v>
      </c>
      <c r="H215" s="622">
        <f t="shared" si="71"/>
        <v>0.52599015110063552</v>
      </c>
      <c r="I215" s="578">
        <f t="shared" si="60"/>
        <v>35939.580244005723</v>
      </c>
      <c r="J215" s="106"/>
      <c r="K215" s="414">
        <v>629166.46</v>
      </c>
      <c r="L215" s="555">
        <f t="shared" si="61"/>
        <v>0.1086</v>
      </c>
      <c r="M215" s="555">
        <f t="shared" si="62"/>
        <v>0.52599015110063552</v>
      </c>
      <c r="N215" s="391">
        <f t="shared" si="63"/>
        <v>35939.580244005723</v>
      </c>
      <c r="P215" s="872"/>
      <c r="S215" s="78"/>
    </row>
    <row r="216" spans="1:19">
      <c r="A216" s="1061">
        <f t="shared" si="64"/>
        <v>202</v>
      </c>
      <c r="B216" s="413">
        <v>39901</v>
      </c>
      <c r="C216" s="308" t="s">
        <v>489</v>
      </c>
      <c r="D216" s="414">
        <v>8281717.1985645117</v>
      </c>
      <c r="E216" s="578">
        <v>0</v>
      </c>
      <c r="F216" s="813">
        <f t="shared" si="59"/>
        <v>8281717.1985645117</v>
      </c>
      <c r="G216" s="622">
        <f t="shared" si="70"/>
        <v>0.1086</v>
      </c>
      <c r="H216" s="622">
        <f t="shared" si="71"/>
        <v>0.52599015110063552</v>
      </c>
      <c r="I216" s="578">
        <f t="shared" si="60"/>
        <v>473072.64251812082</v>
      </c>
      <c r="J216" s="106"/>
      <c r="K216" s="414">
        <v>8208828.9182867846</v>
      </c>
      <c r="L216" s="555">
        <f t="shared" si="61"/>
        <v>0.1086</v>
      </c>
      <c r="M216" s="555">
        <f t="shared" si="62"/>
        <v>0.52599015110063552</v>
      </c>
      <c r="N216" s="391">
        <f t="shared" si="63"/>
        <v>468909.07951145805</v>
      </c>
      <c r="P216" s="872"/>
      <c r="S216" s="78"/>
    </row>
    <row r="217" spans="1:19">
      <c r="A217" s="1061">
        <f t="shared" si="64"/>
        <v>203</v>
      </c>
      <c r="B217" s="413">
        <v>39902</v>
      </c>
      <c r="C217" s="308" t="s">
        <v>979</v>
      </c>
      <c r="D217" s="414">
        <v>1848495.8237540489</v>
      </c>
      <c r="E217" s="578">
        <v>0</v>
      </c>
      <c r="F217" s="813">
        <f t="shared" si="59"/>
        <v>1848495.8237540489</v>
      </c>
      <c r="G217" s="622">
        <f t="shared" si="70"/>
        <v>0.1086</v>
      </c>
      <c r="H217" s="622">
        <f t="shared" si="71"/>
        <v>0.52599015110063552</v>
      </c>
      <c r="I217" s="578">
        <f t="shared" si="60"/>
        <v>105590.75890427805</v>
      </c>
      <c r="J217" s="106"/>
      <c r="K217" s="414">
        <v>1835797.7467441035</v>
      </c>
      <c r="L217" s="555">
        <f t="shared" si="61"/>
        <v>0.1086</v>
      </c>
      <c r="M217" s="555">
        <f t="shared" si="62"/>
        <v>0.52599015110063552</v>
      </c>
      <c r="N217" s="391">
        <f t="shared" si="63"/>
        <v>104865.4126141349</v>
      </c>
      <c r="P217" s="872"/>
      <c r="S217" s="78"/>
    </row>
    <row r="218" spans="1:19">
      <c r="A218" s="1061">
        <f t="shared" si="64"/>
        <v>204</v>
      </c>
      <c r="B218" s="413">
        <v>39903</v>
      </c>
      <c r="C218" s="308" t="s">
        <v>1022</v>
      </c>
      <c r="D218" s="414">
        <v>666530.91470913903</v>
      </c>
      <c r="E218" s="578">
        <v>0</v>
      </c>
      <c r="F218" s="813">
        <f t="shared" si="59"/>
        <v>666530.91470913903</v>
      </c>
      <c r="G218" s="622">
        <f t="shared" si="70"/>
        <v>0.1086</v>
      </c>
      <c r="H218" s="622">
        <f t="shared" si="71"/>
        <v>0.52599015110063552</v>
      </c>
      <c r="I218" s="578">
        <f t="shared" si="60"/>
        <v>38073.932444363993</v>
      </c>
      <c r="J218" s="106"/>
      <c r="K218" s="414">
        <v>631388.4353238733</v>
      </c>
      <c r="L218" s="555">
        <f t="shared" si="61"/>
        <v>0.1086</v>
      </c>
      <c r="M218" s="555">
        <f t="shared" si="62"/>
        <v>0.52599015110063552</v>
      </c>
      <c r="N218" s="391">
        <f t="shared" si="63"/>
        <v>36066.505097012894</v>
      </c>
      <c r="P218" s="872"/>
      <c r="S218" s="78"/>
    </row>
    <row r="219" spans="1:19">
      <c r="A219" s="1061">
        <f t="shared" si="64"/>
        <v>205</v>
      </c>
      <c r="B219" s="413">
        <v>39906</v>
      </c>
      <c r="C219" s="308" t="s">
        <v>465</v>
      </c>
      <c r="D219" s="414">
        <v>1048977.0803882433</v>
      </c>
      <c r="E219" s="578">
        <v>0</v>
      </c>
      <c r="F219" s="813">
        <f t="shared" si="59"/>
        <v>1048977.0803882433</v>
      </c>
      <c r="G219" s="622">
        <f t="shared" si="70"/>
        <v>0.1086</v>
      </c>
      <c r="H219" s="622">
        <f t="shared" si="71"/>
        <v>0.52599015110063552</v>
      </c>
      <c r="I219" s="578">
        <f t="shared" si="60"/>
        <v>59920.225173376391</v>
      </c>
      <c r="J219" s="106"/>
      <c r="K219" s="414">
        <v>1011478.1306869262</v>
      </c>
      <c r="L219" s="555">
        <f t="shared" si="61"/>
        <v>0.1086</v>
      </c>
      <c r="M219" s="555">
        <f t="shared" si="62"/>
        <v>0.52599015110063552</v>
      </c>
      <c r="N219" s="391">
        <f t="shared" si="63"/>
        <v>57778.190278737507</v>
      </c>
      <c r="P219" s="872"/>
      <c r="S219" s="78"/>
    </row>
    <row r="220" spans="1:19">
      <c r="A220" s="1061">
        <f t="shared" si="64"/>
        <v>206</v>
      </c>
      <c r="B220" s="413">
        <v>39907</v>
      </c>
      <c r="C220" s="308" t="s">
        <v>520</v>
      </c>
      <c r="D220" s="414">
        <v>188781.61</v>
      </c>
      <c r="E220" s="578">
        <v>0</v>
      </c>
      <c r="F220" s="813">
        <f t="shared" si="59"/>
        <v>188781.61</v>
      </c>
      <c r="G220" s="622">
        <f t="shared" si="70"/>
        <v>0.1086</v>
      </c>
      <c r="H220" s="622">
        <f t="shared" si="71"/>
        <v>0.52599015110063552</v>
      </c>
      <c r="I220" s="578">
        <f t="shared" si="60"/>
        <v>10783.683257984847</v>
      </c>
      <c r="J220" s="106"/>
      <c r="K220" s="414">
        <v>188781.60999999993</v>
      </c>
      <c r="L220" s="555">
        <f t="shared" si="61"/>
        <v>0.1086</v>
      </c>
      <c r="M220" s="555">
        <f t="shared" si="62"/>
        <v>0.52599015110063552</v>
      </c>
      <c r="N220" s="391">
        <f t="shared" si="63"/>
        <v>10783.683257984843</v>
      </c>
      <c r="P220" s="872"/>
      <c r="S220" s="78"/>
    </row>
    <row r="221" spans="1:19">
      <c r="A221" s="1061">
        <f t="shared" si="64"/>
        <v>207</v>
      </c>
      <c r="B221" s="413">
        <v>39908</v>
      </c>
      <c r="C221" s="308" t="s">
        <v>184</v>
      </c>
      <c r="D221" s="414">
        <v>114358176.64526801</v>
      </c>
      <c r="E221" s="578">
        <v>0</v>
      </c>
      <c r="F221" s="813">
        <f t="shared" si="59"/>
        <v>114358176.64526801</v>
      </c>
      <c r="G221" s="622">
        <f t="shared" si="70"/>
        <v>0.1086</v>
      </c>
      <c r="H221" s="622">
        <f t="shared" si="71"/>
        <v>0.52599015110063552</v>
      </c>
      <c r="I221" s="578">
        <f t="shared" si="60"/>
        <v>6532428.4229976125</v>
      </c>
      <c r="J221" s="106"/>
      <c r="K221" s="414">
        <v>112589378.73377079</v>
      </c>
      <c r="L221" s="555">
        <f t="shared" si="61"/>
        <v>0.1086</v>
      </c>
      <c r="M221" s="555">
        <f t="shared" si="62"/>
        <v>0.52599015110063552</v>
      </c>
      <c r="N221" s="391">
        <f t="shared" si="63"/>
        <v>6431390.2105098013</v>
      </c>
      <c r="P221" s="872"/>
      <c r="S221" s="78"/>
    </row>
    <row r="222" spans="1:19">
      <c r="A222" s="1061">
        <f t="shared" si="64"/>
        <v>208</v>
      </c>
      <c r="B222" s="413">
        <v>39910</v>
      </c>
      <c r="C222" s="308" t="s">
        <v>1223</v>
      </c>
      <c r="D222" s="414">
        <v>91992.46</v>
      </c>
      <c r="E222" s="578">
        <v>0</v>
      </c>
      <c r="F222" s="813">
        <f>D222+E222</f>
        <v>91992.46</v>
      </c>
      <c r="G222" s="622">
        <v>1</v>
      </c>
      <c r="H222" s="622">
        <f>$H$206</f>
        <v>1.083947E-2</v>
      </c>
      <c r="I222" s="578">
        <f>F222*G222*H222</f>
        <v>997.14951039620007</v>
      </c>
      <c r="J222" s="106"/>
      <c r="K222" s="414">
        <v>91992.459999999977</v>
      </c>
      <c r="L222" s="555">
        <f t="shared" ref="L222:M224" si="72">G222</f>
        <v>1</v>
      </c>
      <c r="M222" s="555">
        <f t="shared" si="72"/>
        <v>1.083947E-2</v>
      </c>
      <c r="N222" s="391">
        <f>K222*L222*M222</f>
        <v>997.14951039619973</v>
      </c>
      <c r="P222" s="872"/>
      <c r="S222" s="78"/>
    </row>
    <row r="223" spans="1:19">
      <c r="A223" s="1061">
        <f t="shared" si="64"/>
        <v>209</v>
      </c>
      <c r="B223" s="413">
        <v>39916</v>
      </c>
      <c r="C223" s="106" t="s">
        <v>1224</v>
      </c>
      <c r="D223" s="414">
        <v>194015.41</v>
      </c>
      <c r="E223" s="578">
        <v>0</v>
      </c>
      <c r="F223" s="813">
        <f>D223+E223</f>
        <v>194015.41</v>
      </c>
      <c r="G223" s="622">
        <v>1</v>
      </c>
      <c r="H223" s="622">
        <f>$H$206</f>
        <v>1.083947E-2</v>
      </c>
      <c r="I223" s="578">
        <f>F223*G223*H223</f>
        <v>2103.0242162326999</v>
      </c>
      <c r="J223" s="106"/>
      <c r="K223" s="414">
        <v>194015.41</v>
      </c>
      <c r="L223" s="555">
        <f t="shared" si="72"/>
        <v>1</v>
      </c>
      <c r="M223" s="555">
        <f t="shared" si="72"/>
        <v>1.083947E-2</v>
      </c>
      <c r="N223" s="391">
        <f>K223*L223*M223</f>
        <v>2103.0242162326999</v>
      </c>
      <c r="P223" s="872"/>
      <c r="S223" s="78"/>
    </row>
    <row r="224" spans="1:19">
      <c r="A224" s="1061">
        <f t="shared" si="64"/>
        <v>210</v>
      </c>
      <c r="B224" s="413">
        <v>39917</v>
      </c>
      <c r="C224" s="106" t="s">
        <v>1225</v>
      </c>
      <c r="D224" s="414">
        <v>90540.56</v>
      </c>
      <c r="E224" s="578">
        <v>0</v>
      </c>
      <c r="F224" s="813">
        <f>D224+E224</f>
        <v>90540.56</v>
      </c>
      <c r="G224" s="622">
        <v>1</v>
      </c>
      <c r="H224" s="622">
        <f>$H$206</f>
        <v>1.083947E-2</v>
      </c>
      <c r="I224" s="578">
        <f>F224*G224*H224</f>
        <v>981.41168390320001</v>
      </c>
      <c r="J224" s="106"/>
      <c r="K224" s="414">
        <v>90540.560000000027</v>
      </c>
      <c r="L224" s="555">
        <f t="shared" si="72"/>
        <v>1</v>
      </c>
      <c r="M224" s="555">
        <f t="shared" si="72"/>
        <v>1.083947E-2</v>
      </c>
      <c r="N224" s="391">
        <f>K224*L224*M224</f>
        <v>981.41168390320036</v>
      </c>
      <c r="P224" s="872"/>
      <c r="S224" s="78"/>
    </row>
    <row r="225" spans="1:17">
      <c r="A225" s="1061">
        <f t="shared" si="64"/>
        <v>211</v>
      </c>
      <c r="B225" s="1"/>
      <c r="C225" s="245"/>
      <c r="D225" s="809"/>
      <c r="E225" s="809"/>
      <c r="F225" s="809"/>
      <c r="G225" s="1128"/>
      <c r="H225" s="1128"/>
      <c r="I225" s="809"/>
      <c r="J225" s="106"/>
      <c r="K225" s="809"/>
      <c r="L225" s="773"/>
      <c r="M225" s="773"/>
      <c r="N225" s="786"/>
    </row>
    <row r="226" spans="1:17" ht="15.75" thickBot="1">
      <c r="A226" s="1061">
        <f t="shared" si="64"/>
        <v>212</v>
      </c>
      <c r="B226" s="1"/>
      <c r="C226" s="245" t="s">
        <v>1366</v>
      </c>
      <c r="D226" s="678">
        <f>SUM(D205:D224)</f>
        <v>164154949.97999999</v>
      </c>
      <c r="E226" s="678">
        <f>SUM(E205:E224)</f>
        <v>0</v>
      </c>
      <c r="F226" s="678">
        <f>SUM(F205:F224)</f>
        <v>164154949.97999999</v>
      </c>
      <c r="G226" s="1137"/>
      <c r="H226" s="1137"/>
      <c r="I226" s="678">
        <f>SUM(I205:I224)</f>
        <v>8777344.4813709017</v>
      </c>
      <c r="J226" s="1082"/>
      <c r="K226" s="678">
        <f>SUM(K205:K224)</f>
        <v>162221347.97999999</v>
      </c>
      <c r="L226" s="91"/>
      <c r="M226" s="91"/>
      <c r="N226" s="417">
        <f>SUM(N205:N224)</f>
        <v>8666892.2423259746</v>
      </c>
      <c r="P226" s="1055"/>
      <c r="Q226" s="1055"/>
    </row>
    <row r="227" spans="1:17" ht="15.75" thickTop="1">
      <c r="A227" s="1061">
        <f t="shared" si="64"/>
        <v>213</v>
      </c>
      <c r="B227" s="1"/>
      <c r="C227" s="4"/>
      <c r="D227" s="424"/>
      <c r="E227" s="424"/>
      <c r="F227" s="424"/>
      <c r="G227" s="1128"/>
      <c r="H227" s="1128"/>
      <c r="I227" s="424"/>
      <c r="J227" s="106"/>
      <c r="K227" s="424"/>
      <c r="N227" s="420"/>
    </row>
    <row r="228" spans="1:17">
      <c r="A228" s="1061">
        <f t="shared" si="64"/>
        <v>214</v>
      </c>
      <c r="B228" s="1"/>
      <c r="C228" s="107" t="s">
        <v>766</v>
      </c>
      <c r="D228" s="414">
        <v>1297739.2400000002</v>
      </c>
      <c r="E228" s="424">
        <v>0</v>
      </c>
      <c r="F228" s="424">
        <f>D228+E228</f>
        <v>1297739.2400000002</v>
      </c>
      <c r="G228" s="622">
        <f>$G$205</f>
        <v>0.1086</v>
      </c>
      <c r="H228" s="622">
        <f>$H$205</f>
        <v>0.52599015110063552</v>
      </c>
      <c r="I228" s="424">
        <f>F228*G228*H228</f>
        <v>74130.14920053909</v>
      </c>
      <c r="J228" s="106"/>
      <c r="K228" s="414">
        <v>1297739.2400000005</v>
      </c>
      <c r="L228" s="555">
        <f>G228</f>
        <v>0.1086</v>
      </c>
      <c r="M228" s="555">
        <f>H228</f>
        <v>0.52599015110063552</v>
      </c>
      <c r="N228" s="420">
        <f>K228*L228*M228</f>
        <v>74130.14920053909</v>
      </c>
    </row>
    <row r="229" spans="1:17">
      <c r="A229" s="1061">
        <f t="shared" si="64"/>
        <v>215</v>
      </c>
    </row>
    <row r="230" spans="1:17" ht="15.75" thickBot="1">
      <c r="A230" s="1061">
        <f t="shared" si="64"/>
        <v>216</v>
      </c>
      <c r="C230" s="4" t="s">
        <v>765</v>
      </c>
      <c r="D230" s="426">
        <f>D226+D198+D166+D109</f>
        <v>943325747.67174149</v>
      </c>
      <c r="E230" s="426">
        <f>E226+E198+E166+E109</f>
        <v>0</v>
      </c>
      <c r="F230" s="426">
        <f>F226+F198+F166+F109</f>
        <v>943325747.67174149</v>
      </c>
      <c r="I230" s="623">
        <f>I226+I198+I166+I109</f>
        <v>568248224.75066519</v>
      </c>
      <c r="J230" s="106"/>
      <c r="K230" s="623">
        <f>K226+K198+K166+K109</f>
        <v>914844154.24916959</v>
      </c>
      <c r="L230" s="239"/>
      <c r="M230" s="239"/>
      <c r="N230" s="623">
        <f>N226+N198+N166+N109</f>
        <v>552066856.73859799</v>
      </c>
      <c r="P230" s="768"/>
    </row>
    <row r="231" spans="1:17" ht="15.75" thickTop="1">
      <c r="A231" s="1061">
        <f t="shared" si="64"/>
        <v>217</v>
      </c>
      <c r="I231" s="106"/>
      <c r="J231" s="106"/>
      <c r="K231" s="106"/>
      <c r="L231" s="239"/>
      <c r="M231" s="239"/>
      <c r="N231" s="106"/>
    </row>
    <row r="232" spans="1:17" ht="30.75" thickBot="1">
      <c r="A232" s="1061">
        <f t="shared" si="64"/>
        <v>218</v>
      </c>
      <c r="C232" s="804" t="s">
        <v>5</v>
      </c>
      <c r="D232" s="623">
        <f>D228+D200+D168+D111</f>
        <v>27043465.570000008</v>
      </c>
      <c r="E232" s="133"/>
      <c r="F232" s="426">
        <f>F228+F200+F168+F111</f>
        <v>27043465.570000008</v>
      </c>
      <c r="I232" s="623">
        <f>I228+I200+I168+I111</f>
        <v>14731738.637158927</v>
      </c>
      <c r="J232" s="106"/>
      <c r="K232" s="623">
        <f>K228+K200+K168+K111</f>
        <v>27043465.570000008</v>
      </c>
      <c r="L232" s="239"/>
      <c r="M232" s="239"/>
      <c r="N232" s="623">
        <f>N228+N200+N168+N111</f>
        <v>14731738.637158928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52" right="0.34" top="0.96" bottom="1" header="0.5" footer="0.42"/>
  <pageSetup scale="60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111</vt:i4>
      </vt:variant>
    </vt:vector>
  </HeadingPairs>
  <TitlesOfParts>
    <vt:vector size="190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A'!Print_Area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'Table of Contents'!Print_Area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Eric  Wilen</cp:lastModifiedBy>
  <cp:lastPrinted>2018-02-12T16:09:51Z</cp:lastPrinted>
  <dcterms:created xsi:type="dcterms:W3CDTF">1998-03-09T18:47:56Z</dcterms:created>
  <dcterms:modified xsi:type="dcterms:W3CDTF">2018-02-12T16:10:04Z</dcterms:modified>
</cp:coreProperties>
</file>