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8" windowWidth="20736" windowHeight="11760"/>
  </bookViews>
  <sheets>
    <sheet name="WDW-2, page 1" sheetId="1" r:id="rId1"/>
    <sheet name="WDW-2, page 2" sheetId="3" r:id="rId2"/>
    <sheet name="WDW-2, page 3" sheetId="2" r:id="rId3"/>
    <sheet name="WDW-2, page 4" sheetId="5" r:id="rId4"/>
  </sheets>
  <calcPr calcId="145621"/>
</workbook>
</file>

<file path=xl/calcChain.xml><?xml version="1.0" encoding="utf-8"?>
<calcChain xmlns="http://schemas.openxmlformats.org/spreadsheetml/2006/main">
  <c r="A41" i="1" l="1"/>
  <c r="F31" i="1"/>
  <c r="K41" i="5" l="1"/>
  <c r="Q51" i="5"/>
  <c r="S51" i="5" s="1"/>
  <c r="Q50" i="5"/>
  <c r="S50" i="5" s="1"/>
  <c r="Q49" i="5"/>
  <c r="Q48" i="5"/>
  <c r="S48" i="5" s="1"/>
  <c r="Q47" i="5"/>
  <c r="S47" i="5" s="1"/>
  <c r="Q46" i="5"/>
  <c r="S46" i="5" s="1"/>
  <c r="Q45" i="5"/>
  <c r="Q44" i="5"/>
  <c r="S44" i="5" s="1"/>
  <c r="Q43" i="5"/>
  <c r="S43" i="5" s="1"/>
  <c r="Q42" i="5"/>
  <c r="S42" i="5" s="1"/>
  <c r="Q41" i="5"/>
  <c r="S41" i="5" s="1"/>
  <c r="S49" i="5"/>
  <c r="S45" i="5"/>
  <c r="S25" i="5"/>
  <c r="S24" i="5"/>
  <c r="S23" i="5"/>
  <c r="S22" i="5"/>
  <c r="S21" i="5"/>
  <c r="S20" i="5"/>
  <c r="S19" i="5"/>
  <c r="S18" i="5"/>
  <c r="S17" i="5"/>
  <c r="S16" i="5"/>
  <c r="S15" i="5"/>
  <c r="G37" i="5"/>
  <c r="D42" i="5"/>
  <c r="D41" i="5"/>
  <c r="E51" i="5"/>
  <c r="E50" i="5"/>
  <c r="E49" i="5"/>
  <c r="E48" i="5"/>
  <c r="E47" i="5"/>
  <c r="E46" i="5"/>
  <c r="E45" i="5"/>
  <c r="E44" i="5"/>
  <c r="E43" i="5"/>
  <c r="E42" i="5"/>
  <c r="E41" i="5"/>
  <c r="E40" i="5"/>
  <c r="E39" i="5"/>
  <c r="E38" i="5"/>
  <c r="E37" i="5"/>
  <c r="U15" i="5"/>
  <c r="U16" i="5" s="1"/>
  <c r="U17" i="5" s="1"/>
  <c r="U18" i="5" s="1"/>
  <c r="U19" i="5" s="1"/>
  <c r="U20" i="5" s="1"/>
  <c r="U21" i="5" s="1"/>
  <c r="U22" i="5" s="1"/>
  <c r="U23" i="5" s="1"/>
  <c r="U24" i="5" s="1"/>
  <c r="U25" i="5" s="1"/>
  <c r="G11" i="5"/>
  <c r="E25" i="5"/>
  <c r="E24" i="5"/>
  <c r="E23" i="5"/>
  <c r="E22" i="5"/>
  <c r="E21" i="5"/>
  <c r="E20" i="5"/>
  <c r="E19" i="5"/>
  <c r="E18" i="5"/>
  <c r="E17" i="5"/>
  <c r="E16" i="5"/>
  <c r="E15" i="5"/>
  <c r="E14" i="5"/>
  <c r="E13" i="5"/>
  <c r="E12" i="5"/>
  <c r="E11" i="5"/>
  <c r="H39" i="1" l="1"/>
  <c r="H38" i="1"/>
  <c r="I37" i="5" l="1"/>
  <c r="G36" i="5"/>
  <c r="K14" i="5"/>
  <c r="K13" i="5"/>
  <c r="K12" i="5"/>
  <c r="I11" i="5"/>
  <c r="K11" i="5"/>
  <c r="C11" i="5"/>
  <c r="O10" i="5"/>
  <c r="U10" i="5" s="1"/>
  <c r="U11" i="5" s="1"/>
  <c r="U12" i="5" s="1"/>
  <c r="U13" i="5" s="1"/>
  <c r="U14" i="5" s="1"/>
  <c r="E26" i="5" l="1"/>
  <c r="Q15" i="5" s="1"/>
  <c r="M11" i="5"/>
  <c r="I12" i="5" s="1"/>
  <c r="M12" i="5" s="1"/>
  <c r="K39" i="5"/>
  <c r="C37" i="5"/>
  <c r="C12" i="5"/>
  <c r="K37" i="5"/>
  <c r="O36" i="5"/>
  <c r="U36" i="5" s="1"/>
  <c r="U37" i="5" s="1"/>
  <c r="U38" i="5" s="1"/>
  <c r="U39" i="5" s="1"/>
  <c r="U40" i="5" s="1"/>
  <c r="U41" i="5" s="1"/>
  <c r="K38" i="5"/>
  <c r="K40" i="5"/>
  <c r="H29" i="1"/>
  <c r="H30" i="1" l="1"/>
  <c r="H31" i="1" s="1"/>
  <c r="G12" i="5"/>
  <c r="C13" i="5" s="1"/>
  <c r="Q23" i="5"/>
  <c r="Q19" i="5"/>
  <c r="Q22" i="5"/>
  <c r="Q18" i="5"/>
  <c r="Q25" i="5"/>
  <c r="Q21" i="5"/>
  <c r="Q17" i="5"/>
  <c r="Q24" i="5"/>
  <c r="Q20" i="5"/>
  <c r="Q16" i="5"/>
  <c r="M37" i="5"/>
  <c r="I38" i="5" s="1"/>
  <c r="M38" i="5" s="1"/>
  <c r="H17" i="1"/>
  <c r="K23" i="5"/>
  <c r="C38" i="5"/>
  <c r="O11" i="5"/>
  <c r="O12" i="5"/>
  <c r="I13" i="5"/>
  <c r="M13" i="5" s="1"/>
  <c r="E52" i="5"/>
  <c r="H18" i="1" s="1"/>
  <c r="A9" i="2"/>
  <c r="A8" i="2"/>
  <c r="C39" i="5" l="1"/>
  <c r="G38" i="5"/>
  <c r="G13" i="5"/>
  <c r="C14" i="5" s="1"/>
  <c r="G14" i="5" s="1"/>
  <c r="C15" i="5" s="1"/>
  <c r="Q26" i="5"/>
  <c r="K16" i="5"/>
  <c r="K15" i="5"/>
  <c r="K24" i="5"/>
  <c r="K25" i="5"/>
  <c r="O37" i="5"/>
  <c r="K20" i="5"/>
  <c r="K21" i="5"/>
  <c r="K17" i="5"/>
  <c r="K18" i="5"/>
  <c r="O38" i="5"/>
  <c r="I39" i="5"/>
  <c r="M39" i="5" s="1"/>
  <c r="O13" i="5"/>
  <c r="I14" i="5"/>
  <c r="M14" i="5" s="1"/>
  <c r="I15" i="5" s="1"/>
  <c r="K22" i="5"/>
  <c r="K19" i="5"/>
  <c r="A10" i="2"/>
  <c r="G39" i="5" l="1"/>
  <c r="O39" i="5" s="1"/>
  <c r="G15" i="5"/>
  <c r="C16" i="5" s="1"/>
  <c r="S26" i="5"/>
  <c r="M15" i="5"/>
  <c r="Q52" i="5"/>
  <c r="K26" i="5"/>
  <c r="K46" i="5"/>
  <c r="K44" i="5"/>
  <c r="K42" i="5"/>
  <c r="K49" i="5"/>
  <c r="I40" i="5"/>
  <c r="M40" i="5" s="1"/>
  <c r="K45" i="5"/>
  <c r="K43" i="5"/>
  <c r="K51" i="5"/>
  <c r="K48" i="5"/>
  <c r="O14" i="5"/>
  <c r="K50" i="5"/>
  <c r="K47" i="5"/>
  <c r="A12" i="2"/>
  <c r="C40" i="5" l="1"/>
  <c r="G40" i="5" s="1"/>
  <c r="G16" i="5"/>
  <c r="C17" i="5" s="1"/>
  <c r="O15" i="5"/>
  <c r="I16" i="5"/>
  <c r="M16" i="5" s="1"/>
  <c r="K52" i="5"/>
  <c r="U42" i="5"/>
  <c r="U43" i="5" s="1"/>
  <c r="U44" i="5" s="1"/>
  <c r="U45" i="5" s="1"/>
  <c r="U46" i="5" s="1"/>
  <c r="U47" i="5" s="1"/>
  <c r="U48" i="5" s="1"/>
  <c r="U49" i="5" s="1"/>
  <c r="U50" i="5" s="1"/>
  <c r="U51" i="5" s="1"/>
  <c r="S52" i="5"/>
  <c r="I41" i="5"/>
  <c r="M41" i="5" s="1"/>
  <c r="A18" i="2"/>
  <c r="A19" i="2" s="1"/>
  <c r="A20" i="2" s="1"/>
  <c r="C41" i="5" l="1"/>
  <c r="G41" i="5" s="1"/>
  <c r="O40" i="5"/>
  <c r="G17" i="5"/>
  <c r="C18" i="5" s="1"/>
  <c r="O16" i="5"/>
  <c r="I42" i="5"/>
  <c r="M42" i="5" s="1"/>
  <c r="I17" i="5"/>
  <c r="M17" i="5" s="1"/>
  <c r="A22" i="2"/>
  <c r="C42" i="5" l="1"/>
  <c r="G42" i="5" s="1"/>
  <c r="O41" i="5"/>
  <c r="G18" i="5"/>
  <c r="C19" i="5" s="1"/>
  <c r="O17" i="5"/>
  <c r="I18" i="5"/>
  <c r="M18" i="5" s="1"/>
  <c r="I43" i="5"/>
  <c r="M43" i="5" s="1"/>
  <c r="D9" i="1"/>
  <c r="C43" i="5" l="1"/>
  <c r="G43" i="5" s="1"/>
  <c r="O42" i="5"/>
  <c r="G19" i="5"/>
  <c r="C20" i="5" s="1"/>
  <c r="I44" i="5"/>
  <c r="M44" i="5" s="1"/>
  <c r="O18" i="5"/>
  <c r="I19" i="5"/>
  <c r="M19" i="5" s="1"/>
  <c r="G22" i="2"/>
  <c r="E22" i="2"/>
  <c r="A9" i="1"/>
  <c r="F9" i="1"/>
  <c r="A8" i="3"/>
  <c r="D14" i="3"/>
  <c r="C44" i="5" l="1"/>
  <c r="G44" i="5" s="1"/>
  <c r="O43" i="5"/>
  <c r="G20" i="5"/>
  <c r="C21" i="5" s="1"/>
  <c r="I20" i="5"/>
  <c r="M20" i="5" s="1"/>
  <c r="O19" i="5"/>
  <c r="I45" i="5"/>
  <c r="M45" i="5" s="1"/>
  <c r="A11" i="1"/>
  <c r="D15" i="3"/>
  <c r="D16" i="3" s="1"/>
  <c r="C45" i="5" l="1"/>
  <c r="G45" i="5" s="1"/>
  <c r="O44" i="5"/>
  <c r="G21" i="5"/>
  <c r="C22" i="5" s="1"/>
  <c r="I46" i="5"/>
  <c r="M46" i="5" s="1"/>
  <c r="O20" i="5"/>
  <c r="I21" i="5"/>
  <c r="M21" i="5" s="1"/>
  <c r="A15" i="1"/>
  <c r="A13" i="1"/>
  <c r="A11" i="3"/>
  <c r="C46" i="5" l="1"/>
  <c r="G46" i="5" s="1"/>
  <c r="O45" i="5"/>
  <c r="G22" i="5"/>
  <c r="C23" i="5" s="1"/>
  <c r="I22" i="5"/>
  <c r="M22" i="5" s="1"/>
  <c r="O21" i="5"/>
  <c r="I47" i="5"/>
  <c r="M47" i="5" s="1"/>
  <c r="A12" i="3"/>
  <c r="C47" i="5" l="1"/>
  <c r="G47" i="5" s="1"/>
  <c r="O46" i="5"/>
  <c r="G23" i="5"/>
  <c r="C24" i="5" s="1"/>
  <c r="I48" i="5"/>
  <c r="M48" i="5" s="1"/>
  <c r="O22" i="5"/>
  <c r="I23" i="5"/>
  <c r="M23" i="5" s="1"/>
  <c r="A17" i="1"/>
  <c r="A14" i="3"/>
  <c r="A15" i="3" s="1"/>
  <c r="A16" i="3" s="1"/>
  <c r="C48" i="5" l="1"/>
  <c r="G48" i="5" s="1"/>
  <c r="O47" i="5"/>
  <c r="G24" i="5"/>
  <c r="C25" i="5" s="1"/>
  <c r="G25" i="5" s="1"/>
  <c r="A18" i="1"/>
  <c r="I24" i="5"/>
  <c r="M24" i="5" s="1"/>
  <c r="O23" i="5"/>
  <c r="I49" i="5"/>
  <c r="M49" i="5" s="1"/>
  <c r="A20" i="1"/>
  <c r="C49" i="5" l="1"/>
  <c r="G49" i="5" s="1"/>
  <c r="O49" i="5" s="1"/>
  <c r="O48" i="5"/>
  <c r="I50" i="5"/>
  <c r="M50" i="5" s="1"/>
  <c r="O24" i="5"/>
  <c r="I25" i="5"/>
  <c r="A22" i="1"/>
  <c r="C50" i="5" l="1"/>
  <c r="M25" i="5"/>
  <c r="O25" i="5" s="1"/>
  <c r="I51" i="5"/>
  <c r="M51" i="5" s="1"/>
  <c r="A24" i="1"/>
  <c r="A29" i="1" s="1"/>
  <c r="A30" i="1" s="1"/>
  <c r="A31" i="1" s="1"/>
  <c r="A33" i="1" s="1"/>
  <c r="G50" i="5" l="1"/>
  <c r="O50" i="5" s="1"/>
  <c r="A34" i="1"/>
  <c r="A35" i="1" s="1"/>
  <c r="K20" i="2"/>
  <c r="O20" i="2" s="1"/>
  <c r="K19" i="2"/>
  <c r="O19" i="2" s="1"/>
  <c r="K18" i="2"/>
  <c r="G12" i="2"/>
  <c r="E12" i="2"/>
  <c r="K10" i="2"/>
  <c r="O10" i="2" s="1"/>
  <c r="K9" i="2"/>
  <c r="O9" i="2" s="1"/>
  <c r="K8" i="2"/>
  <c r="O8" i="2" s="1"/>
  <c r="C51" i="5" l="1"/>
  <c r="G51" i="5" s="1"/>
  <c r="O51" i="5" s="1"/>
  <c r="A38" i="1"/>
  <c r="A39" i="1" s="1"/>
  <c r="O18" i="2"/>
  <c r="O22" i="2" s="1"/>
  <c r="D11" i="1" s="1"/>
  <c r="K22" i="2"/>
  <c r="O12" i="2"/>
  <c r="F11" i="1" s="1"/>
  <c r="K12" i="2"/>
  <c r="A42" i="1" l="1"/>
  <c r="D13" i="1"/>
  <c r="H11" i="1"/>
  <c r="H20" i="1" l="1"/>
  <c r="H24" i="1" s="1"/>
  <c r="H9" i="1"/>
  <c r="F13" i="1"/>
  <c r="H13" i="1" s="1"/>
  <c r="H15" i="1" s="1"/>
  <c r="H42" i="1" l="1"/>
  <c r="H41" i="1"/>
</calcChain>
</file>

<file path=xl/sharedStrings.xml><?xml version="1.0" encoding="utf-8"?>
<sst xmlns="http://schemas.openxmlformats.org/spreadsheetml/2006/main" count="192" uniqueCount="130">
  <si>
    <t>Duke Energy Kentucky</t>
  </si>
  <si>
    <t>Case No.  2018-0036</t>
  </si>
  <si>
    <t>Capitalization Allocated to Gas</t>
  </si>
  <si>
    <t>Case No.</t>
  </si>
  <si>
    <t>2009-00202</t>
  </si>
  <si>
    <t>Common Equity</t>
  </si>
  <si>
    <t>Long-Term Debt</t>
  </si>
  <si>
    <t>Short-Term Debt</t>
  </si>
  <si>
    <t>Forecast Period</t>
  </si>
  <si>
    <t>4/1/18 - 3/31/19</t>
  </si>
  <si>
    <t>Difference</t>
  </si>
  <si>
    <t>Gross Revenue Conversion Factor</t>
  </si>
  <si>
    <t xml:space="preserve">   Total Capital</t>
  </si>
  <si>
    <t>13-Mo Avg. Bal.</t>
  </si>
  <si>
    <t>% of Total</t>
  </si>
  <si>
    <t>Cost</t>
  </si>
  <si>
    <t>Weighted Cost</t>
  </si>
  <si>
    <t>GRCF</t>
  </si>
  <si>
    <t>Pre-Tax ROR</t>
  </si>
  <si>
    <t xml:space="preserve">  Increase/(Decrease) in Annual Revenue Requirement</t>
  </si>
  <si>
    <t>Capitalization As Approved in Case No. 2009-00202</t>
  </si>
  <si>
    <t xml:space="preserve">  Total Capitalization from Pending Electric Rate Case</t>
  </si>
  <si>
    <t xml:space="preserve">  Electric Jurisdictional Rate Base Allocation Percent</t>
  </si>
  <si>
    <t xml:space="preserve">     Capitalization Allocated to Electric</t>
  </si>
  <si>
    <t>Current Capitalization Allocated to Gas in Base Rates</t>
  </si>
  <si>
    <t xml:space="preserve">     Capitalization Allocated to Gas</t>
  </si>
  <si>
    <t>Schedule WPA-1c, Line 8, from Case No. 2017-00321</t>
  </si>
  <si>
    <t>Schedule WPA-1c, Line 10, from Case No. 2017-00321</t>
  </si>
  <si>
    <t>Line 2 * Line 3</t>
  </si>
  <si>
    <t>Line 2 - Line 4</t>
  </si>
  <si>
    <t>Line 4 + Line 5</t>
  </si>
  <si>
    <t>Schedule 1, page 2 of 4</t>
  </si>
  <si>
    <t>Schedule 1, page 3 of 4</t>
  </si>
  <si>
    <t xml:space="preserve">  Total Capitalization</t>
  </si>
  <si>
    <r>
      <t xml:space="preserve">Calculate Capitalization Allocable to Gas for Forecast Period </t>
    </r>
    <r>
      <rPr>
        <vertAlign val="superscript"/>
        <sz val="11"/>
        <color theme="1"/>
        <rFont val="Calibri"/>
        <family val="2"/>
        <scheme val="minor"/>
      </rPr>
      <t>(a)</t>
    </r>
  </si>
  <si>
    <r>
      <t xml:space="preserve">Notes:  </t>
    </r>
    <r>
      <rPr>
        <vertAlign val="superscript"/>
        <sz val="11"/>
        <color theme="1"/>
        <rFont val="Calibri"/>
        <family val="2"/>
        <scheme val="minor"/>
      </rPr>
      <t>(a)</t>
    </r>
    <r>
      <rPr>
        <sz val="11"/>
        <color theme="1"/>
        <rFont val="Calibri"/>
        <family val="2"/>
        <scheme val="minor"/>
      </rPr>
      <t xml:space="preserve">  Forecast period in current rate case is April 1, 2018, through March 31, 2019.</t>
    </r>
  </si>
  <si>
    <t>(a)</t>
  </si>
  <si>
    <t>(b)</t>
  </si>
  <si>
    <t>(c)</t>
  </si>
  <si>
    <t>(a)(3) - (b)(3)</t>
  </si>
  <si>
    <t>GRCF as Filed in Case No. 2017-00321 adjusted for 21% FIT</t>
  </si>
  <si>
    <t>Capitalization from J-1 Forecast in Case No. 2017-00321 (w/ GRCF @ 21% FIT and 10.375% ROE)</t>
  </si>
  <si>
    <t>Schedule A-1, DEK Application in Case No. 2009-00202</t>
  </si>
  <si>
    <t>Pre-Tax Return</t>
  </si>
  <si>
    <t>Schedule 1, page 4 of 4.</t>
  </si>
  <si>
    <t>Capital Component</t>
  </si>
  <si>
    <t>Line</t>
  </si>
  <si>
    <t>Amount to (Refund) or Recover</t>
  </si>
  <si>
    <t>Line 5 + Line 6</t>
  </si>
  <si>
    <t>Line 7 * Line 8</t>
  </si>
  <si>
    <t>Lesser of $0 or Line 3</t>
  </si>
  <si>
    <t xml:space="preserve">                      See Attachment WDW-3</t>
  </si>
  <si>
    <t xml:space="preserve">  Residential Revenue </t>
  </si>
  <si>
    <t xml:space="preserve">  Non-Residential Revenue</t>
  </si>
  <si>
    <t>Total 2017</t>
  </si>
  <si>
    <t xml:space="preserve">    Total Gas Revenue</t>
  </si>
  <si>
    <t xml:space="preserve">  Residential Usage</t>
  </si>
  <si>
    <t xml:space="preserve">  Non-Residential Usage</t>
  </si>
  <si>
    <t>Residential Tax Refund Rider Rate</t>
  </si>
  <si>
    <t>Non-Residential Tax Refund Rider Rate</t>
  </si>
  <si>
    <t>Total Gas Revenue (Base &amp; All riders)</t>
  </si>
  <si>
    <t>Tracking the Regulatory Liability For Excess Deferred Income Taxes</t>
  </si>
  <si>
    <t>Creating the Regulatory Liability For Amort Beg 1/1/18</t>
  </si>
  <si>
    <t>Account 254.XX:  Protected EDIT</t>
  </si>
  <si>
    <t>Account 254.YY:  Regulatory Liability</t>
  </si>
  <si>
    <t>Total Gross</t>
  </si>
  <si>
    <t>Remaining</t>
  </si>
  <si>
    <t>Beg Balance</t>
  </si>
  <si>
    <t>Credit: Amort Exp</t>
  </si>
  <si>
    <t>Ending Balance</t>
  </si>
  <si>
    <t>Reg Liability</t>
  </si>
  <si>
    <t>(Debit): Acct 254</t>
  </si>
  <si>
    <t>(c)=(a)-(b)</t>
  </si>
  <si>
    <t>(d)</t>
  </si>
  <si>
    <t>(e)</t>
  </si>
  <si>
    <t>(f)=(d)+(e)</t>
  </si>
  <si>
    <t>(g)=(c)+(f)</t>
  </si>
  <si>
    <t>January 2018</t>
  </si>
  <si>
    <t>February 2018</t>
  </si>
  <si>
    <t>March 2018</t>
  </si>
  <si>
    <t>April 2018</t>
  </si>
  <si>
    <t>June 2018</t>
  </si>
  <si>
    <t>July 2018</t>
  </si>
  <si>
    <t>August 2018</t>
  </si>
  <si>
    <t>September 2018</t>
  </si>
  <si>
    <t>October 2018</t>
  </si>
  <si>
    <t>November 2018</t>
  </si>
  <si>
    <t>December 2018</t>
  </si>
  <si>
    <t>January 2019</t>
  </si>
  <si>
    <t>February 2019</t>
  </si>
  <si>
    <t>March 2019</t>
  </si>
  <si>
    <t xml:space="preserve">  2018 ARAM Rate</t>
  </si>
  <si>
    <t xml:space="preserve">  2019 ARAM Rate</t>
  </si>
  <si>
    <t>Account 254.XX:  UnProtected EDIT</t>
  </si>
  <si>
    <t>(h)</t>
  </si>
  <si>
    <t>(i)</t>
  </si>
  <si>
    <t>(j)</t>
  </si>
  <si>
    <t xml:space="preserve">  Amortization Period (yrs)</t>
  </si>
  <si>
    <t>Notes:</t>
  </si>
  <si>
    <t>(b) For protected EDITs, reflects the monthly amortization at the ARAM rate.  For unprotected, represents the agreed upon amortization of EDITs over 15 years since no actual amortization rate has been approved.</t>
  </si>
  <si>
    <t>(e)  Until customers begin receiving credits for the amortization of EDITs.  The amortization of the EDIT balance is accrued to another Account 254 Subaccount for Regulatory Liabilities.</t>
  </si>
  <si>
    <t>(h) Reflects the ongoing monthly amortization</t>
  </si>
  <si>
    <t>(i) Reflects the average monthly revenue being flowed through to customers.</t>
  </si>
  <si>
    <t>(j) Reflects the remaining balance of the EDITs owed to customers.</t>
  </si>
  <si>
    <t xml:space="preserve">  Total Amortization of Excess ADITs through December 31, 2018</t>
  </si>
  <si>
    <t>Total Amort of Excess ADITs 1/1/18-3/31/19 (Protected)</t>
  </si>
  <si>
    <t>Total Amort of Excess ADITs 1/1/18-3/31/19 (Unprotected)</t>
  </si>
  <si>
    <t>Annual Gas Sales (CCF) from Most Recent Rate Case</t>
  </si>
  <si>
    <t>Note:  (a) The ROR for the Forecast Period assumes the currently approved ROE from Case No. 2009-00202 updated for the change in capital structure and current debt rates.</t>
  </si>
  <si>
    <t xml:space="preserve">             (b) Refund period is assumed to be 10 months; so, annual sales from 2009 rate case are pro rated.</t>
  </si>
  <si>
    <t>Residential Share of Total Revenue * Line 9 ÷ Line 16</t>
  </si>
  <si>
    <t>Non-Residential Share of Total Revenue * Line 9 ÷ Line 16</t>
  </si>
  <si>
    <t>Line 15 * 11 months/12 months</t>
  </si>
  <si>
    <t>Line 14 * 11 months/12 months</t>
  </si>
  <si>
    <t>Pro rated Gas Sales from Prior Case (11 months/12 months)</t>
  </si>
  <si>
    <t xml:space="preserve">   Total Refund: May 1, 2018, thru March 31, 2018</t>
  </si>
  <si>
    <t>Credit: Cash</t>
  </si>
  <si>
    <t>Debit/(Credit)</t>
  </si>
  <si>
    <t>Debit: Amort Exp</t>
  </si>
  <si>
    <t>Debit: Acct 254</t>
  </si>
  <si>
    <t>May 2018 (Refund Begins)</t>
  </si>
  <si>
    <t>(Debit)/Credit</t>
  </si>
  <si>
    <t>Levelized Refund to Customers</t>
  </si>
  <si>
    <t xml:space="preserve">  Total Amortized EDITs (Protected)</t>
  </si>
  <si>
    <t xml:space="preserve">  Total Amortized EDITs (UnProtected)</t>
  </si>
  <si>
    <t>Unprotected EDITs</t>
  </si>
  <si>
    <t>Protected EDITs</t>
  </si>
  <si>
    <t>December 31, 2017 (per books)</t>
  </si>
  <si>
    <t>Revenue &amp; Sales From Test Year Used in 2009-00202</t>
  </si>
  <si>
    <t>Case No.  2018-00036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</si>
</sst>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7" formatCode="&quot;$&quot;#,##0.00_);\(&quot;$&quot;#,##0.00\)"/>
    <numFmt numFmtId="43" formatCode="_(* #,##0.00_);_(* \(#,##0.00\);_(* &quot;-&quot;??_);_(@_)"/>
    <numFmt numFmtId="164" formatCode="_(* #,##0_);_(* \(#,##0\);_(* &quot;-&quot;??_);_(@_)"/>
    <numFmt numFmtId="165" formatCode="0.0000000"/>
    <numFmt numFmtId="166" formatCode="0.000%"/>
    <numFmt numFmtId="167" formatCode="0.0%"/>
    <numFmt numFmtId="168" formatCode="&quot;$&quot;#,##0.0000_);\(&quot;$&quot;#,##0.0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name val="Courier"/>
      <family val="3"/>
    </font>
    <font>
      <sz val="12"/>
      <name val="Arial"/>
      <family val="2"/>
    </font>
    <font>
      <vertAlign val="superscript"/>
      <sz val="11"/>
      <color theme="1"/>
      <name val="Calibri"/>
      <family val="2"/>
      <scheme val="minor"/>
    </font>
    <font>
      <sz val="9"/>
      <color theme="1"/>
      <name val="Calibri"/>
      <family val="2"/>
      <scheme val="minor"/>
    </font>
    <font>
      <sz val="11"/>
      <name val="Calibri"/>
      <family val="2"/>
      <scheme val="minor"/>
    </font>
    <font>
      <b/>
      <i/>
      <sz val="11"/>
      <color rgb="FFFF0000"/>
      <name val="Calibri"/>
      <family val="2"/>
      <scheme val="minor"/>
    </font>
    <font>
      <sz val="8"/>
      <color theme="1"/>
      <name val="Calibri"/>
      <family val="2"/>
      <scheme val="minor"/>
    </font>
    <font>
      <sz val="11"/>
      <name val="Arial"/>
      <family val="2"/>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FFFF00"/>
        <bgColor theme="4" tint="0.79998168889431442"/>
      </patternFill>
    </fill>
  </fills>
  <borders count="16">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right/>
      <top style="dotted">
        <color auto="1"/>
      </top>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cellStyleXfs>
  <cellXfs count="98">
    <xf numFmtId="0" fontId="0" fillId="0" borderId="0" xfId="0"/>
    <xf numFmtId="0" fontId="0" fillId="0" borderId="0" xfId="0" quotePrefix="1" applyAlignment="1">
      <alignment horizontal="left"/>
    </xf>
    <xf numFmtId="10" fontId="0" fillId="0" borderId="0" xfId="2" applyNumberFormat="1" applyFont="1"/>
    <xf numFmtId="0" fontId="4" fillId="0" borderId="0" xfId="3" applyFont="1" applyFill="1" applyBorder="1"/>
    <xf numFmtId="0" fontId="4" fillId="0" borderId="0" xfId="3" applyFont="1" applyFill="1"/>
    <xf numFmtId="164" fontId="0" fillId="0" borderId="0" xfId="1" applyNumberFormat="1" applyFont="1"/>
    <xf numFmtId="164" fontId="0" fillId="0" borderId="0" xfId="0" applyNumberFormat="1"/>
    <xf numFmtId="10" fontId="0" fillId="0" borderId="0" xfId="0" applyNumberFormat="1"/>
    <xf numFmtId="0" fontId="0" fillId="0" borderId="3" xfId="0" applyBorder="1"/>
    <xf numFmtId="164" fontId="2" fillId="0" borderId="0" xfId="1" applyNumberFormat="1" applyFont="1"/>
    <xf numFmtId="5" fontId="0" fillId="0" borderId="0" xfId="1" applyNumberFormat="1" applyFont="1"/>
    <xf numFmtId="5" fontId="0" fillId="0" borderId="0" xfId="0" applyNumberFormat="1"/>
    <xf numFmtId="5" fontId="0" fillId="0" borderId="2" xfId="1" applyNumberFormat="1" applyFont="1" applyBorder="1"/>
    <xf numFmtId="5" fontId="2" fillId="0" borderId="2" xfId="1" applyNumberFormat="1" applyFont="1" applyBorder="1"/>
    <xf numFmtId="5" fontId="0" fillId="0" borderId="2" xfId="0" applyNumberFormat="1" applyBorder="1"/>
    <xf numFmtId="0" fontId="0" fillId="0" borderId="4" xfId="0" quotePrefix="1" applyBorder="1" applyAlignment="1">
      <alignment horizontal="left"/>
    </xf>
    <xf numFmtId="0" fontId="0" fillId="0" borderId="4" xfId="0" applyBorder="1"/>
    <xf numFmtId="0" fontId="2" fillId="0" borderId="0" xfId="0" applyFont="1"/>
    <xf numFmtId="0" fontId="2" fillId="0" borderId="0" xfId="0" quotePrefix="1" applyFont="1" applyAlignment="1">
      <alignment horizontal="left"/>
    </xf>
    <xf numFmtId="164" fontId="0" fillId="0" borderId="3" xfId="1" applyNumberFormat="1" applyFont="1" applyBorder="1"/>
    <xf numFmtId="0" fontId="0" fillId="0" borderId="0" xfId="0" applyAlignment="1">
      <alignment horizontal="center"/>
    </xf>
    <xf numFmtId="165" fontId="0" fillId="0" borderId="0" xfId="0" applyNumberFormat="1"/>
    <xf numFmtId="0" fontId="2" fillId="0" borderId="5" xfId="0" quotePrefix="1" applyFont="1" applyBorder="1" applyAlignment="1">
      <alignment horizontal="center"/>
    </xf>
    <xf numFmtId="10" fontId="0" fillId="0" borderId="2" xfId="2" applyNumberFormat="1" applyFont="1" applyBorder="1"/>
    <xf numFmtId="5" fontId="0" fillId="0" borderId="3" xfId="1" applyNumberFormat="1" applyFont="1" applyBorder="1"/>
    <xf numFmtId="0" fontId="0" fillId="0" borderId="9" xfId="0" applyBorder="1" applyAlignment="1">
      <alignment horizontal="center"/>
    </xf>
    <xf numFmtId="0" fontId="0" fillId="0" borderId="9" xfId="0" applyBorder="1"/>
    <xf numFmtId="164" fontId="0" fillId="0" borderId="9" xfId="1" applyNumberFormat="1" applyFont="1" applyBorder="1"/>
    <xf numFmtId="0" fontId="0" fillId="0" borderId="9" xfId="0" quotePrefix="1" applyBorder="1" applyAlignment="1">
      <alignment horizontal="left"/>
    </xf>
    <xf numFmtId="0" fontId="0" fillId="0" borderId="0" xfId="0" applyBorder="1"/>
    <xf numFmtId="0" fontId="6" fillId="0" borderId="0" xfId="0" quotePrefix="1" applyFont="1" applyAlignment="1">
      <alignment horizontal="center" vertical="top"/>
    </xf>
    <xf numFmtId="166" fontId="0" fillId="0" borderId="0" xfId="2" applyNumberFormat="1" applyFont="1"/>
    <xf numFmtId="0" fontId="0" fillId="0" borderId="10" xfId="0" applyBorder="1"/>
    <xf numFmtId="166" fontId="0" fillId="0" borderId="3" xfId="0" applyNumberFormat="1" applyBorder="1"/>
    <xf numFmtId="166" fontId="0" fillId="0" borderId="2" xfId="2" applyNumberFormat="1" applyFont="1" applyBorder="1"/>
    <xf numFmtId="10" fontId="0" fillId="0" borderId="3" xfId="0" applyNumberFormat="1" applyBorder="1"/>
    <xf numFmtId="0" fontId="7" fillId="0" borderId="0" xfId="0" quotePrefix="1" applyFont="1" applyAlignment="1">
      <alignment horizontal="left"/>
    </xf>
    <xf numFmtId="0" fontId="0" fillId="0" borderId="0" xfId="0" applyFill="1"/>
    <xf numFmtId="0" fontId="2" fillId="0" borderId="5" xfId="0" quotePrefix="1" applyFont="1" applyFill="1" applyBorder="1" applyAlignment="1">
      <alignment horizontal="center"/>
    </xf>
    <xf numFmtId="5" fontId="0" fillId="0" borderId="0" xfId="1" applyNumberFormat="1" applyFont="1" applyFill="1"/>
    <xf numFmtId="10" fontId="0" fillId="0" borderId="0" xfId="2" applyNumberFormat="1" applyFont="1" applyFill="1"/>
    <xf numFmtId="166" fontId="0" fillId="0" borderId="0" xfId="2" applyNumberFormat="1" applyFont="1" applyFill="1"/>
    <xf numFmtId="165" fontId="0" fillId="0" borderId="0" xfId="0" applyNumberFormat="1" applyFill="1"/>
    <xf numFmtId="164" fontId="0" fillId="0" borderId="0" xfId="1" applyNumberFormat="1" applyFont="1" applyFill="1"/>
    <xf numFmtId="164" fontId="0" fillId="0" borderId="3" xfId="1" applyNumberFormat="1" applyFont="1" applyFill="1" applyBorder="1"/>
    <xf numFmtId="0" fontId="0" fillId="0" borderId="3" xfId="0" applyFill="1" applyBorder="1"/>
    <xf numFmtId="166" fontId="0" fillId="0" borderId="3" xfId="0" applyNumberFormat="1" applyFill="1" applyBorder="1"/>
    <xf numFmtId="5" fontId="0" fillId="0" borderId="2" xfId="1" applyNumberFormat="1" applyFont="1" applyFill="1" applyBorder="1"/>
    <xf numFmtId="10" fontId="0" fillId="0" borderId="2" xfId="2" applyNumberFormat="1" applyFont="1" applyFill="1" applyBorder="1"/>
    <xf numFmtId="166" fontId="0" fillId="0" borderId="2" xfId="2" applyNumberFormat="1" applyFont="1" applyFill="1" applyBorder="1"/>
    <xf numFmtId="0" fontId="2" fillId="0" borderId="5" xfId="0" applyFont="1" applyFill="1" applyBorder="1" applyAlignment="1">
      <alignment horizontal="center"/>
    </xf>
    <xf numFmtId="0" fontId="0" fillId="0" borderId="0" xfId="0" applyAlignment="1">
      <alignment horizontal="left"/>
    </xf>
    <xf numFmtId="5" fontId="0" fillId="0" borderId="0" xfId="1" applyNumberFormat="1" applyFont="1" applyBorder="1"/>
    <xf numFmtId="167" fontId="0" fillId="0" borderId="12" xfId="0" applyNumberFormat="1" applyBorder="1"/>
    <xf numFmtId="168" fontId="0" fillId="0" borderId="0" xfId="1" applyNumberFormat="1" applyFont="1" applyBorder="1"/>
    <xf numFmtId="164" fontId="0" fillId="0" borderId="4" xfId="1" applyNumberFormat="1" applyFont="1" applyBorder="1"/>
    <xf numFmtId="0" fontId="2" fillId="0" borderId="14" xfId="0" quotePrefix="1" applyFont="1" applyBorder="1" applyAlignment="1">
      <alignment horizontal="center"/>
    </xf>
    <xf numFmtId="10" fontId="2" fillId="0" borderId="5" xfId="2" quotePrefix="1" applyNumberFormat="1" applyFont="1" applyBorder="1" applyAlignment="1">
      <alignment horizontal="center"/>
    </xf>
    <xf numFmtId="0" fontId="2" fillId="0" borderId="15" xfId="0" quotePrefix="1" applyFont="1" applyBorder="1" applyAlignment="1">
      <alignment horizontal="center"/>
    </xf>
    <xf numFmtId="164" fontId="9" fillId="0" borderId="0" xfId="1" quotePrefix="1" applyNumberFormat="1" applyFont="1" applyAlignment="1">
      <alignment horizontal="center" vertical="top"/>
    </xf>
    <xf numFmtId="15" fontId="0" fillId="0" borderId="0" xfId="0" quotePrefix="1" applyNumberFormat="1" applyAlignment="1">
      <alignment horizontal="left"/>
    </xf>
    <xf numFmtId="17" fontId="0" fillId="0" borderId="0" xfId="0" quotePrefix="1" applyNumberFormat="1" applyAlignment="1">
      <alignment horizontal="left"/>
    </xf>
    <xf numFmtId="0" fontId="0" fillId="0" borderId="3" xfId="0" quotePrefix="1" applyBorder="1" applyAlignment="1">
      <alignment horizontal="left"/>
    </xf>
    <xf numFmtId="164" fontId="0" fillId="0" borderId="3" xfId="0" applyNumberFormat="1" applyBorder="1"/>
    <xf numFmtId="164" fontId="0" fillId="0" borderId="0" xfId="1" applyNumberFormat="1" applyFont="1" applyBorder="1"/>
    <xf numFmtId="5" fontId="0" fillId="0" borderId="12" xfId="1" applyNumberFormat="1" applyFont="1" applyBorder="1"/>
    <xf numFmtId="167" fontId="2" fillId="0" borderId="5" xfId="2" applyNumberFormat="1" applyFont="1" applyBorder="1"/>
    <xf numFmtId="164" fontId="2" fillId="0" borderId="5" xfId="1" applyNumberFormat="1" applyFont="1" applyBorder="1"/>
    <xf numFmtId="164" fontId="0" fillId="0" borderId="9" xfId="0" applyNumberFormat="1" applyBorder="1"/>
    <xf numFmtId="0" fontId="0" fillId="0" borderId="0" xfId="0" quotePrefix="1" applyAlignment="1">
      <alignment horizontal="right"/>
    </xf>
    <xf numFmtId="0" fontId="9" fillId="0" borderId="0" xfId="0" quotePrefix="1" applyFont="1" applyAlignment="1">
      <alignment horizontal="center" vertical="top"/>
    </xf>
    <xf numFmtId="5" fontId="2" fillId="2" borderId="11" xfId="0" applyNumberFormat="1" applyFont="1" applyFill="1" applyBorder="1"/>
    <xf numFmtId="0" fontId="2" fillId="0" borderId="5" xfId="0" quotePrefix="1" applyFont="1" applyBorder="1" applyAlignment="1">
      <alignment horizontal="center"/>
    </xf>
    <xf numFmtId="0" fontId="2" fillId="0" borderId="5" xfId="0" quotePrefix="1" applyFont="1" applyBorder="1" applyAlignment="1">
      <alignment horizontal="center"/>
    </xf>
    <xf numFmtId="164" fontId="0" fillId="0" borderId="0" xfId="0" applyNumberFormat="1" applyBorder="1"/>
    <xf numFmtId="0" fontId="2" fillId="0" borderId="0" xfId="0" quotePrefix="1" applyFont="1" applyAlignment="1">
      <alignment horizontal="center"/>
    </xf>
    <xf numFmtId="0" fontId="2" fillId="0" borderId="1" xfId="0" quotePrefix="1" applyFont="1" applyBorder="1" applyAlignment="1">
      <alignment horizontal="center"/>
    </xf>
    <xf numFmtId="7" fontId="0" fillId="0" borderId="0" xfId="1" applyNumberFormat="1" applyFont="1" applyBorder="1"/>
    <xf numFmtId="0" fontId="0" fillId="0" borderId="0" xfId="0" applyFont="1"/>
    <xf numFmtId="0" fontId="7" fillId="0" borderId="0" xfId="3" applyFont="1" applyFill="1" applyBorder="1"/>
    <xf numFmtId="0" fontId="7" fillId="0" borderId="0" xfId="3" applyFont="1" applyFill="1"/>
    <xf numFmtId="0" fontId="10" fillId="0" borderId="0" xfId="3" applyFont="1" applyFill="1"/>
    <xf numFmtId="0" fontId="2" fillId="0" borderId="0" xfId="0" quotePrefix="1" applyFont="1" applyBorder="1" applyAlignment="1">
      <alignment vertical="center"/>
    </xf>
    <xf numFmtId="0" fontId="2" fillId="0" borderId="0" xfId="0" applyFont="1" applyBorder="1" applyAlignment="1">
      <alignment vertical="center"/>
    </xf>
    <xf numFmtId="168" fontId="2" fillId="3" borderId="0" xfId="1" applyNumberFormat="1" applyFont="1" applyFill="1" applyBorder="1"/>
    <xf numFmtId="5" fontId="0" fillId="4" borderId="12" xfId="0" applyNumberFormat="1" applyFont="1" applyFill="1" applyBorder="1"/>
    <xf numFmtId="167" fontId="0" fillId="3" borderId="0" xfId="2" applyNumberFormat="1" applyFont="1" applyFill="1"/>
    <xf numFmtId="167" fontId="0" fillId="3" borderId="0" xfId="0" applyNumberFormat="1" applyFill="1"/>
    <xf numFmtId="0" fontId="2" fillId="0" borderId="13" xfId="0" quotePrefix="1" applyFont="1" applyBorder="1" applyAlignment="1">
      <alignment horizontal="left" vertical="center"/>
    </xf>
    <xf numFmtId="0" fontId="2" fillId="2" borderId="6" xfId="0" quotePrefix="1" applyFont="1" applyFill="1" applyBorder="1" applyAlignment="1">
      <alignment horizontal="center"/>
    </xf>
    <xf numFmtId="0" fontId="2" fillId="2" borderId="7" xfId="0" quotePrefix="1" applyFont="1" applyFill="1" applyBorder="1" applyAlignment="1">
      <alignment horizontal="center"/>
    </xf>
    <xf numFmtId="0" fontId="2" fillId="2" borderId="8" xfId="0" quotePrefix="1" applyFont="1" applyFill="1" applyBorder="1" applyAlignment="1">
      <alignment horizontal="center"/>
    </xf>
    <xf numFmtId="0" fontId="2" fillId="0" borderId="5" xfId="0" quotePrefix="1" applyFont="1" applyBorder="1" applyAlignment="1">
      <alignment horizontal="center"/>
    </xf>
    <xf numFmtId="0" fontId="2" fillId="0" borderId="5" xfId="0" applyFont="1" applyBorder="1" applyAlignment="1">
      <alignment horizontal="center"/>
    </xf>
    <xf numFmtId="0" fontId="2" fillId="0" borderId="6" xfId="0" quotePrefix="1" applyFont="1" applyBorder="1" applyAlignment="1">
      <alignment horizontal="center"/>
    </xf>
    <xf numFmtId="0" fontId="2" fillId="0" borderId="7" xfId="0" quotePrefix="1" applyFont="1" applyBorder="1" applyAlignment="1">
      <alignment horizontal="center"/>
    </xf>
    <xf numFmtId="0" fontId="2" fillId="0" borderId="8" xfId="0" quotePrefix="1" applyFont="1" applyBorder="1" applyAlignment="1">
      <alignment horizontal="center"/>
    </xf>
    <xf numFmtId="0" fontId="8" fillId="0" borderId="1" xfId="0" quotePrefix="1" applyFont="1" applyBorder="1" applyAlignment="1">
      <alignment horizontal="center"/>
    </xf>
  </cellXfs>
  <cellStyles count="4">
    <cellStyle name="Comma" xfId="1" builtinId="3"/>
    <cellStyle name="Normal" xfId="0" builtinId="0"/>
    <cellStyle name="Normal_SCH_J1"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tabSelected="1" view="pageLayout" zoomScaleNormal="100" workbookViewId="0">
      <selection activeCell="B7" sqref="B7"/>
    </sheetView>
  </sheetViews>
  <sheetFormatPr defaultRowHeight="14.4" x14ac:dyDescent="0.3"/>
  <cols>
    <col min="1" max="1" width="6.109375" customWidth="1"/>
    <col min="2" max="2" width="55.88671875" customWidth="1"/>
    <col min="3" max="3" width="1.6640625" customWidth="1"/>
    <col min="4" max="4" width="15.6640625" customWidth="1"/>
    <col min="5" max="5" width="2.6640625" customWidth="1"/>
    <col min="6" max="6" width="15.6640625" customWidth="1"/>
    <col min="7" max="7" width="2.6640625" customWidth="1"/>
    <col min="8" max="8" width="15.6640625" customWidth="1"/>
    <col min="9" max="9" width="1.6640625" customWidth="1"/>
    <col min="10" max="10" width="64.5546875" customWidth="1"/>
    <col min="11" max="11" width="1.6640625" customWidth="1"/>
    <col min="12" max="12" width="15.6640625" customWidth="1"/>
    <col min="13" max="13" width="1.6640625" customWidth="1"/>
    <col min="14" max="14" width="15.6640625" customWidth="1"/>
  </cols>
  <sheetData>
    <row r="1" spans="1:10" ht="15" x14ac:dyDescent="0.25">
      <c r="A1" s="17" t="s">
        <v>0</v>
      </c>
      <c r="B1" s="17"/>
    </row>
    <row r="2" spans="1:10" ht="15" x14ac:dyDescent="0.25">
      <c r="A2" s="18" t="s">
        <v>129</v>
      </c>
      <c r="B2" s="18"/>
    </row>
    <row r="3" spans="1:10" ht="15.75" thickBot="1" x14ac:dyDescent="0.3">
      <c r="A3" s="15"/>
      <c r="B3" s="15"/>
      <c r="C3" s="16"/>
      <c r="D3" s="16"/>
      <c r="E3" s="16"/>
      <c r="F3" s="16"/>
      <c r="G3" s="16"/>
      <c r="H3" s="16"/>
      <c r="I3" s="16"/>
      <c r="J3" s="16"/>
    </row>
    <row r="5" spans="1:10" ht="15" x14ac:dyDescent="0.25">
      <c r="D5" s="75" t="s">
        <v>3</v>
      </c>
      <c r="E5" s="17"/>
      <c r="F5" s="75" t="s">
        <v>8</v>
      </c>
      <c r="G5" s="17"/>
      <c r="H5" s="17"/>
    </row>
    <row r="6" spans="1:10" ht="15" x14ac:dyDescent="0.25">
      <c r="D6" s="76" t="s">
        <v>4</v>
      </c>
      <c r="E6" s="17"/>
      <c r="F6" s="76" t="s">
        <v>9</v>
      </c>
      <c r="G6" s="17"/>
      <c r="H6" s="76" t="s">
        <v>10</v>
      </c>
    </row>
    <row r="7" spans="1:10" ht="15" x14ac:dyDescent="0.25">
      <c r="D7" s="30" t="s">
        <v>36</v>
      </c>
      <c r="F7" s="30" t="s">
        <v>37</v>
      </c>
      <c r="H7" s="30" t="s">
        <v>38</v>
      </c>
    </row>
    <row r="9" spans="1:10" ht="15" x14ac:dyDescent="0.25">
      <c r="A9" s="20">
        <f>MAX(A7:A$7)+1</f>
        <v>1</v>
      </c>
      <c r="B9" t="s">
        <v>2</v>
      </c>
      <c r="D9" s="10">
        <f>+'WDW-2, page 2'!D8</f>
        <v>253750235</v>
      </c>
      <c r="E9" s="5"/>
      <c r="F9" s="10">
        <f>+'WDW-2, page 2'!D15</f>
        <v>311173595.72092295</v>
      </c>
      <c r="H9" s="11">
        <f>+F9-D9</f>
        <v>57423360.720922947</v>
      </c>
      <c r="J9" s="1" t="s">
        <v>31</v>
      </c>
    </row>
    <row r="10" spans="1:10" ht="15" x14ac:dyDescent="0.25">
      <c r="A10" s="20"/>
    </row>
    <row r="11" spans="1:10" ht="15" x14ac:dyDescent="0.25">
      <c r="A11" s="20">
        <f>MAX(A$7:A10)+1</f>
        <v>2</v>
      </c>
      <c r="B11" s="1" t="s">
        <v>43</v>
      </c>
      <c r="D11" s="2">
        <f>+'WDW-2, page 3'!O22</f>
        <v>0.10778883942999999</v>
      </c>
      <c r="F11" s="2">
        <f>+'WDW-2, page 3'!O12</f>
        <v>8.8498592102567497E-2</v>
      </c>
      <c r="G11" s="70" t="s">
        <v>36</v>
      </c>
      <c r="H11" s="7">
        <f>+F11-D11</f>
        <v>-1.9290247327432494E-2</v>
      </c>
      <c r="J11" s="1" t="s">
        <v>32</v>
      </c>
    </row>
    <row r="12" spans="1:10" ht="15" x14ac:dyDescent="0.25">
      <c r="A12" s="20"/>
      <c r="D12" s="8"/>
      <c r="F12" s="8"/>
    </row>
    <row r="13" spans="1:10" ht="15.75" thickBot="1" x14ac:dyDescent="0.3">
      <c r="A13" s="20">
        <f>MAX(A$7:A12)+1</f>
        <v>3</v>
      </c>
      <c r="B13" s="1" t="s">
        <v>19</v>
      </c>
      <c r="D13" s="12">
        <f>+D9*D11</f>
        <v>27351443.335739765</v>
      </c>
      <c r="F13" s="12">
        <f>+F9*F11</f>
        <v>27538425.120795202</v>
      </c>
      <c r="H13" s="13">
        <f>+F13-D13</f>
        <v>186981.78505543619</v>
      </c>
      <c r="J13" s="6" t="s">
        <v>39</v>
      </c>
    </row>
    <row r="14" spans="1:10" ht="16.5" thickTop="1" thickBot="1" x14ac:dyDescent="0.3">
      <c r="A14" s="20"/>
    </row>
    <row r="15" spans="1:10" ht="15.75" thickBot="1" x14ac:dyDescent="0.3">
      <c r="A15" s="20">
        <f>MAX(A$7:A14)+1</f>
        <v>4</v>
      </c>
      <c r="B15" s="1" t="s">
        <v>47</v>
      </c>
      <c r="H15" s="71">
        <f>IF(H13&lt;0,H13,0)</f>
        <v>0</v>
      </c>
      <c r="J15" t="s">
        <v>50</v>
      </c>
    </row>
    <row r="16" spans="1:10" ht="15" x14ac:dyDescent="0.25">
      <c r="A16" s="20"/>
    </row>
    <row r="17" spans="1:10" ht="15" x14ac:dyDescent="0.25">
      <c r="A17" s="20">
        <f>MAX(A$7:A16)+1</f>
        <v>5</v>
      </c>
      <c r="B17" s="1" t="s">
        <v>105</v>
      </c>
      <c r="H17" s="10">
        <f>+'WDW-2, page 4'!E26</f>
        <v>772710.60000000009</v>
      </c>
      <c r="J17" s="36" t="s">
        <v>44</v>
      </c>
    </row>
    <row r="18" spans="1:10" ht="15" x14ac:dyDescent="0.25">
      <c r="A18" s="20">
        <f>MAX(A$7:A17)+1</f>
        <v>6</v>
      </c>
      <c r="B18" s="1" t="s">
        <v>106</v>
      </c>
      <c r="H18" s="10">
        <f>+'WDW-2, page 4'!E52</f>
        <v>25363.666666666672</v>
      </c>
      <c r="J18" s="36" t="s">
        <v>44</v>
      </c>
    </row>
    <row r="19" spans="1:10" ht="15" x14ac:dyDescent="0.25">
      <c r="A19" s="20"/>
      <c r="H19" s="8"/>
    </row>
    <row r="20" spans="1:10" ht="15.75" thickBot="1" x14ac:dyDescent="0.3">
      <c r="A20" s="20">
        <f>MAX(A$7:A19)+1</f>
        <v>7</v>
      </c>
      <c r="B20" s="1" t="s">
        <v>104</v>
      </c>
      <c r="H20" s="14">
        <f>+H17+H18</f>
        <v>798074.26666666672</v>
      </c>
      <c r="J20" s="1" t="s">
        <v>48</v>
      </c>
    </row>
    <row r="21" spans="1:10" ht="15.75" thickTop="1" x14ac:dyDescent="0.25">
      <c r="A21" s="20"/>
      <c r="H21" s="29"/>
    </row>
    <row r="22" spans="1:10" ht="15" x14ac:dyDescent="0.25">
      <c r="A22" s="20">
        <f>MAX(A$7:A21)+1</f>
        <v>8</v>
      </c>
      <c r="B22" t="s">
        <v>11</v>
      </c>
      <c r="H22">
        <v>1.3409865999999999</v>
      </c>
      <c r="J22" s="1" t="s">
        <v>40</v>
      </c>
    </row>
    <row r="23" spans="1:10" ht="15.75" thickBot="1" x14ac:dyDescent="0.3">
      <c r="A23" s="20"/>
      <c r="H23" s="8"/>
    </row>
    <row r="24" spans="1:10" ht="15.75" thickBot="1" x14ac:dyDescent="0.3">
      <c r="A24" s="20">
        <f>MAX(A$7:A23)+1</f>
        <v>9</v>
      </c>
      <c r="B24" s="1" t="s">
        <v>115</v>
      </c>
      <c r="H24" s="71">
        <f>+H20*H22</f>
        <v>1070206.8974048267</v>
      </c>
      <c r="J24" s="1" t="s">
        <v>49</v>
      </c>
    </row>
    <row r="26" spans="1:10" ht="15" x14ac:dyDescent="0.25">
      <c r="A26" s="32"/>
      <c r="B26" s="32"/>
      <c r="C26" s="32"/>
      <c r="D26" s="32"/>
      <c r="E26" s="32"/>
      <c r="F26" s="32"/>
      <c r="G26" s="32"/>
      <c r="H26" s="32"/>
      <c r="I26" s="32"/>
      <c r="J26" s="32"/>
    </row>
    <row r="27" spans="1:10" x14ac:dyDescent="0.3">
      <c r="A27" s="29"/>
      <c r="B27" s="29"/>
      <c r="C27" s="29"/>
      <c r="D27" s="29"/>
      <c r="E27" s="29"/>
      <c r="F27" s="76" t="s">
        <v>54</v>
      </c>
      <c r="G27" s="29"/>
      <c r="H27" s="76" t="s">
        <v>14</v>
      </c>
      <c r="I27" s="29"/>
      <c r="J27" s="29"/>
    </row>
    <row r="28" spans="1:10" x14ac:dyDescent="0.3">
      <c r="B28" s="1" t="s">
        <v>60</v>
      </c>
    </row>
    <row r="29" spans="1:10" x14ac:dyDescent="0.3">
      <c r="A29" s="20">
        <f>MAX(A$7:A28)+1</f>
        <v>10</v>
      </c>
      <c r="B29" s="1" t="s">
        <v>52</v>
      </c>
      <c r="F29" s="10">
        <v>59228599</v>
      </c>
      <c r="H29" s="86">
        <f>+F29/F31</f>
        <v>0.57339713581791485</v>
      </c>
      <c r="J29" s="82"/>
    </row>
    <row r="30" spans="1:10" x14ac:dyDescent="0.3">
      <c r="A30" s="20">
        <f>MAX(A$7:A29)+1</f>
        <v>11</v>
      </c>
      <c r="B30" s="51" t="s">
        <v>53</v>
      </c>
      <c r="F30" s="5">
        <v>44065602</v>
      </c>
      <c r="H30" s="87">
        <f>1-H29</f>
        <v>0.42660286418208515</v>
      </c>
      <c r="J30" s="83"/>
    </row>
    <row r="31" spans="1:10" ht="15" thickBot="1" x14ac:dyDescent="0.35">
      <c r="A31" s="20">
        <f>MAX(A$7:A30)+1</f>
        <v>12</v>
      </c>
      <c r="B31" t="s">
        <v>55</v>
      </c>
      <c r="F31" s="85">
        <f>+F29+F30</f>
        <v>103294201</v>
      </c>
      <c r="H31" s="53">
        <f>SUM(H29:H30)</f>
        <v>1</v>
      </c>
      <c r="J31" s="83"/>
    </row>
    <row r="32" spans="1:10" ht="15" thickTop="1" x14ac:dyDescent="0.3">
      <c r="H32" s="52"/>
      <c r="J32" s="83"/>
    </row>
    <row r="33" spans="1:10" x14ac:dyDescent="0.3">
      <c r="A33" s="20">
        <f>MAX(A$7:A32)+1</f>
        <v>13</v>
      </c>
      <c r="B33" s="1" t="s">
        <v>107</v>
      </c>
      <c r="H33" s="52"/>
      <c r="J33" s="83"/>
    </row>
    <row r="34" spans="1:10" x14ac:dyDescent="0.3">
      <c r="A34" s="20">
        <f>MAX(A$7:A33)+1</f>
        <v>14</v>
      </c>
      <c r="B34" s="1" t="s">
        <v>56</v>
      </c>
      <c r="H34" s="5">
        <v>68500260</v>
      </c>
      <c r="J34" s="88" t="s">
        <v>128</v>
      </c>
    </row>
    <row r="35" spans="1:10" x14ac:dyDescent="0.3">
      <c r="A35" s="20">
        <f>MAX(A$7:A34)+1</f>
        <v>15</v>
      </c>
      <c r="B35" s="1" t="s">
        <v>57</v>
      </c>
      <c r="H35" s="5">
        <v>63964420</v>
      </c>
      <c r="J35" s="88"/>
    </row>
    <row r="36" spans="1:10" x14ac:dyDescent="0.3">
      <c r="J36" s="1"/>
    </row>
    <row r="37" spans="1:10" x14ac:dyDescent="0.3">
      <c r="B37" s="1" t="s">
        <v>114</v>
      </c>
      <c r="J37" s="1"/>
    </row>
    <row r="38" spans="1:10" x14ac:dyDescent="0.3">
      <c r="A38" s="20">
        <f>MAX(A$7:A37)+1</f>
        <v>16</v>
      </c>
      <c r="B38" s="1" t="s">
        <v>56</v>
      </c>
      <c r="H38" s="5">
        <f>+H34*11/12</f>
        <v>62791905</v>
      </c>
      <c r="J38" s="1" t="s">
        <v>113</v>
      </c>
    </row>
    <row r="39" spans="1:10" x14ac:dyDescent="0.3">
      <c r="A39" s="20">
        <f>MAX(A$7:A38)+1</f>
        <v>17</v>
      </c>
      <c r="B39" s="1" t="s">
        <v>57</v>
      </c>
      <c r="H39" s="5">
        <f>+H35*11/12</f>
        <v>58634051.666666664</v>
      </c>
      <c r="J39" s="1" t="s">
        <v>112</v>
      </c>
    </row>
    <row r="40" spans="1:10" x14ac:dyDescent="0.3">
      <c r="H40" s="5"/>
      <c r="J40" s="1"/>
    </row>
    <row r="41" spans="1:10" x14ac:dyDescent="0.3">
      <c r="A41" s="20">
        <f>+A39+1</f>
        <v>18</v>
      </c>
      <c r="B41" s="51" t="s">
        <v>58</v>
      </c>
      <c r="H41" s="84">
        <f>+H24*H29/H38</f>
        <v>9.772813385809917E-3</v>
      </c>
      <c r="J41" s="1" t="s">
        <v>110</v>
      </c>
    </row>
    <row r="42" spans="1:10" x14ac:dyDescent="0.3">
      <c r="A42" s="20">
        <f>MAX(A$7:A41)+1</f>
        <v>19</v>
      </c>
      <c r="B42" s="1" t="s">
        <v>59</v>
      </c>
      <c r="H42" s="84">
        <f>+H24*H30/H38</f>
        <v>7.2708946750432565E-3</v>
      </c>
      <c r="J42" s="1" t="s">
        <v>111</v>
      </c>
    </row>
    <row r="45" spans="1:10" x14ac:dyDescent="0.3">
      <c r="A45" s="32"/>
      <c r="B45" s="32"/>
      <c r="C45" s="32"/>
      <c r="D45" s="32"/>
      <c r="E45" s="32"/>
      <c r="F45" s="32"/>
      <c r="G45" s="32"/>
      <c r="H45" s="32"/>
      <c r="I45" s="32"/>
      <c r="J45" s="32"/>
    </row>
    <row r="46" spans="1:10" x14ac:dyDescent="0.3">
      <c r="B46" s="1" t="s">
        <v>108</v>
      </c>
    </row>
    <row r="47" spans="1:10" x14ac:dyDescent="0.3">
      <c r="B47" t="s">
        <v>109</v>
      </c>
    </row>
    <row r="49" spans="2:12" x14ac:dyDescent="0.3">
      <c r="H49" s="54"/>
    </row>
    <row r="50" spans="2:12" x14ac:dyDescent="0.3">
      <c r="H50" s="77"/>
    </row>
    <row r="52" spans="2:12" x14ac:dyDescent="0.3">
      <c r="B52" s="78"/>
      <c r="C52" s="78"/>
      <c r="D52" s="78"/>
      <c r="E52" s="78"/>
      <c r="F52" s="78"/>
    </row>
    <row r="53" spans="2:12" x14ac:dyDescent="0.3">
      <c r="B53" s="78"/>
      <c r="C53" s="78"/>
      <c r="D53" s="78"/>
      <c r="E53" s="78"/>
      <c r="F53" s="78"/>
    </row>
    <row r="55" spans="2:12" ht="15.6" x14ac:dyDescent="0.3">
      <c r="B55" s="79"/>
      <c r="C55" s="79"/>
      <c r="D55" s="80"/>
      <c r="E55" s="81"/>
      <c r="F55" s="81"/>
      <c r="G55" s="4"/>
      <c r="H55" s="4"/>
      <c r="I55" s="4"/>
      <c r="J55" s="4"/>
      <c r="K55" s="4"/>
      <c r="L55" s="4"/>
    </row>
    <row r="56" spans="2:12" ht="15.6" x14ac:dyDescent="0.3">
      <c r="B56" s="79"/>
      <c r="C56" s="79"/>
      <c r="E56" s="81"/>
      <c r="G56" s="4"/>
      <c r="H56" s="4"/>
      <c r="I56" s="4"/>
      <c r="J56" s="4"/>
      <c r="K56" s="4"/>
      <c r="L56" s="4"/>
    </row>
    <row r="57" spans="2:12" x14ac:dyDescent="0.3">
      <c r="B57" s="78"/>
      <c r="C57" s="78"/>
      <c r="E57" s="78"/>
    </row>
    <row r="58" spans="2:12" x14ac:dyDescent="0.3">
      <c r="B58" s="78"/>
      <c r="C58" s="78"/>
      <c r="E58" s="78"/>
    </row>
    <row r="59" spans="2:12" x14ac:dyDescent="0.3">
      <c r="B59" s="78"/>
      <c r="C59" s="78"/>
      <c r="D59" s="78"/>
      <c r="E59" s="78"/>
      <c r="F59" s="78"/>
    </row>
    <row r="60" spans="2:12" x14ac:dyDescent="0.3">
      <c r="B60" s="78"/>
      <c r="C60" s="78"/>
      <c r="D60" s="78"/>
      <c r="E60" s="78"/>
      <c r="F60" s="78"/>
    </row>
  </sheetData>
  <mergeCells count="1">
    <mergeCell ref="J34:J35"/>
  </mergeCells>
  <pageMargins left="0.7" right="0.7" top="0.96" bottom="0.75" header="0.55000000000000004" footer="0.3"/>
  <pageSetup scale="67" orientation="landscape" r:id="rId1"/>
  <headerFooter>
    <oddHeader>&amp;R&amp;"Times New Roman,Bold"KyPSC Case No. 2018-00036
STAFF-DR-01-013 Attachment - Revised Attachment WDW-2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view="pageLayout" zoomScaleNormal="100" workbookViewId="0">
      <selection activeCell="B7" sqref="B7"/>
    </sheetView>
  </sheetViews>
  <sheetFormatPr defaultRowHeight="14.4" x14ac:dyDescent="0.3"/>
  <cols>
    <col min="1" max="1" width="5.109375" customWidth="1"/>
    <col min="2" max="2" width="52" customWidth="1"/>
    <col min="3" max="3" width="1.6640625" customWidth="1"/>
    <col min="4" max="4" width="15.6640625" customWidth="1"/>
    <col min="5" max="5" width="1.6640625" customWidth="1"/>
    <col min="6" max="6" width="48.44140625" customWidth="1"/>
    <col min="7" max="7" width="1.6640625" customWidth="1"/>
    <col min="8" max="8" width="15.6640625" customWidth="1"/>
    <col min="9" max="9" width="1.6640625" customWidth="1"/>
    <col min="10" max="10" width="15.6640625" customWidth="1"/>
  </cols>
  <sheetData>
    <row r="1" spans="1:6" ht="15" x14ac:dyDescent="0.25">
      <c r="A1" s="17" t="s">
        <v>0</v>
      </c>
    </row>
    <row r="2" spans="1:6" ht="15" x14ac:dyDescent="0.25">
      <c r="A2" s="18" t="s">
        <v>1</v>
      </c>
    </row>
    <row r="3" spans="1:6" ht="15.75" thickBot="1" x14ac:dyDescent="0.3">
      <c r="A3" s="15"/>
      <c r="B3" s="15"/>
      <c r="C3" s="16"/>
      <c r="D3" s="16"/>
      <c r="E3" s="16"/>
      <c r="F3" s="16"/>
    </row>
    <row r="8" spans="1:6" ht="15" x14ac:dyDescent="0.25">
      <c r="A8" s="20">
        <f>MAX(A7:A$7)+1</f>
        <v>1</v>
      </c>
      <c r="B8" s="1" t="s">
        <v>24</v>
      </c>
      <c r="D8" s="10">
        <v>253750235</v>
      </c>
      <c r="F8" s="1" t="s">
        <v>42</v>
      </c>
    </row>
    <row r="9" spans="1:6" ht="15" x14ac:dyDescent="0.25">
      <c r="A9" s="20"/>
      <c r="D9" s="5"/>
      <c r="F9" s="1"/>
    </row>
    <row r="10" spans="1:6" ht="17.25" x14ac:dyDescent="0.25">
      <c r="A10" s="20"/>
      <c r="B10" s="1" t="s">
        <v>34</v>
      </c>
      <c r="D10" s="5"/>
      <c r="F10" s="1"/>
    </row>
    <row r="11" spans="1:6" ht="15" x14ac:dyDescent="0.25">
      <c r="A11" s="20">
        <f>MAX(A$7:A10)+1</f>
        <v>2</v>
      </c>
      <c r="B11" t="s">
        <v>21</v>
      </c>
      <c r="D11" s="10">
        <v>1113123218.4615383</v>
      </c>
      <c r="F11" s="1" t="s">
        <v>26</v>
      </c>
    </row>
    <row r="12" spans="1:6" ht="15" x14ac:dyDescent="0.25">
      <c r="A12" s="20">
        <f>MAX(A$7:A11)+1</f>
        <v>3</v>
      </c>
      <c r="B12" t="s">
        <v>22</v>
      </c>
      <c r="D12" s="2">
        <v>0.72045000000000003</v>
      </c>
      <c r="F12" s="1" t="s">
        <v>27</v>
      </c>
    </row>
    <row r="13" spans="1:6" ht="15" x14ac:dyDescent="0.25">
      <c r="A13" s="20"/>
      <c r="D13" s="2"/>
      <c r="F13" s="1"/>
    </row>
    <row r="14" spans="1:6" ht="15" x14ac:dyDescent="0.25">
      <c r="A14" s="20">
        <f>MAX(A$7:A13)+1</f>
        <v>4</v>
      </c>
      <c r="B14" t="s">
        <v>23</v>
      </c>
      <c r="D14" s="10">
        <f>+D11*D12</f>
        <v>801949622.74061537</v>
      </c>
      <c r="F14" s="1" t="s">
        <v>28</v>
      </c>
    </row>
    <row r="15" spans="1:6" ht="15" x14ac:dyDescent="0.25">
      <c r="A15" s="20">
        <f>MAX(A$7:A14)+1</f>
        <v>5</v>
      </c>
      <c r="B15" t="s">
        <v>25</v>
      </c>
      <c r="D15" s="9">
        <f>+D11-D14</f>
        <v>311173595.72092295</v>
      </c>
      <c r="F15" s="1" t="s">
        <v>29</v>
      </c>
    </row>
    <row r="16" spans="1:6" ht="15" x14ac:dyDescent="0.25">
      <c r="A16" s="20">
        <f>MAX(A$7:A15)+1</f>
        <v>6</v>
      </c>
      <c r="B16" t="s">
        <v>33</v>
      </c>
      <c r="D16" s="24">
        <f>+D14+D15</f>
        <v>1113123218.4615383</v>
      </c>
      <c r="F16" s="1" t="s">
        <v>30</v>
      </c>
    </row>
    <row r="17" spans="1:8" ht="15" x14ac:dyDescent="0.25">
      <c r="A17" s="25"/>
      <c r="B17" s="26"/>
      <c r="C17" s="26"/>
      <c r="D17" s="27"/>
      <c r="E17" s="26"/>
      <c r="F17" s="28"/>
    </row>
    <row r="18" spans="1:8" ht="15" x14ac:dyDescent="0.25">
      <c r="A18" s="20"/>
      <c r="D18" s="5"/>
      <c r="F18" s="1"/>
    </row>
    <row r="19" spans="1:8" ht="17.25" x14ac:dyDescent="0.25">
      <c r="A19" s="20"/>
      <c r="B19" s="1" t="s">
        <v>35</v>
      </c>
      <c r="D19" s="5"/>
      <c r="F19" s="1"/>
    </row>
    <row r="20" spans="1:8" ht="15" x14ac:dyDescent="0.25">
      <c r="A20" s="20"/>
      <c r="B20" t="s">
        <v>51</v>
      </c>
      <c r="D20" s="5"/>
      <c r="F20" s="1"/>
    </row>
    <row r="21" spans="1:8" ht="15" x14ac:dyDescent="0.25">
      <c r="A21" s="20"/>
      <c r="D21" s="5"/>
      <c r="F21" s="1"/>
    </row>
    <row r="22" spans="1:8" ht="15" x14ac:dyDescent="0.25">
      <c r="A22" s="20"/>
      <c r="D22" s="5"/>
      <c r="F22" s="1"/>
    </row>
    <row r="23" spans="1:8" ht="15" x14ac:dyDescent="0.25">
      <c r="A23" s="20"/>
    </row>
    <row r="24" spans="1:8" ht="15" x14ac:dyDescent="0.25">
      <c r="A24" s="20"/>
    </row>
    <row r="25" spans="1:8" ht="15" x14ac:dyDescent="0.25">
      <c r="A25" s="20"/>
    </row>
    <row r="26" spans="1:8" ht="15" x14ac:dyDescent="0.25">
      <c r="A26" s="20"/>
    </row>
    <row r="27" spans="1:8" x14ac:dyDescent="0.3">
      <c r="A27" s="20"/>
    </row>
    <row r="28" spans="1:8" x14ac:dyDescent="0.3">
      <c r="A28" s="20"/>
    </row>
    <row r="29" spans="1:8" ht="15.6" x14ac:dyDescent="0.3">
      <c r="A29" s="20"/>
      <c r="B29" s="3"/>
      <c r="C29" s="3"/>
      <c r="D29" s="4"/>
      <c r="E29" s="4"/>
      <c r="F29" s="4"/>
      <c r="G29" s="4"/>
      <c r="H29" s="4"/>
    </row>
    <row r="30" spans="1:8" ht="15.6" x14ac:dyDescent="0.3">
      <c r="A30" s="20"/>
      <c r="B30" s="3"/>
      <c r="C30" s="3"/>
      <c r="D30" s="4"/>
      <c r="E30" s="4"/>
      <c r="F30" s="4"/>
      <c r="G30" s="4"/>
      <c r="H30" s="4"/>
    </row>
    <row r="31" spans="1:8" x14ac:dyDescent="0.3">
      <c r="A31" s="20"/>
    </row>
    <row r="32" spans="1:8" x14ac:dyDescent="0.3">
      <c r="A32" s="20"/>
    </row>
    <row r="33" spans="1:1" x14ac:dyDescent="0.3">
      <c r="A33" s="20"/>
    </row>
  </sheetData>
  <pageMargins left="0.7" right="0.7" top="1.1599999999999999" bottom="0.75" header="0.83" footer="0.3"/>
  <pageSetup scale="67" orientation="landscape" r:id="rId1"/>
  <headerFooter>
    <oddHeader>&amp;R&amp;"Times New Roman,Bold"KyPSC Case No. 2018-00036
STAFF-DR-01-013 Attachment - Revised Attachment WDW-2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abSelected="1" view="pageLayout" zoomScaleNormal="100" workbookViewId="0">
      <selection activeCell="B7" sqref="B7"/>
    </sheetView>
  </sheetViews>
  <sheetFormatPr defaultRowHeight="14.4" x14ac:dyDescent="0.3"/>
  <cols>
    <col min="1" max="1" width="5.109375" customWidth="1"/>
    <col min="2" max="2" width="1.6640625" customWidth="1"/>
    <col min="3" max="3" width="28.33203125" customWidth="1"/>
    <col min="4" max="4" width="1.6640625" customWidth="1"/>
    <col min="5" max="5" width="15.6640625" customWidth="1"/>
    <col min="6" max="6" width="1.6640625" customWidth="1"/>
    <col min="7" max="7" width="15.6640625" customWidth="1"/>
    <col min="8" max="8" width="1.6640625" customWidth="1"/>
    <col min="9" max="9" width="15.6640625" customWidth="1"/>
    <col min="10" max="10" width="1.6640625" customWidth="1"/>
    <col min="11" max="11" width="15.6640625" customWidth="1"/>
    <col min="12" max="12" width="1.6640625" customWidth="1"/>
    <col min="13" max="13" width="15.6640625" customWidth="1"/>
    <col min="14" max="14" width="1.6640625" customWidth="1"/>
    <col min="15" max="15" width="15.6640625" customWidth="1"/>
  </cols>
  <sheetData>
    <row r="1" spans="1:18" ht="15" x14ac:dyDescent="0.25">
      <c r="A1" s="17" t="s">
        <v>0</v>
      </c>
      <c r="B1" s="17"/>
      <c r="C1" s="17"/>
    </row>
    <row r="2" spans="1:18" ht="15" x14ac:dyDescent="0.25">
      <c r="A2" s="18" t="s">
        <v>1</v>
      </c>
      <c r="B2" s="18"/>
      <c r="C2" s="18"/>
    </row>
    <row r="3" spans="1:18" ht="15.75" thickBot="1" x14ac:dyDescent="0.3">
      <c r="A3" s="16"/>
      <c r="B3" s="16"/>
      <c r="C3" s="16"/>
      <c r="D3" s="16"/>
      <c r="E3" s="16"/>
      <c r="F3" s="16"/>
      <c r="G3" s="16"/>
      <c r="H3" s="16"/>
      <c r="I3" s="16"/>
      <c r="J3" s="16"/>
      <c r="K3" s="16"/>
      <c r="L3" s="16"/>
      <c r="M3" s="16"/>
      <c r="N3" s="16"/>
      <c r="O3" s="16"/>
    </row>
    <row r="5" spans="1:18" ht="15" x14ac:dyDescent="0.25">
      <c r="C5" s="37"/>
      <c r="D5" s="37"/>
      <c r="E5" s="89" t="s">
        <v>41</v>
      </c>
      <c r="F5" s="90"/>
      <c r="G5" s="90"/>
      <c r="H5" s="90"/>
      <c r="I5" s="90"/>
      <c r="J5" s="90"/>
      <c r="K5" s="90"/>
      <c r="L5" s="90"/>
      <c r="M5" s="90"/>
      <c r="N5" s="90"/>
      <c r="O5" s="91"/>
    </row>
    <row r="6" spans="1:18" ht="15" x14ac:dyDescent="0.25">
      <c r="A6" s="50" t="s">
        <v>46</v>
      </c>
      <c r="C6" s="50" t="s">
        <v>45</v>
      </c>
      <c r="D6" s="37"/>
      <c r="E6" s="38" t="s">
        <v>13</v>
      </c>
      <c r="F6" s="37"/>
      <c r="G6" s="38" t="s">
        <v>14</v>
      </c>
      <c r="H6" s="37"/>
      <c r="I6" s="38" t="s">
        <v>15</v>
      </c>
      <c r="J6" s="37"/>
      <c r="K6" s="38" t="s">
        <v>16</v>
      </c>
      <c r="L6" s="37"/>
      <c r="M6" s="38" t="s">
        <v>17</v>
      </c>
      <c r="N6" s="37"/>
      <c r="O6" s="38" t="s">
        <v>18</v>
      </c>
    </row>
    <row r="7" spans="1:18" ht="15" x14ac:dyDescent="0.25">
      <c r="C7" s="37"/>
      <c r="D7" s="37"/>
      <c r="E7" s="37"/>
      <c r="F7" s="37"/>
      <c r="G7" s="37"/>
      <c r="H7" s="37"/>
      <c r="I7" s="37"/>
      <c r="J7" s="37"/>
      <c r="K7" s="37"/>
      <c r="L7" s="37"/>
      <c r="M7" s="37"/>
      <c r="N7" s="37"/>
      <c r="O7" s="37"/>
    </row>
    <row r="8" spans="1:18" ht="15" x14ac:dyDescent="0.25">
      <c r="A8" s="20">
        <f>MAX(A7:A$7)+1</f>
        <v>1</v>
      </c>
      <c r="C8" s="37" t="s">
        <v>5</v>
      </c>
      <c r="D8" s="37"/>
      <c r="E8" s="39">
        <v>522765867</v>
      </c>
      <c r="F8" s="37"/>
      <c r="G8" s="40">
        <v>0.48893000000000003</v>
      </c>
      <c r="H8" s="37"/>
      <c r="I8" s="41">
        <v>0.10375</v>
      </c>
      <c r="J8" s="37"/>
      <c r="K8" s="41">
        <f>+G8*I8</f>
        <v>5.07264875E-2</v>
      </c>
      <c r="L8" s="37"/>
      <c r="M8" s="42">
        <v>1.3409865999999999</v>
      </c>
      <c r="N8" s="37"/>
      <c r="O8" s="40">
        <f>+K8*M8</f>
        <v>6.8023540002567495E-2</v>
      </c>
      <c r="R8" s="7"/>
    </row>
    <row r="9" spans="1:18" ht="15" x14ac:dyDescent="0.25">
      <c r="A9" s="20">
        <f>MAX(A$7:A8)+1</f>
        <v>2</v>
      </c>
      <c r="C9" s="37" t="s">
        <v>6</v>
      </c>
      <c r="D9" s="37"/>
      <c r="E9" s="43">
        <v>434934967</v>
      </c>
      <c r="F9" s="37"/>
      <c r="G9" s="40">
        <v>0.40678999999999998</v>
      </c>
      <c r="H9" s="37"/>
      <c r="I9" s="41">
        <v>4.2430000000000002E-2</v>
      </c>
      <c r="J9" s="37"/>
      <c r="K9" s="41">
        <f t="shared" ref="K9:K10" si="0">+G9*I9</f>
        <v>1.72600997E-2</v>
      </c>
      <c r="L9" s="37"/>
      <c r="M9" s="42">
        <v>1</v>
      </c>
      <c r="N9" s="37"/>
      <c r="O9" s="40">
        <f t="shared" ref="O9:O10" si="1">+K9*M9</f>
        <v>1.72600997E-2</v>
      </c>
      <c r="R9" s="7"/>
    </row>
    <row r="10" spans="1:18" ht="15" x14ac:dyDescent="0.25">
      <c r="A10" s="20">
        <f>MAX(A$7:A9)+1</f>
        <v>3</v>
      </c>
      <c r="C10" s="37" t="s">
        <v>7</v>
      </c>
      <c r="D10" s="37"/>
      <c r="E10" s="43">
        <v>111491538</v>
      </c>
      <c r="F10" s="37"/>
      <c r="G10" s="40">
        <v>0.10428</v>
      </c>
      <c r="H10" s="37"/>
      <c r="I10" s="41">
        <v>3.083E-2</v>
      </c>
      <c r="J10" s="37"/>
      <c r="K10" s="41">
        <f t="shared" si="0"/>
        <v>3.2149523999999998E-3</v>
      </c>
      <c r="L10" s="37"/>
      <c r="M10" s="42">
        <v>1</v>
      </c>
      <c r="N10" s="37"/>
      <c r="O10" s="40">
        <f t="shared" si="1"/>
        <v>3.2149523999999998E-3</v>
      </c>
    </row>
    <row r="11" spans="1:18" ht="15" x14ac:dyDescent="0.25">
      <c r="A11" s="20"/>
      <c r="C11" s="37"/>
      <c r="D11" s="37"/>
      <c r="E11" s="44"/>
      <c r="F11" s="37"/>
      <c r="G11" s="45"/>
      <c r="H11" s="37"/>
      <c r="I11" s="37"/>
      <c r="J11" s="37"/>
      <c r="K11" s="46"/>
      <c r="L11" s="37"/>
      <c r="M11" s="37"/>
      <c r="N11" s="37"/>
      <c r="O11" s="45"/>
    </row>
    <row r="12" spans="1:18" ht="15.75" thickBot="1" x14ac:dyDescent="0.3">
      <c r="A12" s="20">
        <f>MAX(A$7:A11)+1</f>
        <v>4</v>
      </c>
      <c r="C12" s="37" t="s">
        <v>12</v>
      </c>
      <c r="D12" s="37"/>
      <c r="E12" s="47">
        <f>SUM(E8:E10)</f>
        <v>1069192372</v>
      </c>
      <c r="F12" s="37"/>
      <c r="G12" s="48">
        <f>SUM(G8:G10)</f>
        <v>1</v>
      </c>
      <c r="H12" s="37"/>
      <c r="I12" s="40"/>
      <c r="J12" s="37"/>
      <c r="K12" s="49">
        <f>SUM(K8:K10)</f>
        <v>7.1201539600000002E-2</v>
      </c>
      <c r="L12" s="37"/>
      <c r="M12" s="37"/>
      <c r="N12" s="37"/>
      <c r="O12" s="48">
        <f>SUM(O8:O10)</f>
        <v>8.8498592102567497E-2</v>
      </c>
    </row>
    <row r="13" spans="1:18" ht="15.75" thickTop="1" x14ac:dyDescent="0.25">
      <c r="A13" s="20"/>
    </row>
    <row r="14" spans="1:18" ht="15" x14ac:dyDescent="0.25">
      <c r="A14" s="20"/>
    </row>
    <row r="15" spans="1:18" ht="15" x14ac:dyDescent="0.25">
      <c r="A15" s="20"/>
      <c r="E15" s="89" t="s">
        <v>20</v>
      </c>
      <c r="F15" s="90"/>
      <c r="G15" s="90"/>
      <c r="H15" s="90"/>
      <c r="I15" s="90"/>
      <c r="J15" s="90"/>
      <c r="K15" s="90"/>
      <c r="L15" s="90"/>
      <c r="M15" s="90"/>
      <c r="N15" s="90"/>
      <c r="O15" s="91"/>
    </row>
    <row r="16" spans="1:18" ht="15" x14ac:dyDescent="0.25">
      <c r="A16" s="20"/>
      <c r="C16" s="50" t="s">
        <v>45</v>
      </c>
      <c r="E16" s="22" t="s">
        <v>13</v>
      </c>
      <c r="G16" s="22" t="s">
        <v>14</v>
      </c>
      <c r="I16" s="22" t="s">
        <v>15</v>
      </c>
      <c r="K16" s="22" t="s">
        <v>16</v>
      </c>
      <c r="M16" s="22" t="s">
        <v>17</v>
      </c>
      <c r="O16" s="22" t="s">
        <v>18</v>
      </c>
    </row>
    <row r="17" spans="1:15" ht="15" x14ac:dyDescent="0.25">
      <c r="A17" s="20"/>
    </row>
    <row r="18" spans="1:15" ht="15" x14ac:dyDescent="0.25">
      <c r="A18" s="20">
        <f>MAX(A$7:A17)+1</f>
        <v>5</v>
      </c>
      <c r="C18" t="s">
        <v>5</v>
      </c>
      <c r="E18" s="10">
        <v>411218278</v>
      </c>
      <c r="G18" s="2">
        <v>0.50795999999999997</v>
      </c>
      <c r="I18" s="31">
        <v>0.10375</v>
      </c>
      <c r="K18" s="31">
        <f>ROUND(G18*I18,5)</f>
        <v>5.2699999999999997E-2</v>
      </c>
      <c r="M18" s="21">
        <v>1.64378</v>
      </c>
      <c r="O18" s="2">
        <f>+K18*M18</f>
        <v>8.6627205999999998E-2</v>
      </c>
    </row>
    <row r="19" spans="1:15" ht="15" x14ac:dyDescent="0.25">
      <c r="A19" s="20">
        <f>MAX(A$7:A18)+1</f>
        <v>6</v>
      </c>
      <c r="C19" t="s">
        <v>6</v>
      </c>
      <c r="E19" s="5">
        <v>352923437</v>
      </c>
      <c r="G19" s="2">
        <v>0.43595</v>
      </c>
      <c r="I19" s="31">
        <v>4.7030000000000002E-2</v>
      </c>
      <c r="K19" s="31">
        <f>ROUND(G19*I19,5)</f>
        <v>2.0500000000000001E-2</v>
      </c>
      <c r="M19" s="21">
        <v>1.0043489999999999</v>
      </c>
      <c r="O19" s="2">
        <f>+K19*M19</f>
        <v>2.0589154499999998E-2</v>
      </c>
    </row>
    <row r="20" spans="1:15" ht="15" x14ac:dyDescent="0.25">
      <c r="A20" s="20">
        <f>MAX(A$7:A19)+1</f>
        <v>7</v>
      </c>
      <c r="C20" t="s">
        <v>7</v>
      </c>
      <c r="E20" s="5">
        <v>45403689.920324273</v>
      </c>
      <c r="G20" s="2">
        <v>5.6090000000000001E-2</v>
      </c>
      <c r="I20" s="31">
        <v>1.009E-2</v>
      </c>
      <c r="K20" s="31">
        <f>ROUND(G20*I20,5)</f>
        <v>5.6999999999999998E-4</v>
      </c>
      <c r="M20" s="21">
        <v>1.0043489999999999</v>
      </c>
      <c r="O20" s="2">
        <f>+K20*M20</f>
        <v>5.7247892999999993E-4</v>
      </c>
    </row>
    <row r="21" spans="1:15" ht="15" x14ac:dyDescent="0.25">
      <c r="A21" s="20"/>
      <c r="E21" s="19"/>
      <c r="G21" s="8"/>
      <c r="K21" s="33"/>
      <c r="O21" s="35"/>
    </row>
    <row r="22" spans="1:15" ht="15.75" thickBot="1" x14ac:dyDescent="0.3">
      <c r="A22" s="20">
        <f>MAX(A$7:A21)+1</f>
        <v>8</v>
      </c>
      <c r="E22" s="12">
        <f>SUM(E18:E20)</f>
        <v>809545404.92032433</v>
      </c>
      <c r="G22" s="23">
        <f>SUM(G18:G20)</f>
        <v>1</v>
      </c>
      <c r="I22" s="2"/>
      <c r="K22" s="34">
        <f>SUM(K18:K20)</f>
        <v>7.3770000000000002E-2</v>
      </c>
      <c r="O22" s="23">
        <f>SUM(O18:O20)</f>
        <v>0.10778883942999999</v>
      </c>
    </row>
    <row r="23" spans="1:15" ht="15.75" thickTop="1" x14ac:dyDescent="0.25">
      <c r="A23" s="20"/>
    </row>
  </sheetData>
  <mergeCells count="2">
    <mergeCell ref="E5:O5"/>
    <mergeCell ref="E15:O15"/>
  </mergeCells>
  <pageMargins left="0.7" right="0.7" top="1.24" bottom="0.75" header="0.78" footer="0.3"/>
  <pageSetup scale="67" orientation="landscape" r:id="rId1"/>
  <headerFooter>
    <oddHeader>&amp;R&amp;"Times New Roman,Bold"KyPSC Case No. 2018-00036
STAFF-DR-01-013 Attachment - Revised Attachment WDW-2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tabSelected="1" view="pageLayout" topLeftCell="A7" zoomScaleNormal="100" workbookViewId="0">
      <selection activeCell="B7" sqref="B7"/>
    </sheetView>
  </sheetViews>
  <sheetFormatPr defaultRowHeight="14.4" x14ac:dyDescent="0.3"/>
  <cols>
    <col min="1" max="1" width="24.44140625" customWidth="1"/>
    <col min="2" max="2" width="1.6640625" customWidth="1"/>
    <col min="3" max="3" width="18.6640625" customWidth="1"/>
    <col min="4" max="4" width="1.6640625" customWidth="1"/>
    <col min="5" max="5" width="18.6640625" customWidth="1"/>
    <col min="6" max="6" width="1.6640625" customWidth="1"/>
    <col min="7" max="7" width="18.6640625" customWidth="1"/>
    <col min="8" max="8" width="1.6640625" customWidth="1"/>
    <col min="9" max="9" width="18.6640625" customWidth="1"/>
    <col min="10" max="10" width="1.6640625" customWidth="1"/>
    <col min="11" max="11" width="18.6640625" customWidth="1"/>
    <col min="12" max="12" width="1.6640625" customWidth="1"/>
    <col min="13" max="13" width="18.6640625" customWidth="1"/>
    <col min="14" max="14" width="1.6640625" customWidth="1"/>
    <col min="15" max="15" width="18.6640625" customWidth="1"/>
    <col min="16" max="16" width="1.6640625" customWidth="1"/>
    <col min="17" max="17" width="19.44140625" customWidth="1"/>
    <col min="18" max="18" width="1.6640625" customWidth="1"/>
    <col min="19" max="19" width="18.6640625" customWidth="1"/>
    <col min="20" max="20" width="1.6640625" customWidth="1"/>
    <col min="21" max="21" width="18.6640625" customWidth="1"/>
  </cols>
  <sheetData>
    <row r="1" spans="1:21" ht="15" x14ac:dyDescent="0.25">
      <c r="A1" s="18" t="s">
        <v>0</v>
      </c>
    </row>
    <row r="2" spans="1:21" ht="15" x14ac:dyDescent="0.25">
      <c r="A2" s="17" t="s">
        <v>61</v>
      </c>
      <c r="C2" s="5"/>
    </row>
    <row r="3" spans="1:21" ht="15.75" thickBot="1" x14ac:dyDescent="0.3">
      <c r="A3" s="15"/>
      <c r="B3" s="16"/>
      <c r="C3" s="55"/>
      <c r="D3" s="16"/>
      <c r="E3" s="16"/>
      <c r="F3" s="16"/>
      <c r="G3" s="16"/>
      <c r="H3" s="16"/>
      <c r="I3" s="16"/>
      <c r="J3" s="16"/>
      <c r="K3" s="16"/>
      <c r="L3" s="16"/>
      <c r="M3" s="16"/>
      <c r="N3" s="16"/>
      <c r="O3" s="16"/>
      <c r="P3" s="16"/>
      <c r="Q3" s="16"/>
      <c r="R3" s="16"/>
      <c r="S3" s="16"/>
      <c r="T3" s="16"/>
      <c r="U3" s="16"/>
    </row>
    <row r="4" spans="1:21" ht="15" x14ac:dyDescent="0.25">
      <c r="A4" s="1"/>
      <c r="C4" s="10"/>
    </row>
    <row r="5" spans="1:21" ht="15" x14ac:dyDescent="0.25">
      <c r="I5" s="97" t="s">
        <v>62</v>
      </c>
      <c r="J5" s="97"/>
      <c r="K5" s="97"/>
      <c r="L5" s="97"/>
      <c r="M5" s="97"/>
    </row>
    <row r="6" spans="1:21" ht="15" x14ac:dyDescent="0.25">
      <c r="C6" s="92" t="s">
        <v>63</v>
      </c>
      <c r="D6" s="93"/>
      <c r="E6" s="93"/>
      <c r="F6" s="93"/>
      <c r="G6" s="93"/>
      <c r="I6" s="92" t="s">
        <v>64</v>
      </c>
      <c r="J6" s="93"/>
      <c r="K6" s="93"/>
      <c r="L6" s="93"/>
      <c r="M6" s="93"/>
      <c r="O6" s="56" t="s">
        <v>65</v>
      </c>
      <c r="Q6" s="94" t="s">
        <v>122</v>
      </c>
      <c r="R6" s="95"/>
      <c r="S6" s="96"/>
      <c r="U6" s="56" t="s">
        <v>66</v>
      </c>
    </row>
    <row r="7" spans="1:21" ht="15" x14ac:dyDescent="0.25">
      <c r="A7" s="73" t="s">
        <v>126</v>
      </c>
      <c r="C7" s="57" t="s">
        <v>67</v>
      </c>
      <c r="E7" s="73" t="s">
        <v>118</v>
      </c>
      <c r="G7" s="22" t="s">
        <v>69</v>
      </c>
      <c r="I7" s="57" t="s">
        <v>67</v>
      </c>
      <c r="K7" s="73" t="s">
        <v>121</v>
      </c>
      <c r="M7" s="22" t="s">
        <v>69</v>
      </c>
      <c r="O7" s="58" t="s">
        <v>70</v>
      </c>
      <c r="Q7" s="73" t="s">
        <v>119</v>
      </c>
      <c r="S7" s="72" t="s">
        <v>116</v>
      </c>
      <c r="U7" s="58" t="s">
        <v>70</v>
      </c>
    </row>
    <row r="8" spans="1:21" ht="15" x14ac:dyDescent="0.25">
      <c r="A8" s="51"/>
      <c r="C8" s="59" t="s">
        <v>36</v>
      </c>
      <c r="E8" s="59" t="s">
        <v>37</v>
      </c>
      <c r="F8" s="1"/>
      <c r="G8" s="59" t="s">
        <v>72</v>
      </c>
      <c r="H8" s="10"/>
      <c r="I8" s="59" t="s">
        <v>73</v>
      </c>
      <c r="K8" s="59" t="s">
        <v>74</v>
      </c>
      <c r="M8" s="59" t="s">
        <v>75</v>
      </c>
      <c r="O8" s="59" t="s">
        <v>76</v>
      </c>
      <c r="Q8" s="59" t="s">
        <v>94</v>
      </c>
      <c r="S8" s="59" t="s">
        <v>95</v>
      </c>
      <c r="U8" s="59" t="s">
        <v>96</v>
      </c>
    </row>
    <row r="9" spans="1:21" ht="15" x14ac:dyDescent="0.25">
      <c r="A9" s="51"/>
      <c r="C9" s="59"/>
      <c r="E9" s="59"/>
      <c r="F9" s="1"/>
      <c r="G9" s="59"/>
      <c r="H9" s="10"/>
      <c r="I9" s="59"/>
      <c r="K9" s="59"/>
      <c r="M9" s="59"/>
      <c r="O9" s="59"/>
    </row>
    <row r="10" spans="1:21" ht="15" x14ac:dyDescent="0.25">
      <c r="A10" s="60" t="s">
        <v>127</v>
      </c>
      <c r="F10" s="1"/>
      <c r="G10" s="11">
        <v>-31411000</v>
      </c>
      <c r="H10" s="10"/>
      <c r="O10" s="11">
        <f>+M10+G10</f>
        <v>-31411000</v>
      </c>
      <c r="U10" s="11">
        <f>+O10</f>
        <v>-31411000</v>
      </c>
    </row>
    <row r="11" spans="1:21" ht="15" x14ac:dyDescent="0.25">
      <c r="A11" s="1" t="s">
        <v>77</v>
      </c>
      <c r="C11" s="10">
        <f>+G10</f>
        <v>-31411000</v>
      </c>
      <c r="E11" s="10">
        <f>-G$10*C$28/12</f>
        <v>46069.466666666667</v>
      </c>
      <c r="G11" s="6">
        <f>+C11+E11</f>
        <v>-31364930.533333335</v>
      </c>
      <c r="I11" s="10">
        <f>+M10</f>
        <v>0</v>
      </c>
      <c r="K11" s="11">
        <f>+E11</f>
        <v>46069.466666666667</v>
      </c>
      <c r="M11" s="11">
        <f>+I11+K11</f>
        <v>46069.466666666667</v>
      </c>
      <c r="O11" s="5">
        <f t="shared" ref="O11:O22" si="0">+M11+G11</f>
        <v>-31318861.06666667</v>
      </c>
      <c r="Q11" s="10">
        <v>0</v>
      </c>
      <c r="R11" s="5"/>
      <c r="S11" s="10">
        <v>0</v>
      </c>
      <c r="U11" s="6">
        <f t="shared" ref="U11:U14" si="1">+U10-S11</f>
        <v>-31411000</v>
      </c>
    </row>
    <row r="12" spans="1:21" ht="15" x14ac:dyDescent="0.25">
      <c r="A12" s="61" t="s">
        <v>78</v>
      </c>
      <c r="C12" s="5">
        <f t="shared" ref="C12:C22" si="2">+G11</f>
        <v>-31364930.533333335</v>
      </c>
      <c r="E12" s="5">
        <f>-G$10*C$28/12</f>
        <v>46069.466666666667</v>
      </c>
      <c r="G12" s="6">
        <f t="shared" ref="G12:G25" si="3">+C12+E12</f>
        <v>-31318861.06666667</v>
      </c>
      <c r="I12" s="5">
        <f t="shared" ref="I12:I22" si="4">+M11</f>
        <v>46069.466666666667</v>
      </c>
      <c r="K12" s="6">
        <f t="shared" ref="K12:K14" si="5">+E12</f>
        <v>46069.466666666667</v>
      </c>
      <c r="M12" s="6">
        <f t="shared" ref="M12:M14" si="6">+I12+K12</f>
        <v>92138.933333333334</v>
      </c>
      <c r="O12" s="5">
        <f t="shared" si="0"/>
        <v>-31226722.133333337</v>
      </c>
      <c r="Q12" s="5">
        <v>0</v>
      </c>
      <c r="R12" s="5"/>
      <c r="S12" s="5">
        <v>0</v>
      </c>
      <c r="U12" s="6">
        <f t="shared" si="1"/>
        <v>-31411000</v>
      </c>
    </row>
    <row r="13" spans="1:21" ht="15" x14ac:dyDescent="0.25">
      <c r="A13" s="1" t="s">
        <v>79</v>
      </c>
      <c r="C13" s="5">
        <f t="shared" si="2"/>
        <v>-31318861.06666667</v>
      </c>
      <c r="E13" s="5">
        <f t="shared" ref="E13:E22" si="7">-G$10*C$28/12</f>
        <v>46069.466666666667</v>
      </c>
      <c r="G13" s="6">
        <f t="shared" si="3"/>
        <v>-31272791.600000005</v>
      </c>
      <c r="I13" s="5">
        <f t="shared" si="4"/>
        <v>92138.933333333334</v>
      </c>
      <c r="K13" s="6">
        <f t="shared" si="5"/>
        <v>46069.466666666667</v>
      </c>
      <c r="M13" s="6">
        <f t="shared" si="6"/>
        <v>138208.4</v>
      </c>
      <c r="O13" s="5">
        <f t="shared" si="0"/>
        <v>-31134583.200000007</v>
      </c>
      <c r="Q13" s="5">
        <v>0</v>
      </c>
      <c r="R13" s="5"/>
      <c r="S13" s="5">
        <v>0</v>
      </c>
      <c r="U13" s="6">
        <f t="shared" si="1"/>
        <v>-31411000</v>
      </c>
    </row>
    <row r="14" spans="1:21" ht="15" x14ac:dyDescent="0.25">
      <c r="A14" s="1" t="s">
        <v>80</v>
      </c>
      <c r="C14" s="5">
        <f t="shared" si="2"/>
        <v>-31272791.600000005</v>
      </c>
      <c r="E14" s="5">
        <f t="shared" si="7"/>
        <v>46069.466666666667</v>
      </c>
      <c r="G14" s="5">
        <f t="shared" si="3"/>
        <v>-31226722.13333334</v>
      </c>
      <c r="I14" s="5">
        <f t="shared" si="4"/>
        <v>138208.4</v>
      </c>
      <c r="K14" s="6">
        <f t="shared" si="5"/>
        <v>46069.466666666667</v>
      </c>
      <c r="M14" s="6">
        <f t="shared" si="6"/>
        <v>184277.86666666667</v>
      </c>
      <c r="O14" s="5">
        <f t="shared" si="0"/>
        <v>-31042444.266666673</v>
      </c>
      <c r="Q14" s="5">
        <v>0</v>
      </c>
      <c r="R14" s="5"/>
      <c r="S14" s="5">
        <v>0</v>
      </c>
      <c r="U14" s="5">
        <f t="shared" si="1"/>
        <v>-31411000</v>
      </c>
    </row>
    <row r="15" spans="1:21" ht="15" x14ac:dyDescent="0.25">
      <c r="A15" s="62" t="s">
        <v>120</v>
      </c>
      <c r="B15" s="8"/>
      <c r="C15" s="19">
        <f t="shared" ref="C15:C16" si="8">+G14</f>
        <v>-31226722.13333334</v>
      </c>
      <c r="D15" s="8"/>
      <c r="E15" s="19">
        <f t="shared" si="7"/>
        <v>46069.466666666667</v>
      </c>
      <c r="F15" s="8"/>
      <c r="G15" s="19">
        <f t="shared" si="3"/>
        <v>-31180652.666666675</v>
      </c>
      <c r="H15" s="8"/>
      <c r="I15" s="19">
        <f t="shared" ref="I15:I16" si="9">+M14</f>
        <v>184277.86666666667</v>
      </c>
      <c r="J15" s="8"/>
      <c r="K15" s="19">
        <f>+E15-Q15</f>
        <v>-24176.95151515153</v>
      </c>
      <c r="L15" s="8"/>
      <c r="M15" s="63">
        <f>+I15+K15</f>
        <v>160100.91515151513</v>
      </c>
      <c r="N15" s="8"/>
      <c r="O15" s="19">
        <f t="shared" ref="O15:O16" si="10">+M15+G15</f>
        <v>-31020551.751515161</v>
      </c>
      <c r="P15" s="8"/>
      <c r="Q15" s="63">
        <f>+E$26/11</f>
        <v>70246.418181818197</v>
      </c>
      <c r="R15" s="8"/>
      <c r="S15" s="63">
        <f>Q15</f>
        <v>70246.418181818197</v>
      </c>
      <c r="T15" s="8"/>
      <c r="U15" s="19">
        <f>+U14+Q15</f>
        <v>-31340753.581818182</v>
      </c>
    </row>
    <row r="16" spans="1:21" ht="15" x14ac:dyDescent="0.25">
      <c r="A16" s="1" t="s">
        <v>81</v>
      </c>
      <c r="C16" s="5">
        <f t="shared" si="8"/>
        <v>-31180652.666666675</v>
      </c>
      <c r="E16" s="5">
        <f t="shared" si="7"/>
        <v>46069.466666666667</v>
      </c>
      <c r="G16" s="6">
        <f t="shared" si="3"/>
        <v>-31134583.20000001</v>
      </c>
      <c r="I16" s="5">
        <f t="shared" si="9"/>
        <v>160100.91515151513</v>
      </c>
      <c r="K16" s="5">
        <f t="shared" ref="K16" si="11">+E16-Q16</f>
        <v>-24176.95151515153</v>
      </c>
      <c r="M16" s="6">
        <f>+I16+K16</f>
        <v>135923.96363636359</v>
      </c>
      <c r="O16" s="5">
        <f t="shared" si="10"/>
        <v>-30998659.236363646</v>
      </c>
      <c r="Q16" s="6">
        <f>+E$26/11</f>
        <v>70246.418181818197</v>
      </c>
      <c r="S16" s="6">
        <f t="shared" ref="S16:S25" si="12">Q16</f>
        <v>70246.418181818197</v>
      </c>
      <c r="U16" s="5">
        <f t="shared" ref="U16:U25" si="13">+U15+Q16</f>
        <v>-31270507.163636364</v>
      </c>
    </row>
    <row r="17" spans="1:21" ht="15" x14ac:dyDescent="0.25">
      <c r="A17" s="1" t="s">
        <v>82</v>
      </c>
      <c r="C17" s="5">
        <f t="shared" si="2"/>
        <v>-31134583.20000001</v>
      </c>
      <c r="E17" s="5">
        <f t="shared" si="7"/>
        <v>46069.466666666667</v>
      </c>
      <c r="G17" s="6">
        <f t="shared" si="3"/>
        <v>-31088513.733333346</v>
      </c>
      <c r="I17" s="5">
        <f t="shared" si="4"/>
        <v>135923.96363636359</v>
      </c>
      <c r="K17" s="5">
        <f t="shared" ref="K17:K25" si="14">+E17-Q17</f>
        <v>-24176.95151515153</v>
      </c>
      <c r="M17" s="6">
        <f>+I17+K17</f>
        <v>111747.01212121206</v>
      </c>
      <c r="O17" s="5">
        <f t="shared" si="0"/>
        <v>-30976766.721212134</v>
      </c>
      <c r="Q17" s="6">
        <f t="shared" ref="Q17:Q25" si="15">+E$26/11</f>
        <v>70246.418181818197</v>
      </c>
      <c r="S17" s="6">
        <f t="shared" si="12"/>
        <v>70246.418181818197</v>
      </c>
      <c r="U17" s="5">
        <f t="shared" si="13"/>
        <v>-31200260.745454546</v>
      </c>
    </row>
    <row r="18" spans="1:21" ht="15" x14ac:dyDescent="0.25">
      <c r="A18" s="1" t="s">
        <v>83</v>
      </c>
      <c r="C18" s="5">
        <f t="shared" si="2"/>
        <v>-31088513.733333346</v>
      </c>
      <c r="E18" s="5">
        <f t="shared" si="7"/>
        <v>46069.466666666667</v>
      </c>
      <c r="G18" s="6">
        <f t="shared" si="3"/>
        <v>-31042444.266666681</v>
      </c>
      <c r="I18" s="5">
        <f t="shared" si="4"/>
        <v>111747.01212121206</v>
      </c>
      <c r="K18" s="5">
        <f t="shared" si="14"/>
        <v>-24176.95151515153</v>
      </c>
      <c r="M18" s="6">
        <f t="shared" ref="M18:M25" si="16">+I18+K18</f>
        <v>87570.060606060521</v>
      </c>
      <c r="O18" s="5">
        <f t="shared" si="0"/>
        <v>-30954874.206060622</v>
      </c>
      <c r="Q18" s="6">
        <f t="shared" si="15"/>
        <v>70246.418181818197</v>
      </c>
      <c r="S18" s="6">
        <f t="shared" si="12"/>
        <v>70246.418181818197</v>
      </c>
      <c r="U18" s="5">
        <f t="shared" si="13"/>
        <v>-31130014.327272728</v>
      </c>
    </row>
    <row r="19" spans="1:21" ht="15" x14ac:dyDescent="0.25">
      <c r="A19" s="1" t="s">
        <v>84</v>
      </c>
      <c r="C19" s="5">
        <f t="shared" si="2"/>
        <v>-31042444.266666681</v>
      </c>
      <c r="E19" s="5">
        <f t="shared" si="7"/>
        <v>46069.466666666667</v>
      </c>
      <c r="G19" s="6">
        <f t="shared" si="3"/>
        <v>-30996374.800000016</v>
      </c>
      <c r="I19" s="5">
        <f t="shared" si="4"/>
        <v>87570.060606060521</v>
      </c>
      <c r="K19" s="5">
        <f t="shared" si="14"/>
        <v>-24176.95151515153</v>
      </c>
      <c r="M19" s="6">
        <f t="shared" si="16"/>
        <v>63393.109090908991</v>
      </c>
      <c r="O19" s="5">
        <f t="shared" si="0"/>
        <v>-30932981.690909106</v>
      </c>
      <c r="Q19" s="6">
        <f t="shared" si="15"/>
        <v>70246.418181818197</v>
      </c>
      <c r="S19" s="6">
        <f t="shared" si="12"/>
        <v>70246.418181818197</v>
      </c>
      <c r="U19" s="5">
        <f t="shared" si="13"/>
        <v>-31059767.90909091</v>
      </c>
    </row>
    <row r="20" spans="1:21" ht="15" x14ac:dyDescent="0.25">
      <c r="A20" s="1" t="s">
        <v>85</v>
      </c>
      <c r="C20" s="5">
        <f t="shared" si="2"/>
        <v>-30996374.800000016</v>
      </c>
      <c r="E20" s="5">
        <f t="shared" si="7"/>
        <v>46069.466666666667</v>
      </c>
      <c r="G20" s="6">
        <f t="shared" si="3"/>
        <v>-30950305.333333351</v>
      </c>
      <c r="I20" s="5">
        <f t="shared" si="4"/>
        <v>63393.109090908991</v>
      </c>
      <c r="K20" s="5">
        <f t="shared" si="14"/>
        <v>-24176.95151515153</v>
      </c>
      <c r="M20" s="6">
        <f t="shared" si="16"/>
        <v>39216.157575757461</v>
      </c>
      <c r="O20" s="5">
        <f t="shared" si="0"/>
        <v>-30911089.175757594</v>
      </c>
      <c r="Q20" s="6">
        <f t="shared" si="15"/>
        <v>70246.418181818197</v>
      </c>
      <c r="S20" s="6">
        <f t="shared" si="12"/>
        <v>70246.418181818197</v>
      </c>
      <c r="U20" s="5">
        <f t="shared" si="13"/>
        <v>-30989521.490909092</v>
      </c>
    </row>
    <row r="21" spans="1:21" ht="15" x14ac:dyDescent="0.25">
      <c r="A21" s="1" t="s">
        <v>86</v>
      </c>
      <c r="C21" s="5">
        <f t="shared" si="2"/>
        <v>-30950305.333333351</v>
      </c>
      <c r="D21" s="5"/>
      <c r="E21" s="5">
        <f t="shared" si="7"/>
        <v>46069.466666666667</v>
      </c>
      <c r="F21" s="5"/>
      <c r="G21" s="6">
        <f t="shared" si="3"/>
        <v>-30904235.866666686</v>
      </c>
      <c r="H21" s="5"/>
      <c r="I21" s="5">
        <f t="shared" si="4"/>
        <v>39216.157575757461</v>
      </c>
      <c r="J21" s="5"/>
      <c r="K21" s="5">
        <f t="shared" si="14"/>
        <v>-24176.95151515153</v>
      </c>
      <c r="L21" s="5"/>
      <c r="M21" s="6">
        <f t="shared" si="16"/>
        <v>15039.206060605931</v>
      </c>
      <c r="N21" s="5"/>
      <c r="O21" s="5">
        <f t="shared" si="0"/>
        <v>-30889196.660606079</v>
      </c>
      <c r="P21" s="5"/>
      <c r="Q21" s="6">
        <f t="shared" si="15"/>
        <v>70246.418181818197</v>
      </c>
      <c r="R21" s="5"/>
      <c r="S21" s="6">
        <f t="shared" si="12"/>
        <v>70246.418181818197</v>
      </c>
      <c r="T21" s="5"/>
      <c r="U21" s="5">
        <f t="shared" si="13"/>
        <v>-30919275.072727274</v>
      </c>
    </row>
    <row r="22" spans="1:21" ht="15" x14ac:dyDescent="0.25">
      <c r="A22" s="1" t="s">
        <v>87</v>
      </c>
      <c r="C22" s="5">
        <f t="shared" si="2"/>
        <v>-30904235.866666686</v>
      </c>
      <c r="D22" s="5"/>
      <c r="E22" s="5">
        <f t="shared" si="7"/>
        <v>46069.466666666667</v>
      </c>
      <c r="F22" s="5"/>
      <c r="G22" s="6">
        <f t="shared" si="3"/>
        <v>-30858166.400000021</v>
      </c>
      <c r="H22" s="5"/>
      <c r="I22" s="5">
        <f t="shared" si="4"/>
        <v>15039.206060605931</v>
      </c>
      <c r="J22" s="5"/>
      <c r="K22" s="5">
        <f t="shared" si="14"/>
        <v>-24176.95151515153</v>
      </c>
      <c r="L22" s="5"/>
      <c r="M22" s="6">
        <f t="shared" si="16"/>
        <v>-9137.7454545455985</v>
      </c>
      <c r="N22" s="5"/>
      <c r="O22" s="5">
        <f t="shared" si="0"/>
        <v>-30867304.145454567</v>
      </c>
      <c r="P22" s="5"/>
      <c r="Q22" s="6">
        <f t="shared" si="15"/>
        <v>70246.418181818197</v>
      </c>
      <c r="R22" s="5"/>
      <c r="S22" s="6">
        <f t="shared" si="12"/>
        <v>70246.418181818197</v>
      </c>
      <c r="T22" s="5"/>
      <c r="U22" s="5">
        <f t="shared" si="13"/>
        <v>-30849028.654545456</v>
      </c>
    </row>
    <row r="23" spans="1:21" ht="15" x14ac:dyDescent="0.25">
      <c r="A23" s="1" t="s">
        <v>88</v>
      </c>
      <c r="C23" s="5">
        <f>+G22</f>
        <v>-30858166.400000021</v>
      </c>
      <c r="D23" s="5"/>
      <c r="E23" s="5">
        <f>-+G$10*C$29/12</f>
        <v>73292.333333333328</v>
      </c>
      <c r="F23" s="5"/>
      <c r="G23" s="6">
        <f t="shared" si="3"/>
        <v>-30784874.066666689</v>
      </c>
      <c r="H23" s="5"/>
      <c r="I23" s="5">
        <f>+M22</f>
        <v>-9137.7454545455985</v>
      </c>
      <c r="J23" s="5"/>
      <c r="K23" s="5">
        <f t="shared" si="14"/>
        <v>3045.9151515151316</v>
      </c>
      <c r="L23" s="5"/>
      <c r="M23" s="6">
        <f t="shared" si="16"/>
        <v>-6091.8303030304669</v>
      </c>
      <c r="N23" s="5"/>
      <c r="O23" s="5">
        <f t="shared" ref="O23:O25" si="17">+M23+G23</f>
        <v>-30790965.896969721</v>
      </c>
      <c r="P23" s="5"/>
      <c r="Q23" s="6">
        <f t="shared" si="15"/>
        <v>70246.418181818197</v>
      </c>
      <c r="R23" s="5"/>
      <c r="S23" s="6">
        <f t="shared" si="12"/>
        <v>70246.418181818197</v>
      </c>
      <c r="T23" s="5"/>
      <c r="U23" s="5">
        <f t="shared" si="13"/>
        <v>-30778782.236363638</v>
      </c>
    </row>
    <row r="24" spans="1:21" ht="15" x14ac:dyDescent="0.25">
      <c r="A24" s="61" t="s">
        <v>89</v>
      </c>
      <c r="C24" s="5">
        <f t="shared" ref="C24:C25" si="18">+G23</f>
        <v>-30784874.066666689</v>
      </c>
      <c r="D24" s="5"/>
      <c r="E24" s="5">
        <f t="shared" ref="E24:E25" si="19">-+G$10*C$29/12</f>
        <v>73292.333333333328</v>
      </c>
      <c r="F24" s="5"/>
      <c r="G24" s="6">
        <f t="shared" si="3"/>
        <v>-30711581.733333357</v>
      </c>
      <c r="H24" s="5"/>
      <c r="I24" s="5">
        <f t="shared" ref="I24:I25" si="20">+M23</f>
        <v>-6091.8303030304669</v>
      </c>
      <c r="J24" s="5"/>
      <c r="K24" s="5">
        <f t="shared" si="14"/>
        <v>3045.9151515151316</v>
      </c>
      <c r="L24" s="5"/>
      <c r="M24" s="6">
        <f t="shared" si="16"/>
        <v>-3045.9151515153353</v>
      </c>
      <c r="N24" s="5"/>
      <c r="O24" s="5">
        <f t="shared" si="17"/>
        <v>-30714627.648484871</v>
      </c>
      <c r="P24" s="5"/>
      <c r="Q24" s="6">
        <f t="shared" si="15"/>
        <v>70246.418181818197</v>
      </c>
      <c r="R24" s="5"/>
      <c r="S24" s="6">
        <f t="shared" si="12"/>
        <v>70246.418181818197</v>
      </c>
      <c r="T24" s="5"/>
      <c r="U24" s="5">
        <f t="shared" si="13"/>
        <v>-30708535.81818182</v>
      </c>
    </row>
    <row r="25" spans="1:21" ht="15" x14ac:dyDescent="0.25">
      <c r="A25" s="1" t="s">
        <v>90</v>
      </c>
      <c r="C25" s="10">
        <f t="shared" si="18"/>
        <v>-30711581.733333357</v>
      </c>
      <c r="E25" s="5">
        <f t="shared" si="19"/>
        <v>73292.333333333328</v>
      </c>
      <c r="G25" s="11">
        <f t="shared" si="3"/>
        <v>-30638289.400000025</v>
      </c>
      <c r="I25" s="10">
        <f t="shared" si="20"/>
        <v>-3045.9151515153353</v>
      </c>
      <c r="K25" s="5">
        <f t="shared" si="14"/>
        <v>3045.9151515151316</v>
      </c>
      <c r="M25" s="11">
        <f t="shared" si="16"/>
        <v>-2.0372681319713593E-10</v>
      </c>
      <c r="O25" s="10">
        <f t="shared" si="17"/>
        <v>-30638289.400000025</v>
      </c>
      <c r="Q25" s="6">
        <f t="shared" si="15"/>
        <v>70246.418181818197</v>
      </c>
      <c r="S25" s="6">
        <f t="shared" si="12"/>
        <v>70246.418181818197</v>
      </c>
      <c r="U25" s="10">
        <f t="shared" si="13"/>
        <v>-30638289.400000002</v>
      </c>
    </row>
    <row r="26" spans="1:21" ht="15.75" thickBot="1" x14ac:dyDescent="0.3">
      <c r="A26" s="1" t="s">
        <v>123</v>
      </c>
      <c r="C26" s="5"/>
      <c r="E26" s="65">
        <f>SUM(E11:E25)</f>
        <v>772710.60000000009</v>
      </c>
      <c r="G26" s="6"/>
      <c r="I26" s="5"/>
      <c r="K26" s="65">
        <f>SUM(K11:K25)</f>
        <v>-2.0372681319713593E-10</v>
      </c>
      <c r="M26" s="6"/>
      <c r="O26" s="5"/>
      <c r="Q26" s="65">
        <f>SUM(Q11:Q25)</f>
        <v>772710.60000000021</v>
      </c>
      <c r="S26" s="65">
        <f>SUM(S11:S25)</f>
        <v>772710.60000000021</v>
      </c>
      <c r="U26" s="6"/>
    </row>
    <row r="27" spans="1:21" ht="15.75" thickTop="1" x14ac:dyDescent="0.25">
      <c r="A27" s="1"/>
      <c r="C27" s="5"/>
      <c r="E27" s="64"/>
      <c r="G27" s="6"/>
      <c r="I27" s="5"/>
      <c r="K27" s="64"/>
      <c r="M27" s="6"/>
      <c r="O27" s="5"/>
      <c r="Q27" s="64"/>
      <c r="S27" s="64"/>
      <c r="U27" s="6"/>
    </row>
    <row r="28" spans="1:21" ht="15" x14ac:dyDescent="0.25">
      <c r="A28" s="1" t="s">
        <v>91</v>
      </c>
      <c r="C28" s="66">
        <v>1.7600000000000001E-2</v>
      </c>
      <c r="Q28" s="11"/>
    </row>
    <row r="29" spans="1:21" ht="15" x14ac:dyDescent="0.25">
      <c r="A29" s="1" t="s">
        <v>92</v>
      </c>
      <c r="C29" s="66">
        <v>2.8000000000000001E-2</v>
      </c>
    </row>
    <row r="31" spans="1:21" ht="15" x14ac:dyDescent="0.25">
      <c r="I31" s="97" t="s">
        <v>62</v>
      </c>
      <c r="J31" s="97"/>
      <c r="K31" s="97"/>
      <c r="L31" s="97"/>
      <c r="M31" s="97"/>
    </row>
    <row r="32" spans="1:21" ht="15" x14ac:dyDescent="0.25">
      <c r="C32" s="92" t="s">
        <v>93</v>
      </c>
      <c r="D32" s="93"/>
      <c r="E32" s="93"/>
      <c r="F32" s="93"/>
      <c r="G32" s="93"/>
      <c r="I32" s="92" t="s">
        <v>64</v>
      </c>
      <c r="J32" s="93"/>
      <c r="K32" s="93"/>
      <c r="L32" s="93"/>
      <c r="M32" s="93"/>
      <c r="O32" s="56" t="s">
        <v>65</v>
      </c>
      <c r="Q32" s="94" t="s">
        <v>122</v>
      </c>
      <c r="R32" s="95"/>
      <c r="S32" s="96"/>
      <c r="U32" s="56" t="s">
        <v>66</v>
      </c>
    </row>
    <row r="33" spans="1:21" ht="15" x14ac:dyDescent="0.25">
      <c r="A33" s="73" t="s">
        <v>125</v>
      </c>
      <c r="C33" s="57" t="s">
        <v>67</v>
      </c>
      <c r="E33" s="22" t="s">
        <v>68</v>
      </c>
      <c r="G33" s="22" t="s">
        <v>69</v>
      </c>
      <c r="I33" s="57" t="s">
        <v>67</v>
      </c>
      <c r="K33" s="72" t="s">
        <v>117</v>
      </c>
      <c r="M33" s="22" t="s">
        <v>69</v>
      </c>
      <c r="O33" s="58" t="s">
        <v>70</v>
      </c>
      <c r="Q33" s="72" t="s">
        <v>71</v>
      </c>
      <c r="S33" s="72" t="s">
        <v>116</v>
      </c>
      <c r="U33" s="58" t="s">
        <v>70</v>
      </c>
    </row>
    <row r="34" spans="1:21" x14ac:dyDescent="0.3">
      <c r="C34" s="59" t="s">
        <v>36</v>
      </c>
      <c r="E34" s="59" t="s">
        <v>37</v>
      </c>
      <c r="F34" s="1"/>
      <c r="G34" s="59" t="s">
        <v>72</v>
      </c>
      <c r="H34" s="10"/>
      <c r="I34" s="59" t="s">
        <v>73</v>
      </c>
      <c r="K34" s="59" t="s">
        <v>74</v>
      </c>
      <c r="M34" s="59" t="s">
        <v>75</v>
      </c>
      <c r="O34" s="59" t="s">
        <v>76</v>
      </c>
      <c r="Q34" s="59" t="s">
        <v>94</v>
      </c>
      <c r="S34" s="59" t="s">
        <v>95</v>
      </c>
      <c r="U34" s="59" t="s">
        <v>96</v>
      </c>
    </row>
    <row r="35" spans="1:21" x14ac:dyDescent="0.3">
      <c r="C35" s="59"/>
      <c r="E35" s="59"/>
      <c r="F35" s="1"/>
      <c r="G35" s="59"/>
      <c r="H35" s="10"/>
      <c r="I35" s="59"/>
      <c r="K35" s="59"/>
      <c r="M35" s="59"/>
      <c r="O35" s="59"/>
    </row>
    <row r="36" spans="1:21" x14ac:dyDescent="0.3">
      <c r="A36" s="60" t="s">
        <v>127</v>
      </c>
      <c r="F36" s="1"/>
      <c r="G36" s="11">
        <f>-304364</f>
        <v>-304364</v>
      </c>
      <c r="H36" s="10"/>
      <c r="O36" s="11">
        <f t="shared" ref="O36:O51" si="21">+M36+G36</f>
        <v>-304364</v>
      </c>
      <c r="U36" s="11">
        <f>+O36</f>
        <v>-304364</v>
      </c>
    </row>
    <row r="37" spans="1:21" x14ac:dyDescent="0.3">
      <c r="A37" s="1" t="s">
        <v>77</v>
      </c>
      <c r="C37" s="10">
        <f>+G36</f>
        <v>-304364</v>
      </c>
      <c r="E37" s="10">
        <f>-+G$36/C$54/12</f>
        <v>1690.9111111111113</v>
      </c>
      <c r="G37" s="6">
        <f>+C37+E37</f>
        <v>-302673.08888888889</v>
      </c>
      <c r="I37" s="10">
        <f>+M36</f>
        <v>0</v>
      </c>
      <c r="K37" s="11">
        <f>+E37</f>
        <v>1690.9111111111113</v>
      </c>
      <c r="M37" s="11">
        <f>+I37+K37</f>
        <v>1690.9111111111113</v>
      </c>
      <c r="O37" s="5">
        <f t="shared" si="21"/>
        <v>-300982.17777777778</v>
      </c>
      <c r="Q37" s="10">
        <v>0</v>
      </c>
      <c r="R37" s="5"/>
      <c r="S37" s="10">
        <v>0</v>
      </c>
      <c r="U37" s="6">
        <f t="shared" ref="U37:U41" si="22">+U36-S37</f>
        <v>-304364</v>
      </c>
    </row>
    <row r="38" spans="1:21" x14ac:dyDescent="0.3">
      <c r="A38" s="61" t="s">
        <v>78</v>
      </c>
      <c r="C38" s="5">
        <f t="shared" ref="C38:D51" si="23">+G37</f>
        <v>-302673.08888888889</v>
      </c>
      <c r="E38" s="10">
        <f t="shared" ref="E38:E51" si="24">-+G$36/C$54/12</f>
        <v>1690.9111111111113</v>
      </c>
      <c r="G38" s="6">
        <f t="shared" ref="G38:G51" si="25">+C38+E38</f>
        <v>-300982.17777777778</v>
      </c>
      <c r="I38" s="5">
        <f t="shared" ref="I38:I51" si="26">+M37</f>
        <v>1690.9111111111113</v>
      </c>
      <c r="K38" s="5">
        <f t="shared" ref="K38:K40" si="27">+E38</f>
        <v>1690.9111111111113</v>
      </c>
      <c r="M38" s="6">
        <f t="shared" ref="M38:M51" si="28">+I38+K38</f>
        <v>3381.8222222222225</v>
      </c>
      <c r="O38" s="5">
        <f t="shared" si="21"/>
        <v>-297600.35555555555</v>
      </c>
      <c r="Q38" s="5">
        <v>0</v>
      </c>
      <c r="R38" s="5"/>
      <c r="S38" s="5">
        <v>0</v>
      </c>
      <c r="U38" s="6">
        <f t="shared" si="22"/>
        <v>-304364</v>
      </c>
    </row>
    <row r="39" spans="1:21" x14ac:dyDescent="0.3">
      <c r="A39" s="1" t="s">
        <v>79</v>
      </c>
      <c r="C39" s="5">
        <f t="shared" si="23"/>
        <v>-300982.17777777778</v>
      </c>
      <c r="E39" s="5">
        <f t="shared" si="24"/>
        <v>1690.9111111111113</v>
      </c>
      <c r="G39" s="5">
        <f t="shared" si="25"/>
        <v>-299291.26666666666</v>
      </c>
      <c r="I39" s="5">
        <f t="shared" si="26"/>
        <v>3381.8222222222225</v>
      </c>
      <c r="K39" s="5">
        <f t="shared" si="27"/>
        <v>1690.9111111111113</v>
      </c>
      <c r="M39" s="6">
        <f t="shared" si="28"/>
        <v>5072.7333333333336</v>
      </c>
      <c r="O39" s="5">
        <f t="shared" si="21"/>
        <v>-294218.53333333333</v>
      </c>
      <c r="Q39" s="5">
        <v>0</v>
      </c>
      <c r="R39" s="5"/>
      <c r="S39" s="5">
        <v>0</v>
      </c>
      <c r="U39" s="6">
        <f t="shared" si="22"/>
        <v>-304364</v>
      </c>
    </row>
    <row r="40" spans="1:21" x14ac:dyDescent="0.3">
      <c r="A40" s="1" t="s">
        <v>80</v>
      </c>
      <c r="C40" s="5">
        <f t="shared" si="23"/>
        <v>-299291.26666666666</v>
      </c>
      <c r="E40" s="5">
        <f t="shared" si="24"/>
        <v>1690.9111111111113</v>
      </c>
      <c r="G40" s="5">
        <f t="shared" si="25"/>
        <v>-297600.35555555555</v>
      </c>
      <c r="I40" s="5">
        <f t="shared" si="26"/>
        <v>5072.7333333333336</v>
      </c>
      <c r="K40" s="5">
        <f t="shared" si="27"/>
        <v>1690.9111111111113</v>
      </c>
      <c r="M40" s="6">
        <f t="shared" si="28"/>
        <v>6763.6444444444451</v>
      </c>
      <c r="O40" s="5">
        <f t="shared" si="21"/>
        <v>-290836.7111111111</v>
      </c>
      <c r="Q40" s="6">
        <v>0</v>
      </c>
      <c r="R40" s="5"/>
      <c r="S40" s="6">
        <v>0</v>
      </c>
      <c r="U40" s="6">
        <f t="shared" si="22"/>
        <v>-304364</v>
      </c>
    </row>
    <row r="41" spans="1:21" x14ac:dyDescent="0.3">
      <c r="A41" s="62" t="s">
        <v>120</v>
      </c>
      <c r="B41" s="8"/>
      <c r="C41" s="19">
        <f t="shared" si="23"/>
        <v>-297600.35555555555</v>
      </c>
      <c r="D41" s="19">
        <f t="shared" si="23"/>
        <v>0</v>
      </c>
      <c r="E41" s="19">
        <f t="shared" si="24"/>
        <v>1690.9111111111113</v>
      </c>
      <c r="F41" s="8"/>
      <c r="G41" s="19">
        <f t="shared" si="25"/>
        <v>-295909.44444444444</v>
      </c>
      <c r="H41" s="8"/>
      <c r="I41" s="19">
        <f t="shared" si="26"/>
        <v>6763.6444444444451</v>
      </c>
      <c r="J41" s="8"/>
      <c r="K41" s="19">
        <f>+E41-Q41</f>
        <v>-614.87676767676817</v>
      </c>
      <c r="L41" s="8"/>
      <c r="M41" s="63">
        <f t="shared" si="28"/>
        <v>6148.7676767676767</v>
      </c>
      <c r="N41" s="8"/>
      <c r="O41" s="19">
        <f t="shared" si="21"/>
        <v>-289760.67676767678</v>
      </c>
      <c r="P41" s="8"/>
      <c r="Q41" s="63">
        <f>E$52/11</f>
        <v>2305.7878787878794</v>
      </c>
      <c r="R41" s="19"/>
      <c r="S41" s="63">
        <f>Q41</f>
        <v>2305.7878787878794</v>
      </c>
      <c r="T41" s="8"/>
      <c r="U41" s="63">
        <f t="shared" si="22"/>
        <v>-306669.7878787879</v>
      </c>
    </row>
    <row r="42" spans="1:21" x14ac:dyDescent="0.3">
      <c r="A42" s="1" t="s">
        <v>81</v>
      </c>
      <c r="B42" s="29"/>
      <c r="C42" s="64">
        <f t="shared" si="23"/>
        <v>-295909.44444444444</v>
      </c>
      <c r="D42" s="64">
        <f t="shared" si="23"/>
        <v>0</v>
      </c>
      <c r="E42" s="64">
        <f t="shared" si="24"/>
        <v>1690.9111111111113</v>
      </c>
      <c r="F42" s="29"/>
      <c r="G42" s="64">
        <f t="shared" si="25"/>
        <v>-294218.53333333333</v>
      </c>
      <c r="H42" s="29"/>
      <c r="I42" s="64">
        <f t="shared" si="26"/>
        <v>6148.7676767676767</v>
      </c>
      <c r="J42" s="29"/>
      <c r="K42" s="64">
        <f>+E42-Q42</f>
        <v>-614.87676767676817</v>
      </c>
      <c r="L42" s="29"/>
      <c r="M42" s="74">
        <f t="shared" si="28"/>
        <v>5533.8909090909083</v>
      </c>
      <c r="N42" s="29"/>
      <c r="O42" s="64">
        <f t="shared" si="21"/>
        <v>-288684.6424242424</v>
      </c>
      <c r="P42" s="29"/>
      <c r="Q42" s="64">
        <f t="shared" ref="Q42:Q51" si="29">E$52/11</f>
        <v>2305.7878787878794</v>
      </c>
      <c r="R42" s="64"/>
      <c r="S42" s="64">
        <f>Q42</f>
        <v>2305.7878787878794</v>
      </c>
      <c r="T42" s="29"/>
      <c r="U42" s="74">
        <f>+U41+S42</f>
        <v>-304364</v>
      </c>
    </row>
    <row r="43" spans="1:21" x14ac:dyDescent="0.3">
      <c r="A43" s="1" t="s">
        <v>82</v>
      </c>
      <c r="C43" s="5">
        <f t="shared" si="23"/>
        <v>-294218.53333333333</v>
      </c>
      <c r="E43" s="5">
        <f t="shared" si="24"/>
        <v>1690.9111111111113</v>
      </c>
      <c r="G43" s="5">
        <f t="shared" si="25"/>
        <v>-292527.62222222221</v>
      </c>
      <c r="I43" s="5">
        <f t="shared" si="26"/>
        <v>5533.8909090909083</v>
      </c>
      <c r="K43" s="5">
        <f t="shared" ref="K43:K51" si="30">+E43-Q43</f>
        <v>-614.87676767676817</v>
      </c>
      <c r="M43" s="6">
        <f t="shared" si="28"/>
        <v>4919.0141414141399</v>
      </c>
      <c r="O43" s="5">
        <f t="shared" si="21"/>
        <v>-287608.60808080807</v>
      </c>
      <c r="Q43" s="5">
        <f t="shared" si="29"/>
        <v>2305.7878787878794</v>
      </c>
      <c r="R43" s="5"/>
      <c r="S43" s="5">
        <f t="shared" ref="S43:S51" si="31">Q43</f>
        <v>2305.7878787878794</v>
      </c>
      <c r="U43" s="6">
        <f>+U42+S43</f>
        <v>-302058.2121212121</v>
      </c>
    </row>
    <row r="44" spans="1:21" x14ac:dyDescent="0.3">
      <c r="A44" s="1" t="s">
        <v>83</v>
      </c>
      <c r="C44" s="5">
        <f t="shared" si="23"/>
        <v>-292527.62222222221</v>
      </c>
      <c r="E44" s="10">
        <f t="shared" si="24"/>
        <v>1690.9111111111113</v>
      </c>
      <c r="G44" s="6">
        <f t="shared" si="25"/>
        <v>-290836.7111111111</v>
      </c>
      <c r="I44" s="5">
        <f t="shared" si="26"/>
        <v>4919.0141414141399</v>
      </c>
      <c r="K44" s="5">
        <f t="shared" si="30"/>
        <v>-614.87676767676817</v>
      </c>
      <c r="M44" s="6">
        <f t="shared" si="28"/>
        <v>4304.1373737373715</v>
      </c>
      <c r="O44" s="5">
        <f t="shared" si="21"/>
        <v>-286532.57373737375</v>
      </c>
      <c r="Q44" s="5">
        <f t="shared" si="29"/>
        <v>2305.7878787878794</v>
      </c>
      <c r="R44" s="5"/>
      <c r="S44" s="5">
        <f t="shared" si="31"/>
        <v>2305.7878787878794</v>
      </c>
      <c r="U44" s="6">
        <f t="shared" ref="U44:U51" si="32">+U43+S44</f>
        <v>-299752.4242424242</v>
      </c>
    </row>
    <row r="45" spans="1:21" x14ac:dyDescent="0.3">
      <c r="A45" s="1" t="s">
        <v>84</v>
      </c>
      <c r="C45" s="5">
        <f t="shared" si="23"/>
        <v>-290836.7111111111</v>
      </c>
      <c r="E45" s="10">
        <f t="shared" si="24"/>
        <v>1690.9111111111113</v>
      </c>
      <c r="G45" s="6">
        <f t="shared" si="25"/>
        <v>-289145.8</v>
      </c>
      <c r="I45" s="5">
        <f t="shared" si="26"/>
        <v>4304.1373737373715</v>
      </c>
      <c r="K45" s="5">
        <f t="shared" si="30"/>
        <v>-614.87676767676817</v>
      </c>
      <c r="M45" s="6">
        <f t="shared" si="28"/>
        <v>3689.2606060606031</v>
      </c>
      <c r="O45" s="5">
        <f t="shared" si="21"/>
        <v>-285456.53939393937</v>
      </c>
      <c r="Q45" s="5">
        <f t="shared" si="29"/>
        <v>2305.7878787878794</v>
      </c>
      <c r="R45" s="5"/>
      <c r="S45" s="5">
        <f t="shared" si="31"/>
        <v>2305.7878787878794</v>
      </c>
      <c r="U45" s="6">
        <f t="shared" si="32"/>
        <v>-297446.63636363629</v>
      </c>
    </row>
    <row r="46" spans="1:21" x14ac:dyDescent="0.3">
      <c r="A46" s="1" t="s">
        <v>85</v>
      </c>
      <c r="C46" s="5">
        <f t="shared" si="23"/>
        <v>-289145.8</v>
      </c>
      <c r="E46" s="10">
        <f t="shared" si="24"/>
        <v>1690.9111111111113</v>
      </c>
      <c r="G46" s="6">
        <f t="shared" si="25"/>
        <v>-287454.88888888888</v>
      </c>
      <c r="I46" s="5">
        <f t="shared" si="26"/>
        <v>3689.2606060606031</v>
      </c>
      <c r="K46" s="5">
        <f t="shared" si="30"/>
        <v>-614.87676767676817</v>
      </c>
      <c r="M46" s="6">
        <f t="shared" si="28"/>
        <v>3074.3838383838347</v>
      </c>
      <c r="O46" s="5">
        <f t="shared" si="21"/>
        <v>-284380.50505050505</v>
      </c>
      <c r="Q46" s="5">
        <f t="shared" si="29"/>
        <v>2305.7878787878794</v>
      </c>
      <c r="R46" s="5"/>
      <c r="S46" s="5">
        <f t="shared" si="31"/>
        <v>2305.7878787878794</v>
      </c>
      <c r="U46" s="6">
        <f t="shared" si="32"/>
        <v>-295140.84848484839</v>
      </c>
    </row>
    <row r="47" spans="1:21" x14ac:dyDescent="0.3">
      <c r="A47" s="1" t="s">
        <v>86</v>
      </c>
      <c r="C47" s="5">
        <f t="shared" si="23"/>
        <v>-287454.88888888888</v>
      </c>
      <c r="E47" s="10">
        <f t="shared" si="24"/>
        <v>1690.9111111111113</v>
      </c>
      <c r="G47" s="6">
        <f t="shared" si="25"/>
        <v>-285763.97777777776</v>
      </c>
      <c r="I47" s="5">
        <f t="shared" si="26"/>
        <v>3074.3838383838347</v>
      </c>
      <c r="K47" s="5">
        <f t="shared" si="30"/>
        <v>-614.87676767676817</v>
      </c>
      <c r="M47" s="6">
        <f t="shared" si="28"/>
        <v>2459.5070707070663</v>
      </c>
      <c r="O47" s="5">
        <f t="shared" si="21"/>
        <v>-283304.47070707072</v>
      </c>
      <c r="Q47" s="5">
        <f t="shared" si="29"/>
        <v>2305.7878787878794</v>
      </c>
      <c r="R47" s="5"/>
      <c r="S47" s="5">
        <f t="shared" si="31"/>
        <v>2305.7878787878794</v>
      </c>
      <c r="U47" s="6">
        <f t="shared" si="32"/>
        <v>-292835.06060606049</v>
      </c>
    </row>
    <row r="48" spans="1:21" x14ac:dyDescent="0.3">
      <c r="A48" s="1" t="s">
        <v>87</v>
      </c>
      <c r="C48" s="5">
        <f t="shared" si="23"/>
        <v>-285763.97777777776</v>
      </c>
      <c r="E48" s="10">
        <f t="shared" si="24"/>
        <v>1690.9111111111113</v>
      </c>
      <c r="G48" s="6">
        <f t="shared" si="25"/>
        <v>-284073.06666666665</v>
      </c>
      <c r="I48" s="5">
        <f t="shared" si="26"/>
        <v>2459.5070707070663</v>
      </c>
      <c r="K48" s="5">
        <f t="shared" si="30"/>
        <v>-614.87676767676817</v>
      </c>
      <c r="M48" s="6">
        <f t="shared" si="28"/>
        <v>1844.6303030302981</v>
      </c>
      <c r="O48" s="5">
        <f t="shared" si="21"/>
        <v>-282228.43636363634</v>
      </c>
      <c r="Q48" s="5">
        <f t="shared" si="29"/>
        <v>2305.7878787878794</v>
      </c>
      <c r="R48" s="5"/>
      <c r="S48" s="5">
        <f t="shared" si="31"/>
        <v>2305.7878787878794</v>
      </c>
      <c r="U48" s="6">
        <f t="shared" si="32"/>
        <v>-290529.27272727259</v>
      </c>
    </row>
    <row r="49" spans="1:21" x14ac:dyDescent="0.3">
      <c r="A49" s="1" t="s">
        <v>88</v>
      </c>
      <c r="C49" s="5">
        <f t="shared" si="23"/>
        <v>-284073.06666666665</v>
      </c>
      <c r="E49" s="10">
        <f t="shared" si="24"/>
        <v>1690.9111111111113</v>
      </c>
      <c r="G49" s="6">
        <f t="shared" si="25"/>
        <v>-282382.15555555554</v>
      </c>
      <c r="I49" s="5">
        <f t="shared" si="26"/>
        <v>1844.6303030302981</v>
      </c>
      <c r="K49" s="5">
        <f t="shared" si="30"/>
        <v>-614.87676767676817</v>
      </c>
      <c r="M49" s="6">
        <f t="shared" si="28"/>
        <v>1229.75353535353</v>
      </c>
      <c r="O49" s="5">
        <f t="shared" si="21"/>
        <v>-281152.40202020202</v>
      </c>
      <c r="Q49" s="5">
        <f t="shared" si="29"/>
        <v>2305.7878787878794</v>
      </c>
      <c r="R49" s="5"/>
      <c r="S49" s="5">
        <f t="shared" si="31"/>
        <v>2305.7878787878794</v>
      </c>
      <c r="U49" s="6">
        <f t="shared" si="32"/>
        <v>-288223.48484848469</v>
      </c>
    </row>
    <row r="50" spans="1:21" x14ac:dyDescent="0.3">
      <c r="A50" s="61" t="s">
        <v>89</v>
      </c>
      <c r="C50" s="5">
        <f t="shared" si="23"/>
        <v>-282382.15555555554</v>
      </c>
      <c r="E50" s="10">
        <f t="shared" si="24"/>
        <v>1690.9111111111113</v>
      </c>
      <c r="G50" s="6">
        <f t="shared" si="25"/>
        <v>-280691.24444444443</v>
      </c>
      <c r="I50" s="5">
        <f t="shared" si="26"/>
        <v>1229.75353535353</v>
      </c>
      <c r="K50" s="5">
        <f t="shared" si="30"/>
        <v>-614.87676767676817</v>
      </c>
      <c r="M50" s="6">
        <f t="shared" si="28"/>
        <v>614.8767676767618</v>
      </c>
      <c r="O50" s="5">
        <f t="shared" si="21"/>
        <v>-280076.36767676764</v>
      </c>
      <c r="Q50" s="5">
        <f t="shared" si="29"/>
        <v>2305.7878787878794</v>
      </c>
      <c r="R50" s="5"/>
      <c r="S50" s="5">
        <f t="shared" si="31"/>
        <v>2305.7878787878794</v>
      </c>
      <c r="U50" s="6">
        <f t="shared" si="32"/>
        <v>-285917.69696969679</v>
      </c>
    </row>
    <row r="51" spans="1:21" x14ac:dyDescent="0.3">
      <c r="A51" s="1" t="s">
        <v>90</v>
      </c>
      <c r="C51" s="5">
        <f t="shared" si="23"/>
        <v>-280691.24444444443</v>
      </c>
      <c r="E51" s="10">
        <f t="shared" si="24"/>
        <v>1690.9111111111113</v>
      </c>
      <c r="G51" s="11">
        <f t="shared" si="25"/>
        <v>-279000.33333333331</v>
      </c>
      <c r="I51" s="10">
        <f t="shared" si="26"/>
        <v>614.8767676767618</v>
      </c>
      <c r="K51" s="5">
        <f t="shared" si="30"/>
        <v>-614.87676767676817</v>
      </c>
      <c r="M51" s="11">
        <f t="shared" si="28"/>
        <v>-6.3664629124104977E-12</v>
      </c>
      <c r="O51" s="10">
        <f t="shared" si="21"/>
        <v>-279000.33333333331</v>
      </c>
      <c r="Q51" s="5">
        <f t="shared" si="29"/>
        <v>2305.7878787878794</v>
      </c>
      <c r="R51" s="5"/>
      <c r="S51" s="5">
        <f t="shared" si="31"/>
        <v>2305.7878787878794</v>
      </c>
      <c r="U51" s="11">
        <f t="shared" si="32"/>
        <v>-283611.90909090888</v>
      </c>
    </row>
    <row r="52" spans="1:21" ht="15" thickBot="1" x14ac:dyDescent="0.35">
      <c r="A52" s="1" t="s">
        <v>124</v>
      </c>
      <c r="C52" s="5"/>
      <c r="E52" s="65">
        <f>SUM(E37:E51)</f>
        <v>25363.666666666672</v>
      </c>
      <c r="G52" s="6"/>
      <c r="I52" s="5"/>
      <c r="K52" s="65">
        <f>SUM(K37:K51)</f>
        <v>-6.3664629124104977E-12</v>
      </c>
      <c r="M52" s="6"/>
      <c r="O52" s="5"/>
      <c r="Q52" s="65">
        <f>SUM(Q37:Q51)</f>
        <v>25363.666666666675</v>
      </c>
      <c r="R52" s="5"/>
      <c r="S52" s="65">
        <f>SUM(S37:S51)</f>
        <v>25363.666666666675</v>
      </c>
      <c r="U52" s="6"/>
    </row>
    <row r="53" spans="1:21" ht="15" thickTop="1" x14ac:dyDescent="0.3">
      <c r="Q53" s="6"/>
      <c r="S53" s="6"/>
      <c r="U53" s="6"/>
    </row>
    <row r="54" spans="1:21" x14ac:dyDescent="0.3">
      <c r="A54" s="1" t="s">
        <v>97</v>
      </c>
      <c r="C54" s="67">
        <v>15</v>
      </c>
      <c r="Q54" s="6"/>
      <c r="S54" s="6"/>
      <c r="U54" s="6"/>
    </row>
    <row r="55" spans="1:21" x14ac:dyDescent="0.3">
      <c r="A55" s="26"/>
      <c r="B55" s="26"/>
      <c r="C55" s="26"/>
      <c r="D55" s="26"/>
      <c r="E55" s="26"/>
      <c r="F55" s="26"/>
      <c r="G55" s="26"/>
      <c r="H55" s="26"/>
      <c r="I55" s="26"/>
      <c r="J55" s="26"/>
      <c r="K55" s="26"/>
      <c r="L55" s="26"/>
      <c r="M55" s="26"/>
      <c r="N55" s="26"/>
      <c r="O55" s="26"/>
      <c r="P55" s="26"/>
      <c r="Q55" s="68"/>
      <c r="R55" s="26"/>
      <c r="S55" s="68"/>
      <c r="T55" s="26"/>
      <c r="U55" s="68"/>
    </row>
    <row r="57" spans="1:21" x14ac:dyDescent="0.3">
      <c r="A57" s="69" t="s">
        <v>98</v>
      </c>
      <c r="C57" s="1" t="s">
        <v>99</v>
      </c>
    </row>
    <row r="58" spans="1:21" x14ac:dyDescent="0.3">
      <c r="C58" s="1" t="s">
        <v>100</v>
      </c>
    </row>
    <row r="59" spans="1:21" x14ac:dyDescent="0.3">
      <c r="C59" s="1" t="s">
        <v>101</v>
      </c>
      <c r="D59" s="51"/>
      <c r="E59" s="51"/>
      <c r="F59" s="51"/>
      <c r="G59" s="51"/>
      <c r="H59" s="51"/>
      <c r="I59" s="51"/>
    </row>
    <row r="60" spans="1:21" x14ac:dyDescent="0.3">
      <c r="C60" s="1" t="s">
        <v>102</v>
      </c>
      <c r="D60" s="51"/>
      <c r="E60" s="51"/>
      <c r="F60" s="51"/>
      <c r="G60" s="51"/>
      <c r="H60" s="51"/>
      <c r="I60" s="51"/>
    </row>
    <row r="61" spans="1:21" x14ac:dyDescent="0.3">
      <c r="C61" s="1" t="s">
        <v>103</v>
      </c>
      <c r="D61" s="51"/>
      <c r="E61" s="51"/>
      <c r="F61" s="51"/>
      <c r="G61" s="51"/>
      <c r="H61" s="51"/>
      <c r="I61" s="51"/>
    </row>
    <row r="62" spans="1:21" x14ac:dyDescent="0.3">
      <c r="C62" s="51"/>
      <c r="D62" s="51"/>
      <c r="E62" s="51"/>
      <c r="F62" s="51"/>
      <c r="G62" s="51"/>
      <c r="H62" s="51"/>
      <c r="I62" s="51"/>
    </row>
    <row r="63" spans="1:21" x14ac:dyDescent="0.3">
      <c r="C63" s="51"/>
      <c r="D63" s="51"/>
      <c r="E63" s="51"/>
      <c r="F63" s="51"/>
      <c r="G63" s="51"/>
      <c r="H63" s="51"/>
      <c r="I63" s="51"/>
    </row>
    <row r="64" spans="1:21" x14ac:dyDescent="0.3">
      <c r="C64" s="51"/>
      <c r="D64" s="51"/>
      <c r="E64" s="51"/>
      <c r="F64" s="51"/>
      <c r="G64" s="51"/>
      <c r="H64" s="51"/>
      <c r="I64" s="51"/>
    </row>
  </sheetData>
  <mergeCells count="8">
    <mergeCell ref="C32:G32"/>
    <mergeCell ref="I32:M32"/>
    <mergeCell ref="Q32:S32"/>
    <mergeCell ref="I5:M5"/>
    <mergeCell ref="C6:G6"/>
    <mergeCell ref="I6:M6"/>
    <mergeCell ref="Q6:S6"/>
    <mergeCell ref="I31:M31"/>
  </mergeCells>
  <pageMargins left="0.43" right="0.49" top="0.94" bottom="0.75" header="0.51" footer="0.3"/>
  <pageSetup scale="54" orientation="landscape" r:id="rId1"/>
  <headerFooter>
    <oddHeader>&amp;R&amp;"Times New Roman,Bold"KyPSC Case No. 2018-00036
STAFF-DR-01-013 Attachment - Revised Attachment WDW-2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 xmlns="2612a682-5ffb-4b9c-9555-017618935178">Wathen</Witnes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729F04082C32441BA3EBCE2BF6ACA4A" ma:contentTypeVersion="3" ma:contentTypeDescription="Create a new document." ma:contentTypeScope="" ma:versionID="c4010e9f6a2a9a383e2a3d9c3a308c1b">
  <xsd:schema xmlns:xsd="http://www.w3.org/2001/XMLSchema" xmlns:xs="http://www.w3.org/2001/XMLSchema" xmlns:p="http://schemas.microsoft.com/office/2006/metadata/properties" xmlns:ns2="2612a682-5ffb-4b9c-9555-017618935178" targetNamespace="http://schemas.microsoft.com/office/2006/metadata/properties" ma:root="true" ma:fieldsID="2c1595c5893a7ebd09af7663f216d573" ns2:_="">
    <xsd:import namespace="2612a682-5ffb-4b9c-9555-017618935178"/>
    <xsd:element name="properties">
      <xsd:complexType>
        <xsd:sequence>
          <xsd:element name="documentManagement">
            <xsd:complexType>
              <xsd:all>
                <xsd:element ref="ns2:Witn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2a682-5ffb-4b9c-9555-017618935178"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8C6132-7707-404D-92F7-797ADB855E46}">
  <ds:schemaRefs>
    <ds:schemaRef ds:uri="http://purl.org/dc/elements/1.1/"/>
    <ds:schemaRef ds:uri="http://schemas.microsoft.com/office/infopath/2007/PartnerControls"/>
    <ds:schemaRef ds:uri="http://schemas.microsoft.com/office/2006/metadata/properties"/>
    <ds:schemaRef ds:uri="2612a682-5ffb-4b9c-9555-017618935178"/>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1530155-F9B7-4C2C-B511-86E6DAABB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2a682-5ffb-4b9c-9555-0176189351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1BE5CE-2A17-4771-A30E-AD1BE77848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WDW-2, page 1</vt:lpstr>
      <vt:lpstr>WDW-2, page 2</vt:lpstr>
      <vt:lpstr>WDW-2, page 3</vt:lpstr>
      <vt:lpstr>WDW-2, page 4</vt:lpstr>
    </vt:vector>
  </TitlesOfParts>
  <Company>Duke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Attachment WDW-2</dc:title>
  <dc:subject>Revised Att WDW-2 file, entire Excel File</dc:subject>
  <dc:creator>Wathen, Don</dc:creator>
  <cp:lastModifiedBy>Frisch, Adele M</cp:lastModifiedBy>
  <cp:lastPrinted>2018-04-18T14:00:44Z</cp:lastPrinted>
  <dcterms:created xsi:type="dcterms:W3CDTF">2018-02-01T15:32:45Z</dcterms:created>
  <dcterms:modified xsi:type="dcterms:W3CDTF">2018-04-18T14:00:45Z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0x010100A729F04082C32441BA3EBCE2BF6ACA4A</vt:lpwstr>
  </property>
</Properties>
</file>