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ish\AppData\Local\Temp\Workshare\l1vghuyu.5ac\1\"/>
    </mc:Choice>
  </mc:AlternateContent>
  <bookViews>
    <workbookView xWindow="0" yWindow="0" windowWidth="25200" windowHeight="11325"/>
  </bookViews>
  <sheets>
    <sheet name="Allocation &amp; Rates" sheetId="1" r:id="rId1"/>
    <sheet name="ADIT" sheetId="2" r:id="rId2"/>
    <sheet name="GRCF" sheetId="3" r:id="rId3"/>
    <sheet name="kWh &amp; Revenue" sheetId="4" r:id="rId4"/>
  </sheets>
  <definedNames>
    <definedName name="_xlnm.Print_Area" localSheetId="1">ADIT!$A$1:$K$57</definedName>
    <definedName name="_xlnm.Print_Area" localSheetId="0">'Allocation &amp; Rates'!$A$1:$L$46</definedName>
    <definedName name="_xlnm.Print_Area" localSheetId="2">GRCF!$A$1:$G$27</definedName>
    <definedName name="_xlnm.Print_Area" localSheetId="3">'kWh &amp; Revenue'!$A$1:$N$11</definedName>
  </definedNames>
  <calcPr calcId="162913" iterate="1"/>
</workbook>
</file>

<file path=xl/calcChain.xml><?xml version="1.0" encoding="utf-8"?>
<calcChain xmlns="http://schemas.openxmlformats.org/spreadsheetml/2006/main">
  <c r="B34" i="1" l="1"/>
  <c r="N5" i="4"/>
  <c r="B35" i="1" s="1"/>
  <c r="N7" i="4"/>
  <c r="N2" i="4"/>
  <c r="B39" i="1"/>
  <c r="N9" i="4"/>
  <c r="B18" i="1" s="1"/>
  <c r="B10" i="4"/>
  <c r="C10" i="4"/>
  <c r="D10" i="4"/>
  <c r="E10" i="4"/>
  <c r="F10" i="4"/>
  <c r="G10" i="4"/>
  <c r="H10" i="4"/>
  <c r="I10" i="4"/>
  <c r="J10" i="4"/>
  <c r="N11" i="4"/>
  <c r="L10" i="4"/>
  <c r="M10" i="4"/>
  <c r="K10" i="4"/>
  <c r="N10" i="4" l="1"/>
  <c r="B19" i="1" s="1"/>
  <c r="B20" i="1" s="1"/>
  <c r="B31" i="1"/>
  <c r="D55" i="2" l="1"/>
  <c r="H53" i="2"/>
  <c r="H51" i="2"/>
  <c r="H49" i="2"/>
  <c r="D43" i="2"/>
  <c r="H41" i="2"/>
  <c r="H39" i="2"/>
  <c r="H37" i="2"/>
  <c r="D31" i="2"/>
  <c r="H29" i="2"/>
  <c r="H27" i="2"/>
  <c r="H25" i="2"/>
  <c r="E18" i="2"/>
  <c r="D18" i="2"/>
  <c r="I15" i="2"/>
  <c r="H15" i="2"/>
  <c r="F15" i="2"/>
  <c r="I13" i="2"/>
  <c r="J13" i="2" s="1"/>
  <c r="H13" i="2"/>
  <c r="F13" i="2"/>
  <c r="I11" i="2"/>
  <c r="J11" i="2" s="1"/>
  <c r="H11" i="2"/>
  <c r="H18" i="2" s="1"/>
  <c r="F11" i="2"/>
  <c r="I18" i="2" l="1"/>
  <c r="F18" i="2"/>
  <c r="J15" i="2"/>
  <c r="J18" i="2" s="1"/>
  <c r="F10" i="1"/>
  <c r="H55" i="2"/>
  <c r="H10" i="1"/>
  <c r="B4" i="1"/>
  <c r="H43" i="2"/>
  <c r="H31" i="2"/>
  <c r="D10" i="1"/>
  <c r="G14" i="3" l="1"/>
  <c r="A12" i="3"/>
  <c r="A14" i="3" s="1"/>
  <c r="A16" i="3" s="1"/>
  <c r="A19" i="3" s="1"/>
  <c r="A21" i="3" s="1"/>
  <c r="A23" i="3" s="1"/>
  <c r="A25" i="3" s="1"/>
  <c r="A11" i="3"/>
  <c r="C7" i="3"/>
  <c r="G7" i="3" s="1"/>
  <c r="G16" i="3" l="1"/>
  <c r="G19" i="3" s="1"/>
  <c r="G21" i="3" l="1"/>
  <c r="G23" i="3"/>
  <c r="G25" i="3" s="1"/>
  <c r="B5" i="1" s="1"/>
  <c r="B6" i="1" l="1"/>
  <c r="B8" i="1" s="1"/>
  <c r="D11" i="1"/>
  <c r="B36" i="1"/>
  <c r="F11" i="1" l="1"/>
  <c r="D12" i="1"/>
  <c r="D14" i="1" s="1"/>
  <c r="B30" i="1"/>
  <c r="B40" i="1"/>
  <c r="D40" i="1" s="1"/>
  <c r="D23" i="1" l="1"/>
  <c r="D24" i="1"/>
  <c r="D30" i="1"/>
  <c r="F12" i="1"/>
  <c r="F14" i="1" s="1"/>
  <c r="H11" i="1"/>
  <c r="H12" i="1" s="1"/>
  <c r="H14" i="1" s="1"/>
  <c r="B41" i="1"/>
  <c r="B44" i="1"/>
  <c r="B45" i="1"/>
  <c r="D45" i="1" s="1"/>
  <c r="F23" i="1" l="1"/>
  <c r="D41" i="1" s="1"/>
  <c r="D39" i="1" s="1"/>
  <c r="F39" i="1" s="1"/>
  <c r="F24" i="1"/>
  <c r="D31" i="1"/>
  <c r="D25" i="1"/>
  <c r="H23" i="1"/>
  <c r="D46" i="1" s="1"/>
  <c r="F40" i="1"/>
  <c r="D44" i="1"/>
  <c r="F44" i="1" s="1"/>
  <c r="F45" i="1"/>
  <c r="B46" i="1"/>
  <c r="H24" i="1" l="1"/>
  <c r="F35" i="1"/>
  <c r="F25" i="1"/>
  <c r="H35" i="1" l="1"/>
  <c r="H25" i="1"/>
</calcChain>
</file>

<file path=xl/sharedStrings.xml><?xml version="1.0" encoding="utf-8"?>
<sst xmlns="http://schemas.openxmlformats.org/spreadsheetml/2006/main" count="151" uniqueCount="102">
  <si>
    <t>KENTUCKY POWER COMPANY</t>
  </si>
  <si>
    <t>COMPUTATION OF THE GROSS REVENUE</t>
  </si>
  <si>
    <t>CONVERSION FACTOR</t>
  </si>
  <si>
    <t>Line       No.</t>
  </si>
  <si>
    <t>Description</t>
  </si>
  <si>
    <t xml:space="preserve">Percent of                  Incremental                          Gross Revenues </t>
  </si>
  <si>
    <t>Operating Revenues</t>
  </si>
  <si>
    <t>Less: Uncollectible Accounts Expense   1/</t>
  </si>
  <si>
    <t>KPSC Maintenance Fee</t>
  </si>
  <si>
    <t>---------------------</t>
  </si>
  <si>
    <t>Income Before income Taxes</t>
  </si>
  <si>
    <t>Less: State Income Taxes (L4 X 5.8742%)   2/</t>
  </si>
  <si>
    <t>Income Before Federal Income Taxes</t>
  </si>
  <si>
    <t>Less: Federal income Taxes (L6 X 35.00%)</t>
  </si>
  <si>
    <t>Operating Income Percentage</t>
  </si>
  <si>
    <t>Gross Revenue Conversion Factor (100% / L8)</t>
  </si>
  <si>
    <t>===========</t>
  </si>
  <si>
    <t>ESTIMATED EXCESS ADFIT</t>
  </si>
  <si>
    <t>AS OF DECEMBER 31, 2017</t>
  </si>
  <si>
    <t>TOTAL COMPANY KPCO - FUNCTIONAL EXCESS ADIT</t>
  </si>
  <si>
    <t>Kentucky Retail- FUNCTIONAL EXCESS ADIT</t>
  </si>
  <si>
    <t>Total Functional</t>
  </si>
  <si>
    <t xml:space="preserve">Estimated </t>
  </si>
  <si>
    <t>Protected</t>
  </si>
  <si>
    <t>Unprotected</t>
  </si>
  <si>
    <t>Total</t>
  </si>
  <si>
    <t>Kentucky Power - Distribution</t>
  </si>
  <si>
    <t>Kentucky Power - Generation</t>
  </si>
  <si>
    <t>Kentucky Power - Transmission</t>
  </si>
  <si>
    <t>Total Company</t>
  </si>
  <si>
    <t>Kentucky Retail</t>
  </si>
  <si>
    <t>2018 ARAM</t>
  </si>
  <si>
    <t>Protected Amortization</t>
  </si>
  <si>
    <t>Estimated 2019 ARAM</t>
  </si>
  <si>
    <t>Estimated 2020 ARAM</t>
  </si>
  <si>
    <t>Allocation Factor</t>
  </si>
  <si>
    <t>GP Total - ADFIT allocated on this in rate case</t>
  </si>
  <si>
    <t>2019 ARAM</t>
  </si>
  <si>
    <t>2020 ARAM</t>
  </si>
  <si>
    <t>Applicable GRCF</t>
  </si>
  <si>
    <t>Revenue Credit</t>
  </si>
  <si>
    <t xml:space="preserve">Total KY Retail Unprotected G&amp;D Excess ADIT </t>
  </si>
  <si>
    <t>Kentucky Power Company</t>
  </si>
  <si>
    <t>Current Revenue</t>
  </si>
  <si>
    <t>Residential Class</t>
  </si>
  <si>
    <t>All Other</t>
  </si>
  <si>
    <t>18 Year Amortization of Unprotected</t>
  </si>
  <si>
    <t>Residential Class kWh</t>
  </si>
  <si>
    <t>All Other kWh</t>
  </si>
  <si>
    <t xml:space="preserve"> Annual Revenue Credit</t>
  </si>
  <si>
    <t xml:space="preserve"> KY Retail G&amp;D Protected ARAM</t>
  </si>
  <si>
    <t>Surcredit Rates $/kWh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</si>
  <si>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</si>
  <si>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</si>
  <si>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</si>
  <si>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</si>
  <si>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</si>
  <si>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</si>
  <si>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</si>
  <si>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</si>
  <si>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</si>
  <si>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</si>
  <si>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</si>
  <si>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</si>
  <si>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Residential Monthly kWh</t>
  </si>
  <si>
    <t>Residential Class kWh - Winter (Dec-Mar)</t>
  </si>
  <si>
    <t>Residential Class kWh - All Other (Apr-Nov)</t>
  </si>
  <si>
    <t>2019 Seasonal Collection</t>
  </si>
  <si>
    <t>2020 Seasonal Collection</t>
  </si>
  <si>
    <t>All Other Classes</t>
  </si>
  <si>
    <t>Annual kWh</t>
  </si>
  <si>
    <t>Jul - Dec kWh</t>
  </si>
  <si>
    <t>Total kWh</t>
  </si>
  <si>
    <t>RES Rev</t>
  </si>
  <si>
    <t>C&amp;I Rev</t>
  </si>
  <si>
    <t>Total Rev</t>
  </si>
  <si>
    <t xml:space="preserve"> Tariff Summary</t>
  </si>
  <si>
    <t>Tariff Summary</t>
  </si>
  <si>
    <t>Exhibit AEV - 1</t>
  </si>
  <si>
    <t>a</t>
  </si>
  <si>
    <t>b</t>
  </si>
  <si>
    <t>c = a*b</t>
  </si>
  <si>
    <t>d = c/18</t>
  </si>
  <si>
    <t>e</t>
  </si>
  <si>
    <t>f = d+e</t>
  </si>
  <si>
    <t>g</t>
  </si>
  <si>
    <t xml:space="preserve"> h</t>
  </si>
  <si>
    <t>i</t>
  </si>
  <si>
    <t>Annual Total Rate Credits</t>
  </si>
  <si>
    <t>j = f*(g/i)</t>
  </si>
  <si>
    <t>k = f*(h/i)</t>
  </si>
  <si>
    <t>Rate Credit Calculations</t>
  </si>
  <si>
    <t>2019 Annual</t>
  </si>
  <si>
    <t>2020 Annual</t>
  </si>
  <si>
    <t>2018 Over 6 Months</t>
  </si>
  <si>
    <t>2019 Seasonal Res Rate</t>
  </si>
  <si>
    <t>2020 Seasonal Res Rate</t>
  </si>
  <si>
    <t>= k/Annual kWh</t>
  </si>
  <si>
    <t>=  j/Jul-Dec kWh</t>
  </si>
  <si>
    <t>=  k/Jul-Dec kWh</t>
  </si>
  <si>
    <t>= (j-(Apr-Nov kWh *-.001))/Dec-Mar kWh</t>
  </si>
  <si>
    <t>Protected Revenue 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</si>
</sst>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0.000%"/>
    <numFmt numFmtId="166" formatCode="0.0000000"/>
    <numFmt numFmtId="167" formatCode="_(* #,##0_);_(* \(#,##0\);_(* &quot;-&quot;??_);_(@_)"/>
    <numFmt numFmtId="168" formatCode="_(&quot;$&quot;* #,##0_);_(&quot;$&quot;* \(#,##0\);_(&quot;$&quot;* &quot;-&quot;??_);_(@_)"/>
    <numFmt numFmtId="169" formatCode="_(* #,##0.00000_);_(* \(#,##0.00000\);_(* &quot;-&quot;??_);_(@_)"/>
    <numFmt numFmtId="170" formatCode="0.0%"/>
    <numFmt numFmtId="171" formatCode="_(* #,##0.0000_);_(* \(#,##0.0000\);_(* &quot;-&quot;??_);_(@_)"/>
    <numFmt numFmtId="172" formatCode="_(* #,##0.000000_);_(* \(#,##0.000000\);_(* &quot;-&quot;??_);_(@_)"/>
    <numFmt numFmtId="173" formatCode="_(&quot;$&quot;* #,##0.000000_);_(&quot;$&quot;* \(#,##0.0000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Helv"/>
    </font>
    <font>
      <b/>
      <sz val="12"/>
      <name val="Helv"/>
    </font>
    <font>
      <sz val="10"/>
      <color rgb="FF0070C0"/>
      <name val="Arial"/>
      <family val="2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id">
        <bgColor theme="0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4" fillId="0" borderId="0"/>
  </cellStyleXfs>
  <cellXfs count="87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/>
    <xf numFmtId="49" fontId="2" fillId="0" borderId="0" xfId="0" applyNumberFormat="1" applyFont="1" applyFill="1" applyAlignment="1"/>
    <xf numFmtId="0" fontId="2" fillId="0" borderId="0" xfId="0" applyFont="1" applyFill="1" applyAlignment="1">
      <alignment horizontal="right"/>
    </xf>
    <xf numFmtId="49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center" wrapText="1"/>
    </xf>
    <xf numFmtId="37" fontId="2" fillId="0" borderId="0" xfId="0" applyNumberFormat="1" applyFont="1" applyFill="1" applyAlignment="1">
      <alignment horizontal="center" wrapText="1"/>
    </xf>
    <xf numFmtId="37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/>
    <xf numFmtId="5" fontId="2" fillId="0" borderId="0" xfId="0" applyNumberFormat="1" applyFont="1" applyFill="1"/>
    <xf numFmtId="10" fontId="2" fillId="0" borderId="0" xfId="0" applyNumberFormat="1" applyFont="1" applyFill="1"/>
    <xf numFmtId="164" fontId="2" fillId="0" borderId="0" xfId="0" applyNumberFormat="1" applyFont="1" applyFill="1"/>
    <xf numFmtId="10" fontId="2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right"/>
    </xf>
    <xf numFmtId="165" fontId="2" fillId="0" borderId="0" xfId="0" applyNumberFormat="1" applyFont="1" applyFill="1"/>
    <xf numFmtId="166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0" fillId="2" borderId="0" xfId="0" applyFill="1"/>
    <xf numFmtId="37" fontId="5" fillId="2" borderId="0" xfId="4" applyNumberFormat="1" applyFont="1" applyFill="1" applyAlignment="1" applyProtection="1"/>
    <xf numFmtId="37" fontId="5" fillId="2" borderId="0" xfId="4" applyNumberFormat="1" applyFont="1" applyFill="1" applyAlignment="1" applyProtection="1">
      <alignment horizontal="center"/>
    </xf>
    <xf numFmtId="0" fontId="3" fillId="2" borderId="0" xfId="0" applyFont="1" applyFill="1" applyAlignment="1">
      <alignment horizontal="center"/>
    </xf>
    <xf numFmtId="0" fontId="0" fillId="2" borderId="5" xfId="0" applyFill="1" applyBorder="1"/>
    <xf numFmtId="0" fontId="3" fillId="2" borderId="5" xfId="0" applyFont="1" applyFill="1" applyBorder="1" applyAlignment="1">
      <alignment horizontal="center"/>
    </xf>
    <xf numFmtId="167" fontId="0" fillId="2" borderId="0" xfId="1" applyNumberFormat="1" applyFont="1" applyFill="1"/>
    <xf numFmtId="167" fontId="0" fillId="2" borderId="0" xfId="0" applyNumberFormat="1" applyFill="1"/>
    <xf numFmtId="43" fontId="0" fillId="2" borderId="0" xfId="1" applyNumberFormat="1" applyFont="1" applyFill="1"/>
    <xf numFmtId="167" fontId="0" fillId="2" borderId="6" xfId="0" applyNumberFormat="1" applyFill="1" applyBorder="1"/>
    <xf numFmtId="167" fontId="0" fillId="2" borderId="0" xfId="0" applyNumberFormat="1" applyFill="1" applyBorder="1"/>
    <xf numFmtId="0" fontId="0" fillId="3" borderId="1" xfId="0" applyFill="1" applyBorder="1"/>
    <xf numFmtId="0" fontId="0" fillId="3" borderId="2" xfId="0" applyFill="1" applyBorder="1"/>
    <xf numFmtId="167" fontId="0" fillId="3" borderId="2" xfId="0" applyNumberFormat="1" applyFill="1" applyBorder="1"/>
    <xf numFmtId="167" fontId="0" fillId="3" borderId="3" xfId="0" applyNumberFormat="1" applyFill="1" applyBorder="1"/>
    <xf numFmtId="0" fontId="0" fillId="2" borderId="0" xfId="0" applyFill="1" applyBorder="1"/>
    <xf numFmtId="43" fontId="0" fillId="2" borderId="0" xfId="0" applyNumberFormat="1" applyFill="1" applyBorder="1"/>
    <xf numFmtId="0" fontId="3" fillId="2" borderId="0" xfId="0" applyFont="1" applyFill="1" applyBorder="1" applyAlignment="1">
      <alignment horizontal="center"/>
    </xf>
    <xf numFmtId="168" fontId="3" fillId="2" borderId="0" xfId="2" applyNumberFormat="1" applyFont="1" applyFill="1" applyBorder="1" applyAlignment="1">
      <alignment horizontal="center"/>
    </xf>
    <xf numFmtId="168" fontId="0" fillId="2" borderId="0" xfId="2" applyNumberFormat="1" applyFont="1" applyFill="1" applyBorder="1"/>
    <xf numFmtId="168" fontId="3" fillId="2" borderId="4" xfId="2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vertical="center" wrapText="1"/>
    </xf>
    <xf numFmtId="167" fontId="0" fillId="2" borderId="7" xfId="0" applyNumberFormat="1" applyFill="1" applyBorder="1"/>
    <xf numFmtId="0" fontId="0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6" fillId="2" borderId="0" xfId="0" applyFont="1" applyFill="1" applyBorder="1"/>
    <xf numFmtId="0" fontId="6" fillId="2" borderId="0" xfId="0" applyFont="1" applyFill="1"/>
    <xf numFmtId="167" fontId="0" fillId="2" borderId="0" xfId="1" applyNumberFormat="1" applyFont="1" applyFill="1" applyBorder="1"/>
    <xf numFmtId="0" fontId="0" fillId="2" borderId="0" xfId="0" applyFill="1" applyBorder="1" applyAlignment="1">
      <alignment horizontal="right"/>
    </xf>
    <xf numFmtId="168" fontId="0" fillId="0" borderId="0" xfId="2" applyNumberFormat="1" applyFont="1"/>
    <xf numFmtId="169" fontId="0" fillId="0" borderId="0" xfId="1" applyNumberFormat="1" applyFont="1"/>
    <xf numFmtId="170" fontId="0" fillId="0" borderId="0" xfId="3" applyNumberFormat="1" applyFont="1"/>
    <xf numFmtId="169" fontId="0" fillId="0" borderId="4" xfId="1" applyNumberFormat="1" applyFont="1" applyBorder="1"/>
    <xf numFmtId="0" fontId="7" fillId="0" borderId="0" xfId="0" applyFont="1"/>
    <xf numFmtId="168" fontId="0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168" fontId="0" fillId="0" borderId="0" xfId="0" applyNumberFormat="1"/>
    <xf numFmtId="168" fontId="0" fillId="0" borderId="4" xfId="2" applyNumberFormat="1" applyFont="1" applyBorder="1"/>
    <xf numFmtId="168" fontId="0" fillId="0" borderId="4" xfId="0" applyNumberFormat="1" applyBorder="1"/>
    <xf numFmtId="167" fontId="0" fillId="0" borderId="0" xfId="1" applyNumberFormat="1" applyFont="1" applyBorder="1" applyAlignment="1">
      <alignment vertical="center"/>
    </xf>
    <xf numFmtId="167" fontId="0" fillId="0" borderId="0" xfId="1" applyNumberFormat="1" applyFont="1" applyBorder="1"/>
    <xf numFmtId="167" fontId="0" fillId="0" borderId="4" xfId="1" applyNumberFormat="1" applyFont="1" applyBorder="1" applyAlignment="1">
      <alignment vertical="center"/>
    </xf>
    <xf numFmtId="170" fontId="0" fillId="0" borderId="0" xfId="3" applyNumberFormat="1" applyFont="1" applyAlignment="1">
      <alignment horizontal="center"/>
    </xf>
    <xf numFmtId="167" fontId="0" fillId="0" borderId="0" xfId="1" applyNumberFormat="1" applyFont="1"/>
    <xf numFmtId="172" fontId="0" fillId="0" borderId="0" xfId="1" applyNumberFormat="1" applyFont="1"/>
    <xf numFmtId="167" fontId="0" fillId="0" borderId="0" xfId="0" applyNumberFormat="1"/>
    <xf numFmtId="171" fontId="0" fillId="0" borderId="0" xfId="0" applyNumberFormat="1"/>
    <xf numFmtId="168" fontId="0" fillId="0" borderId="0" xfId="0" applyNumberFormat="1" applyAlignment="1">
      <alignment horizontal="center"/>
    </xf>
    <xf numFmtId="0" fontId="8" fillId="0" borderId="0" xfId="0" applyFont="1"/>
    <xf numFmtId="173" fontId="0" fillId="0" borderId="0" xfId="2" applyNumberFormat="1" applyFont="1"/>
    <xf numFmtId="0" fontId="0" fillId="0" borderId="4" xfId="0" applyBorder="1"/>
    <xf numFmtId="167" fontId="0" fillId="0" borderId="4" xfId="0" applyNumberFormat="1" applyBorder="1"/>
    <xf numFmtId="173" fontId="0" fillId="0" borderId="4" xfId="2" applyNumberFormat="1" applyFont="1" applyBorder="1"/>
    <xf numFmtId="168" fontId="1" fillId="0" borderId="0" xfId="2" applyNumberFormat="1" applyFont="1" applyAlignment="1">
      <alignment horizontal="center"/>
    </xf>
    <xf numFmtId="3" fontId="0" fillId="0" borderId="0" xfId="0" applyNumberFormat="1"/>
    <xf numFmtId="3" fontId="0" fillId="0" borderId="4" xfId="0" applyNumberFormat="1" applyBorder="1"/>
    <xf numFmtId="0" fontId="0" fillId="0" borderId="4" xfId="0" applyBorder="1" applyAlignment="1">
      <alignment horizontal="center"/>
    </xf>
    <xf numFmtId="170" fontId="0" fillId="0" borderId="4" xfId="3" applyNumberFormat="1" applyFont="1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0" xfId="0" quotePrefix="1"/>
    <xf numFmtId="0" fontId="9" fillId="0" borderId="4" xfId="0" applyFont="1" applyBorder="1" applyAlignment="1">
      <alignment horizontal="center"/>
    </xf>
    <xf numFmtId="37" fontId="5" fillId="2" borderId="0" xfId="4" applyNumberFormat="1" applyFont="1" applyFill="1" applyAlignment="1" applyProtection="1">
      <alignment horizontal="center"/>
    </xf>
    <xf numFmtId="37" fontId="5" fillId="2" borderId="1" xfId="4" applyNumberFormat="1" applyFont="1" applyFill="1" applyBorder="1" applyAlignment="1" applyProtection="1">
      <alignment horizontal="center"/>
      <protection locked="0"/>
    </xf>
    <xf numFmtId="37" fontId="5" fillId="2" borderId="2" xfId="4" applyNumberFormat="1" applyFont="1" applyFill="1" applyBorder="1" applyAlignment="1" applyProtection="1">
      <alignment horizontal="center"/>
      <protection locked="0"/>
    </xf>
    <xf numFmtId="37" fontId="5" fillId="2" borderId="3" xfId="4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center" wrapText="1"/>
    </xf>
    <xf numFmtId="49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/>
  </cellXfs>
  <cellStyles count="5">
    <cellStyle name="Comma" xfId="1" builtinId="3"/>
    <cellStyle name="Currency" xfId="2" builtinId="4"/>
    <cellStyle name="Normal" xfId="0" builtinId="0"/>
    <cellStyle name="Normal_SEC Allocation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7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4" Type="http://schemas.openxmlformats.org/officeDocument/2006/relationships/worksheet" Target="worksheets/sheet4.xml" />
  <Relationship Id="rId8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topLeftCell="A16" workbookViewId="0">
      <selection activeCell="G44" sqref="G44"/>
    </sheetView>
  </sheetViews>
  <sheetFormatPr defaultRowHeight="15" x14ac:dyDescent="0.25"/>
  <cols>
    <col min="1" max="1" width="40.42578125" customWidth="1"/>
    <col min="2" max="2" width="19.5703125" style="47" bestFit="1" customWidth="1"/>
    <col min="3" max="3" width="15.5703125" style="53" customWidth="1"/>
    <col min="4" max="4" width="20.85546875" bestFit="1" customWidth="1"/>
    <col min="5" max="5" width="3" customWidth="1"/>
    <col min="6" max="6" width="21.5703125" customWidth="1"/>
    <col min="7" max="7" width="4.28515625" customWidth="1"/>
    <col min="8" max="8" width="21.28515625" customWidth="1"/>
  </cols>
  <sheetData>
    <row r="1" spans="1:8" ht="18.75" x14ac:dyDescent="0.3">
      <c r="A1" s="51" t="s">
        <v>42</v>
      </c>
    </row>
    <row r="2" spans="1:8" ht="18.75" x14ac:dyDescent="0.3">
      <c r="A2" s="51" t="s">
        <v>78</v>
      </c>
    </row>
    <row r="4" spans="1:8" x14ac:dyDescent="0.25">
      <c r="A4" t="s">
        <v>41</v>
      </c>
      <c r="B4" s="47">
        <f>(ADIT!I11+ADIT!I13)</f>
        <v>-93046231.314999998</v>
      </c>
      <c r="C4" s="53" t="s">
        <v>79</v>
      </c>
    </row>
    <row r="5" spans="1:8" x14ac:dyDescent="0.25">
      <c r="A5" t="s">
        <v>39</v>
      </c>
      <c r="B5" s="48">
        <f>GRCF!G25</f>
        <v>1.3448205099999999</v>
      </c>
      <c r="C5" s="53" t="s">
        <v>80</v>
      </c>
    </row>
    <row r="6" spans="1:8" x14ac:dyDescent="0.25">
      <c r="A6" t="s">
        <v>40</v>
      </c>
      <c r="B6" s="47">
        <f>B5*B4</f>
        <v>-125130480.25061625</v>
      </c>
      <c r="C6" s="53" t="s">
        <v>81</v>
      </c>
    </row>
    <row r="7" spans="1:8" ht="9" customHeight="1" x14ac:dyDescent="0.25"/>
    <row r="8" spans="1:8" x14ac:dyDescent="0.25">
      <c r="A8" t="s">
        <v>46</v>
      </c>
      <c r="B8" s="47">
        <f>B6/18</f>
        <v>-6951693.3472564584</v>
      </c>
      <c r="C8" s="60" t="s">
        <v>82</v>
      </c>
      <c r="E8" s="49"/>
    </row>
    <row r="9" spans="1:8" x14ac:dyDescent="0.25">
      <c r="C9" s="60"/>
      <c r="D9" s="74">
        <v>2018</v>
      </c>
      <c r="E9" s="75"/>
      <c r="F9" s="74">
        <v>2019</v>
      </c>
      <c r="G9" s="74"/>
      <c r="H9" s="74">
        <v>2020</v>
      </c>
    </row>
    <row r="10" spans="1:8" ht="15" customHeight="1" x14ac:dyDescent="0.25">
      <c r="A10" t="s">
        <v>50</v>
      </c>
      <c r="D10" s="47">
        <f>-(ADIT!H25+ADIT!H27)</f>
        <v>-2420292.75</v>
      </c>
      <c r="F10" s="47">
        <f>-(ADIT!H37+ADIT!H39)</f>
        <v>-2512544.895</v>
      </c>
      <c r="H10" s="47">
        <f>-(ADIT!H49+ADIT!H51)</f>
        <v>-2662693.37</v>
      </c>
    </row>
    <row r="11" spans="1:8" ht="15" customHeight="1" x14ac:dyDescent="0.25">
      <c r="D11" s="50">
        <f>B5</f>
        <v>1.3448205099999999</v>
      </c>
      <c r="F11" s="50">
        <f>D11</f>
        <v>1.3448205099999999</v>
      </c>
      <c r="H11" s="50">
        <f>F11</f>
        <v>1.3448205099999999</v>
      </c>
    </row>
    <row r="12" spans="1:8" ht="16.5" customHeight="1" x14ac:dyDescent="0.25">
      <c r="A12" t="s">
        <v>101</v>
      </c>
      <c r="C12" s="53" t="s">
        <v>83</v>
      </c>
      <c r="D12" s="47">
        <f>D10*D11</f>
        <v>-3254859.3304043021</v>
      </c>
      <c r="F12" s="47">
        <f>F10*F11</f>
        <v>-3378921.9070917964</v>
      </c>
      <c r="H12" s="47">
        <f>H10*H11</f>
        <v>-3580844.6558170188</v>
      </c>
    </row>
    <row r="14" spans="1:8" x14ac:dyDescent="0.25">
      <c r="A14" t="s">
        <v>49</v>
      </c>
      <c r="C14" s="53" t="s">
        <v>84</v>
      </c>
      <c r="D14" s="47">
        <f>D12+B8</f>
        <v>-10206552.67766076</v>
      </c>
      <c r="F14" s="47">
        <f>F12+B8</f>
        <v>-10330615.254348256</v>
      </c>
      <c r="H14" s="47">
        <f>H12+B8</f>
        <v>-10532538.003073476</v>
      </c>
    </row>
    <row r="17" spans="1:8" x14ac:dyDescent="0.25">
      <c r="B17" s="52" t="s">
        <v>43</v>
      </c>
    </row>
    <row r="18" spans="1:8" x14ac:dyDescent="0.25">
      <c r="A18" t="s">
        <v>44</v>
      </c>
      <c r="B18" s="47">
        <f>'kWh &amp; Revenue'!N9</f>
        <v>236006728</v>
      </c>
      <c r="C18" s="53" t="s">
        <v>85</v>
      </c>
    </row>
    <row r="19" spans="1:8" x14ac:dyDescent="0.25">
      <c r="A19" t="s">
        <v>45</v>
      </c>
      <c r="B19" s="55">
        <f>'kWh &amp; Revenue'!N10</f>
        <v>316554577</v>
      </c>
      <c r="C19" s="53" t="s">
        <v>86</v>
      </c>
    </row>
    <row r="20" spans="1:8" x14ac:dyDescent="0.25">
      <c r="A20" t="s">
        <v>25</v>
      </c>
      <c r="B20" s="47">
        <f>B19+B18</f>
        <v>552561305</v>
      </c>
      <c r="C20" s="76" t="s">
        <v>87</v>
      </c>
    </row>
    <row r="21" spans="1:8" ht="17.25" customHeight="1" x14ac:dyDescent="0.25">
      <c r="D21" s="79" t="s">
        <v>88</v>
      </c>
      <c r="E21" s="79"/>
      <c r="F21" s="79"/>
      <c r="G21" s="79"/>
      <c r="H21" s="79"/>
    </row>
    <row r="22" spans="1:8" ht="17.25" customHeight="1" x14ac:dyDescent="0.25">
      <c r="D22" s="53">
        <v>2018</v>
      </c>
      <c r="F22" s="53">
        <v>2019</v>
      </c>
      <c r="H22" s="53">
        <v>2020</v>
      </c>
    </row>
    <row r="23" spans="1:8" x14ac:dyDescent="0.25">
      <c r="A23" t="s">
        <v>44</v>
      </c>
      <c r="C23" s="53" t="s">
        <v>89</v>
      </c>
      <c r="D23" s="54">
        <f>(B18/B20)*D14</f>
        <v>-4359362.6260426519</v>
      </c>
      <c r="F23" s="54">
        <f>($B$18/$B$20)*F14</f>
        <v>-4412351.502618555</v>
      </c>
      <c r="G23" s="54"/>
      <c r="H23" s="54">
        <f>($B$18/$B$20)*H14</f>
        <v>-4498595.5569962049</v>
      </c>
    </row>
    <row r="24" spans="1:8" x14ac:dyDescent="0.25">
      <c r="A24" t="s">
        <v>45</v>
      </c>
      <c r="C24" s="53" t="s">
        <v>90</v>
      </c>
      <c r="D24" s="56">
        <f>D14-D23</f>
        <v>-5847190.0516181076</v>
      </c>
      <c r="F24" s="56">
        <f>F14-F23</f>
        <v>-5918263.7517297007</v>
      </c>
      <c r="H24" s="56">
        <f>H14-H23</f>
        <v>-6033942.4460772714</v>
      </c>
    </row>
    <row r="25" spans="1:8" x14ac:dyDescent="0.25">
      <c r="A25" t="s">
        <v>25</v>
      </c>
      <c r="D25" s="54">
        <f>D24+D23</f>
        <v>-10206552.67766076</v>
      </c>
      <c r="F25" s="54">
        <f>F24+F23</f>
        <v>-10330615.254348256</v>
      </c>
      <c r="H25" s="54">
        <f>H24+H23</f>
        <v>-10532538.003073476</v>
      </c>
    </row>
    <row r="26" spans="1:8" x14ac:dyDescent="0.25">
      <c r="D26" s="54"/>
      <c r="F26" s="54"/>
      <c r="H26" s="54"/>
    </row>
    <row r="27" spans="1:8" ht="15.75" x14ac:dyDescent="0.25">
      <c r="D27" s="79" t="s">
        <v>91</v>
      </c>
      <c r="E27" s="79"/>
      <c r="F27" s="79"/>
      <c r="G27" s="79"/>
      <c r="H27" s="79"/>
    </row>
    <row r="28" spans="1:8" x14ac:dyDescent="0.25">
      <c r="D28" s="53" t="s">
        <v>94</v>
      </c>
      <c r="E28" s="53"/>
      <c r="F28" s="65" t="s">
        <v>92</v>
      </c>
      <c r="G28" s="53"/>
      <c r="H28" s="65" t="s">
        <v>93</v>
      </c>
    </row>
    <row r="29" spans="1:8" x14ac:dyDescent="0.25">
      <c r="B29" s="52" t="s">
        <v>71</v>
      </c>
      <c r="D29" t="s">
        <v>51</v>
      </c>
      <c r="F29" t="s">
        <v>51</v>
      </c>
      <c r="H29" t="s">
        <v>51</v>
      </c>
    </row>
    <row r="30" spans="1:8" x14ac:dyDescent="0.25">
      <c r="A30" t="s">
        <v>47</v>
      </c>
      <c r="B30" s="61">
        <f>SUM('kWh &amp; Revenue'!E2:J2)</f>
        <v>907686624</v>
      </c>
      <c r="C30" s="77" t="s">
        <v>98</v>
      </c>
      <c r="D30" s="62">
        <f>ROUND(D23/B30,6)</f>
        <v>-4.803E-3</v>
      </c>
      <c r="E30" s="62"/>
      <c r="F30" s="62"/>
      <c r="G30" s="62"/>
      <c r="H30" s="62"/>
    </row>
    <row r="31" spans="1:8" x14ac:dyDescent="0.25">
      <c r="A31" t="s">
        <v>48</v>
      </c>
      <c r="B31" s="61">
        <f>SUM('kWh &amp; Revenue'!E5:J5)</f>
        <v>1834203478</v>
      </c>
      <c r="C31" s="77" t="s">
        <v>99</v>
      </c>
      <c r="D31" s="62">
        <f>ROUND(D24/B31,6)</f>
        <v>-3.1879999999999999E-3</v>
      </c>
      <c r="E31" s="62"/>
    </row>
    <row r="33" spans="1:8" ht="13.5" customHeight="1" x14ac:dyDescent="0.25">
      <c r="B33" s="71" t="s">
        <v>70</v>
      </c>
      <c r="F33" s="47"/>
      <c r="G33" s="47"/>
      <c r="H33" s="47"/>
    </row>
    <row r="34" spans="1:8" x14ac:dyDescent="0.25">
      <c r="A34" t="s">
        <v>47</v>
      </c>
      <c r="B34" s="57">
        <f>'kWh &amp; Revenue'!N2</f>
        <v>2005106410</v>
      </c>
    </row>
    <row r="35" spans="1:8" x14ac:dyDescent="0.25">
      <c r="A35" t="s">
        <v>48</v>
      </c>
      <c r="B35" s="59">
        <f>'kWh &amp; Revenue'!N5</f>
        <v>3690272791</v>
      </c>
      <c r="C35" s="77" t="s">
        <v>97</v>
      </c>
      <c r="F35" s="62">
        <f>ROUND(F24/$B$35,6)</f>
        <v>-1.604E-3</v>
      </c>
      <c r="G35" s="62"/>
      <c r="H35" s="62">
        <f>ROUND(H24/$B$35,6)</f>
        <v>-1.635E-3</v>
      </c>
    </row>
    <row r="36" spans="1:8" x14ac:dyDescent="0.25">
      <c r="A36" t="s">
        <v>25</v>
      </c>
      <c r="B36" s="58">
        <f>SUM(B34:B35)</f>
        <v>5695379201</v>
      </c>
    </row>
    <row r="37" spans="1:8" ht="9" customHeight="1" x14ac:dyDescent="0.25">
      <c r="D37" s="47"/>
    </row>
    <row r="38" spans="1:8" x14ac:dyDescent="0.25">
      <c r="D38" t="s">
        <v>67</v>
      </c>
      <c r="F38" s="53" t="s">
        <v>95</v>
      </c>
    </row>
    <row r="39" spans="1:8" x14ac:dyDescent="0.25">
      <c r="A39" t="s">
        <v>65</v>
      </c>
      <c r="B39" s="57">
        <f>'kWh &amp; Revenue'!M2+'kWh &amp; Revenue'!J2+'kWh &amp; Revenue'!K2+'kWh &amp; Revenue'!L2</f>
        <v>928363965</v>
      </c>
      <c r="D39" s="63">
        <f>D41-D40</f>
        <v>-3335609.0576185547</v>
      </c>
      <c r="F39" s="67">
        <f>ROUND(D39/B39,6)</f>
        <v>-3.5929999999999998E-3</v>
      </c>
      <c r="G39" s="78" t="s">
        <v>100</v>
      </c>
    </row>
    <row r="40" spans="1:8" x14ac:dyDescent="0.25">
      <c r="A40" t="s">
        <v>66</v>
      </c>
      <c r="B40" s="59">
        <f>SUM('kWh &amp; Revenue'!B2:I2)</f>
        <v>1076742445</v>
      </c>
      <c r="D40" s="69">
        <f>-B40*0.001</f>
        <v>-1076742.4450000001</v>
      </c>
      <c r="E40" s="68"/>
      <c r="F40" s="70">
        <f>ROUND(D40/B40,6)</f>
        <v>-1E-3</v>
      </c>
    </row>
    <row r="41" spans="1:8" x14ac:dyDescent="0.25">
      <c r="B41" s="58">
        <f>SUM(B39:B40)</f>
        <v>2005106410</v>
      </c>
      <c r="D41" s="54">
        <f>F23</f>
        <v>-4412351.502618555</v>
      </c>
      <c r="F41" s="67"/>
    </row>
    <row r="43" spans="1:8" x14ac:dyDescent="0.25">
      <c r="D43" t="s">
        <v>68</v>
      </c>
      <c r="F43" s="53" t="s">
        <v>96</v>
      </c>
    </row>
    <row r="44" spans="1:8" x14ac:dyDescent="0.25">
      <c r="A44" t="s">
        <v>65</v>
      </c>
      <c r="B44" s="57">
        <f>B39</f>
        <v>928363965</v>
      </c>
      <c r="D44" s="63">
        <f>D46-D45</f>
        <v>-3421853.1119962046</v>
      </c>
      <c r="F44" s="67">
        <f>ROUND(D44/B44,6)</f>
        <v>-3.686E-3</v>
      </c>
      <c r="G44" s="78" t="s">
        <v>100</v>
      </c>
    </row>
    <row r="45" spans="1:8" x14ac:dyDescent="0.25">
      <c r="A45" t="s">
        <v>66</v>
      </c>
      <c r="B45" s="59">
        <f>B40</f>
        <v>1076742445</v>
      </c>
      <c r="C45" s="74"/>
      <c r="D45" s="69">
        <f>-B45*0.001</f>
        <v>-1076742.4450000001</v>
      </c>
      <c r="E45" s="68"/>
      <c r="F45" s="70">
        <f>ROUND(D45/B45,6)</f>
        <v>-1E-3</v>
      </c>
    </row>
    <row r="46" spans="1:8" x14ac:dyDescent="0.25">
      <c r="B46" s="58">
        <f>SUM(B44:B45)</f>
        <v>2005106410</v>
      </c>
      <c r="D46" s="54">
        <f>H23</f>
        <v>-4498595.5569962049</v>
      </c>
      <c r="H46" s="67"/>
    </row>
  </sheetData>
  <mergeCells count="2">
    <mergeCell ref="D21:H21"/>
    <mergeCell ref="D27:H27"/>
  </mergeCells>
  <pageMargins left="0.7" right="0.7" top="0.75" bottom="0.75" header="0.3" footer="0.3"/>
  <pageSetup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workbookViewId="0">
      <selection sqref="A1:K57"/>
    </sheetView>
  </sheetViews>
  <sheetFormatPr defaultRowHeight="15" x14ac:dyDescent="0.25"/>
  <cols>
    <col min="1" max="1" width="3.5703125" style="18" bestFit="1" customWidth="1"/>
    <col min="2" max="2" width="4" style="18" bestFit="1" customWidth="1"/>
    <col min="3" max="3" width="35.140625" style="18" bestFit="1" customWidth="1"/>
    <col min="4" max="4" width="20.5703125" style="18" customWidth="1"/>
    <col min="5" max="6" width="16.7109375" style="18" customWidth="1"/>
    <col min="7" max="7" width="9.140625" style="18"/>
    <col min="8" max="8" width="21.5703125" style="18" bestFit="1" customWidth="1"/>
    <col min="9" max="9" width="20.85546875" style="18" customWidth="1"/>
    <col min="10" max="10" width="16.7109375" style="18" customWidth="1"/>
    <col min="11" max="16384" width="9.140625" style="18"/>
  </cols>
  <sheetData>
    <row r="1" spans="1:11" ht="15.75" x14ac:dyDescent="0.25">
      <c r="B1" s="80" t="s">
        <v>0</v>
      </c>
      <c r="C1" s="80"/>
      <c r="D1" s="80"/>
      <c r="H1" s="80"/>
      <c r="I1" s="80"/>
      <c r="J1" s="80"/>
    </row>
    <row r="2" spans="1:11" ht="16.5" thickBot="1" x14ac:dyDescent="0.3">
      <c r="B2" s="80" t="s">
        <v>17</v>
      </c>
      <c r="C2" s="80"/>
      <c r="D2" s="80"/>
      <c r="H2" s="19"/>
      <c r="I2" s="19"/>
      <c r="J2" s="19"/>
    </row>
    <row r="3" spans="1:11" ht="16.5" thickBot="1" x14ac:dyDescent="0.3">
      <c r="B3" s="81" t="s">
        <v>18</v>
      </c>
      <c r="C3" s="82"/>
      <c r="D3" s="83"/>
      <c r="H3" s="19"/>
      <c r="I3" s="19"/>
      <c r="J3" s="19"/>
    </row>
    <row r="4" spans="1:11" ht="15.75" x14ac:dyDescent="0.25">
      <c r="H4" s="20"/>
      <c r="I4" s="20"/>
      <c r="J4" s="20"/>
    </row>
    <row r="5" spans="1:11" ht="15.75" x14ac:dyDescent="0.25">
      <c r="H5" s="20"/>
      <c r="I5" s="20"/>
      <c r="J5" s="20"/>
    </row>
    <row r="6" spans="1:11" x14ac:dyDescent="0.25">
      <c r="D6" s="84" t="s">
        <v>19</v>
      </c>
      <c r="E6" s="84"/>
      <c r="F6" s="84"/>
      <c r="H6" s="84" t="s">
        <v>20</v>
      </c>
      <c r="I6" s="84"/>
      <c r="J6" s="84"/>
    </row>
    <row r="8" spans="1:11" x14ac:dyDescent="0.25">
      <c r="D8" s="21" t="s">
        <v>21</v>
      </c>
      <c r="E8" s="21" t="s">
        <v>21</v>
      </c>
      <c r="F8" s="21" t="s">
        <v>21</v>
      </c>
      <c r="H8" s="21" t="s">
        <v>21</v>
      </c>
      <c r="I8" s="21" t="s">
        <v>21</v>
      </c>
      <c r="J8" s="21" t="s">
        <v>21</v>
      </c>
    </row>
    <row r="9" spans="1:11" x14ac:dyDescent="0.25">
      <c r="D9" s="21" t="s">
        <v>22</v>
      </c>
      <c r="E9" s="21" t="s">
        <v>22</v>
      </c>
      <c r="F9" s="21" t="s">
        <v>22</v>
      </c>
      <c r="H9" s="21" t="s">
        <v>22</v>
      </c>
      <c r="I9" s="21" t="s">
        <v>22</v>
      </c>
      <c r="J9" s="21" t="s">
        <v>22</v>
      </c>
    </row>
    <row r="10" spans="1:11" ht="15.75" thickBot="1" x14ac:dyDescent="0.3">
      <c r="A10" s="22"/>
      <c r="B10" s="22"/>
      <c r="C10" s="22"/>
      <c r="D10" s="23" t="s">
        <v>23</v>
      </c>
      <c r="E10" s="23" t="s">
        <v>24</v>
      </c>
      <c r="F10" s="23" t="s">
        <v>25</v>
      </c>
      <c r="H10" s="23" t="s">
        <v>23</v>
      </c>
      <c r="I10" s="23" t="s">
        <v>24</v>
      </c>
      <c r="J10" s="23" t="s">
        <v>25</v>
      </c>
    </row>
    <row r="11" spans="1:11" x14ac:dyDescent="0.25">
      <c r="B11" s="18">
        <v>110</v>
      </c>
      <c r="C11" s="18" t="s">
        <v>26</v>
      </c>
      <c r="D11" s="24">
        <v>-38033924</v>
      </c>
      <c r="E11" s="24">
        <v>-17091853</v>
      </c>
      <c r="F11" s="25">
        <f>E11+D11</f>
        <v>-55125777</v>
      </c>
      <c r="H11" s="26">
        <f>D11*$H$57</f>
        <v>-37463415.140000001</v>
      </c>
      <c r="I11" s="26">
        <f>E11*$H$57</f>
        <v>-16835475.204999998</v>
      </c>
      <c r="J11" s="26">
        <f>I11+H11</f>
        <v>-54298890.344999999</v>
      </c>
    </row>
    <row r="12" spans="1:11" x14ac:dyDescent="0.25">
      <c r="D12" s="24"/>
      <c r="E12" s="24"/>
      <c r="F12" s="25"/>
      <c r="H12" s="24"/>
      <c r="I12" s="26"/>
      <c r="J12" s="26"/>
    </row>
    <row r="13" spans="1:11" ht="15.75" x14ac:dyDescent="0.25">
      <c r="B13" s="18">
        <v>117</v>
      </c>
      <c r="C13" s="18" t="s">
        <v>27</v>
      </c>
      <c r="D13" s="24">
        <v>-45444933</v>
      </c>
      <c r="E13" s="24">
        <v>-77371326</v>
      </c>
      <c r="F13" s="25">
        <f>E13+D13</f>
        <v>-122816259</v>
      </c>
      <c r="H13" s="26">
        <f>D13*$H$57</f>
        <v>-44763259.005000003</v>
      </c>
      <c r="I13" s="26">
        <f>E13*$H$57</f>
        <v>-76210756.109999999</v>
      </c>
      <c r="J13" s="26">
        <f>I13+H13</f>
        <v>-120974015.11500001</v>
      </c>
      <c r="K13" s="19"/>
    </row>
    <row r="14" spans="1:11" x14ac:dyDescent="0.25">
      <c r="D14" s="24"/>
      <c r="E14" s="24"/>
      <c r="F14" s="25"/>
      <c r="H14" s="24"/>
      <c r="I14" s="24"/>
      <c r="J14" s="26"/>
    </row>
    <row r="15" spans="1:11" x14ac:dyDescent="0.25">
      <c r="B15" s="18">
        <v>180</v>
      </c>
      <c r="C15" s="18" t="s">
        <v>28</v>
      </c>
      <c r="D15" s="24">
        <v>-31750728</v>
      </c>
      <c r="E15" s="24">
        <v>-2270247</v>
      </c>
      <c r="F15" s="25">
        <f>E15+D15</f>
        <v>-34020975</v>
      </c>
      <c r="H15" s="26">
        <f>D15*$H$57</f>
        <v>-31274467.079999998</v>
      </c>
      <c r="I15" s="26">
        <f>E15*$H$57</f>
        <v>-2236193.2949999999</v>
      </c>
      <c r="J15" s="26">
        <f>I15+H15</f>
        <v>-33510660.375</v>
      </c>
    </row>
    <row r="16" spans="1:11" x14ac:dyDescent="0.25">
      <c r="D16" s="24"/>
      <c r="E16" s="24"/>
      <c r="F16" s="25"/>
      <c r="H16" s="24"/>
      <c r="I16" s="24"/>
      <c r="J16" s="25"/>
    </row>
    <row r="18" spans="1:10" x14ac:dyDescent="0.25">
      <c r="D18" s="27">
        <f>SUM(D11:D15)</f>
        <v>-115229585</v>
      </c>
      <c r="E18" s="27">
        <f>SUM(E11:E15)</f>
        <v>-96733426</v>
      </c>
      <c r="F18" s="27">
        <f>SUM(F11:F15)</f>
        <v>-211963011</v>
      </c>
      <c r="H18" s="27">
        <f>SUM(H11:H15)</f>
        <v>-113501141.22500001</v>
      </c>
      <c r="I18" s="27">
        <f>SUM(I11:I15)</f>
        <v>-95282424.609999999</v>
      </c>
      <c r="J18" s="27">
        <f>SUM(J11:J15)</f>
        <v>-208783565.83500001</v>
      </c>
    </row>
    <row r="19" spans="1:10" ht="11.25" customHeight="1" thickBot="1" x14ac:dyDescent="0.3">
      <c r="D19" s="28"/>
      <c r="E19" s="28"/>
      <c r="F19" s="28"/>
      <c r="H19" s="28"/>
      <c r="I19" s="28"/>
      <c r="J19" s="28"/>
    </row>
    <row r="20" spans="1:10" ht="5.25" customHeight="1" thickBot="1" x14ac:dyDescent="0.3">
      <c r="A20" s="29"/>
      <c r="B20" s="30"/>
      <c r="C20" s="30"/>
      <c r="D20" s="31"/>
      <c r="E20" s="31"/>
      <c r="F20" s="31"/>
      <c r="G20" s="30"/>
      <c r="H20" s="31"/>
      <c r="I20" s="31"/>
      <c r="J20" s="32"/>
    </row>
    <row r="21" spans="1:10" x14ac:dyDescent="0.25">
      <c r="A21" s="33"/>
      <c r="B21" s="33"/>
      <c r="C21" s="33"/>
      <c r="D21" s="34"/>
      <c r="E21" s="34"/>
      <c r="F21" s="34"/>
      <c r="G21" s="33"/>
      <c r="H21" s="33"/>
    </row>
    <row r="22" spans="1:10" x14ac:dyDescent="0.25">
      <c r="A22" s="33"/>
      <c r="D22" s="35" t="s">
        <v>29</v>
      </c>
      <c r="E22" s="33"/>
      <c r="F22" s="33"/>
      <c r="G22" s="33"/>
      <c r="H22" s="35" t="s">
        <v>30</v>
      </c>
    </row>
    <row r="23" spans="1:10" x14ac:dyDescent="0.25">
      <c r="A23" s="33"/>
      <c r="D23" s="36" t="s">
        <v>31</v>
      </c>
      <c r="E23" s="37"/>
      <c r="F23" s="37"/>
      <c r="G23" s="33"/>
      <c r="H23" s="36" t="s">
        <v>31</v>
      </c>
    </row>
    <row r="24" spans="1:10" x14ac:dyDescent="0.25">
      <c r="A24" s="33"/>
      <c r="D24" s="38" t="s">
        <v>32</v>
      </c>
      <c r="E24" s="37"/>
      <c r="F24" s="37"/>
      <c r="G24" s="33"/>
      <c r="H24" s="38" t="s">
        <v>32</v>
      </c>
    </row>
    <row r="25" spans="1:10" x14ac:dyDescent="0.25">
      <c r="A25" s="33"/>
      <c r="B25" s="18">
        <v>110</v>
      </c>
      <c r="C25" s="18" t="s">
        <v>26</v>
      </c>
      <c r="D25" s="37">
        <v>1173618</v>
      </c>
      <c r="E25" s="37"/>
      <c r="F25" s="37"/>
      <c r="G25" s="33"/>
      <c r="H25" s="37">
        <f>D25*$H$57</f>
        <v>1156013.73</v>
      </c>
    </row>
    <row r="26" spans="1:10" x14ac:dyDescent="0.25">
      <c r="A26" s="33"/>
      <c r="D26" s="37"/>
      <c r="E26" s="37"/>
      <c r="F26" s="37"/>
      <c r="G26" s="33"/>
      <c r="H26" s="37"/>
    </row>
    <row r="27" spans="1:10" x14ac:dyDescent="0.25">
      <c r="A27" s="33"/>
      <c r="B27" s="18">
        <v>117</v>
      </c>
      <c r="C27" s="18" t="s">
        <v>27</v>
      </c>
      <c r="D27" s="37">
        <v>1283532</v>
      </c>
      <c r="E27" s="37"/>
      <c r="F27" s="37"/>
      <c r="G27" s="33"/>
      <c r="H27" s="37">
        <f>D27*$H$57</f>
        <v>1264279.02</v>
      </c>
    </row>
    <row r="28" spans="1:10" x14ac:dyDescent="0.25">
      <c r="A28" s="33"/>
      <c r="D28" s="33"/>
      <c r="E28" s="33"/>
      <c r="F28" s="33"/>
      <c r="G28" s="33"/>
      <c r="H28" s="33"/>
    </row>
    <row r="29" spans="1:10" x14ac:dyDescent="0.25">
      <c r="A29" s="33"/>
      <c r="B29" s="18">
        <v>180</v>
      </c>
      <c r="C29" s="18" t="s">
        <v>28</v>
      </c>
      <c r="D29" s="37">
        <v>534467</v>
      </c>
      <c r="E29" s="34"/>
      <c r="F29" s="34"/>
      <c r="G29" s="33"/>
      <c r="H29" s="37">
        <f>D29*$H$57</f>
        <v>526449.995</v>
      </c>
    </row>
    <row r="30" spans="1:10" ht="8.25" customHeight="1" x14ac:dyDescent="0.25">
      <c r="A30" s="33"/>
      <c r="B30" s="33"/>
      <c r="C30" s="33"/>
      <c r="D30" s="33"/>
      <c r="E30" s="39"/>
      <c r="F30" s="39"/>
      <c r="G30" s="33"/>
      <c r="H30" s="33"/>
    </row>
    <row r="31" spans="1:10" ht="15.75" thickBot="1" x14ac:dyDescent="0.3">
      <c r="A31" s="33"/>
      <c r="B31" s="33"/>
      <c r="C31" s="33"/>
      <c r="D31" s="40">
        <f>SUM(D25:D29)</f>
        <v>2991617</v>
      </c>
      <c r="E31" s="41"/>
      <c r="F31" s="42"/>
      <c r="G31" s="33"/>
      <c r="H31" s="40">
        <f>SUM(H25:H29)</f>
        <v>2946742.7450000001</v>
      </c>
    </row>
    <row r="32" spans="1:10" ht="15.75" thickTop="1" x14ac:dyDescent="0.25">
      <c r="A32" s="33"/>
      <c r="B32" s="33"/>
      <c r="C32" s="33"/>
      <c r="D32" s="33"/>
      <c r="E32" s="28"/>
      <c r="F32" s="28"/>
      <c r="G32" s="33"/>
      <c r="H32" s="33"/>
    </row>
    <row r="33" spans="1:8" x14ac:dyDescent="0.25">
      <c r="A33" s="33"/>
      <c r="B33" s="43"/>
      <c r="C33" s="43"/>
      <c r="E33" s="35"/>
      <c r="F33" s="35"/>
      <c r="G33" s="33"/>
    </row>
    <row r="34" spans="1:8" x14ac:dyDescent="0.25">
      <c r="A34" s="33"/>
      <c r="B34" s="44"/>
      <c r="C34" s="44"/>
      <c r="D34" s="35" t="s">
        <v>29</v>
      </c>
      <c r="E34" s="35"/>
      <c r="F34" s="35"/>
      <c r="G34" s="33"/>
      <c r="H34" s="35" t="s">
        <v>30</v>
      </c>
    </row>
    <row r="35" spans="1:8" x14ac:dyDescent="0.25">
      <c r="A35" s="33"/>
      <c r="B35" s="44"/>
      <c r="C35" s="44"/>
      <c r="D35" s="36" t="s">
        <v>33</v>
      </c>
      <c r="E35" s="45"/>
      <c r="F35" s="28"/>
      <c r="G35" s="33"/>
      <c r="H35" s="36" t="s">
        <v>37</v>
      </c>
    </row>
    <row r="36" spans="1:8" x14ac:dyDescent="0.25">
      <c r="A36" s="33"/>
      <c r="B36" s="44"/>
      <c r="C36" s="44"/>
      <c r="D36" s="38" t="s">
        <v>32</v>
      </c>
      <c r="E36" s="45"/>
      <c r="F36" s="28"/>
      <c r="G36" s="33"/>
      <c r="H36" s="38" t="s">
        <v>32</v>
      </c>
    </row>
    <row r="37" spans="1:8" x14ac:dyDescent="0.25">
      <c r="A37" s="33"/>
      <c r="B37" s="18">
        <v>110</v>
      </c>
      <c r="C37" s="18" t="s">
        <v>26</v>
      </c>
      <c r="D37" s="37">
        <v>1241779</v>
      </c>
      <c r="E37" s="45"/>
      <c r="F37" s="28"/>
      <c r="G37" s="33"/>
      <c r="H37" s="37">
        <f>D37*$H$57</f>
        <v>1223152.3149999999</v>
      </c>
    </row>
    <row r="38" spans="1:8" x14ac:dyDescent="0.25">
      <c r="A38" s="33"/>
      <c r="D38" s="37"/>
      <c r="E38" s="45"/>
      <c r="F38" s="28"/>
      <c r="G38" s="33"/>
      <c r="H38" s="37"/>
    </row>
    <row r="39" spans="1:8" x14ac:dyDescent="0.25">
      <c r="A39" s="33"/>
      <c r="B39" s="18">
        <v>117</v>
      </c>
      <c r="C39" s="18" t="s">
        <v>27</v>
      </c>
      <c r="D39" s="37">
        <v>1309028</v>
      </c>
      <c r="E39" s="45"/>
      <c r="F39" s="28"/>
      <c r="G39" s="33"/>
      <c r="H39" s="37">
        <f>D39*$H$57</f>
        <v>1289392.58</v>
      </c>
    </row>
    <row r="40" spans="1:8" x14ac:dyDescent="0.25">
      <c r="A40" s="33"/>
      <c r="D40" s="33"/>
      <c r="E40" s="45"/>
      <c r="F40" s="28"/>
      <c r="G40" s="33"/>
      <c r="H40" s="33"/>
    </row>
    <row r="41" spans="1:8" x14ac:dyDescent="0.25">
      <c r="A41" s="33"/>
      <c r="B41" s="18">
        <v>180</v>
      </c>
      <c r="C41" s="18" t="s">
        <v>28</v>
      </c>
      <c r="D41" s="37">
        <v>616793</v>
      </c>
      <c r="E41" s="33"/>
      <c r="F41" s="33"/>
      <c r="G41" s="33"/>
      <c r="H41" s="37">
        <f>D41*$H$57</f>
        <v>607541.10499999998</v>
      </c>
    </row>
    <row r="42" spans="1:8" x14ac:dyDescent="0.25">
      <c r="A42" s="33"/>
      <c r="B42" s="43"/>
      <c r="C42" s="43"/>
      <c r="D42" s="33"/>
      <c r="E42" s="28"/>
      <c r="F42" s="28"/>
      <c r="G42" s="33"/>
      <c r="H42" s="33"/>
    </row>
    <row r="43" spans="1:8" ht="15.75" thickBot="1" x14ac:dyDescent="0.3">
      <c r="A43" s="33"/>
      <c r="B43" s="43"/>
      <c r="C43" s="43"/>
      <c r="D43" s="40">
        <f>SUM(D37:D41)</f>
        <v>3167600</v>
      </c>
      <c r="E43" s="33"/>
      <c r="F43" s="33"/>
      <c r="G43" s="33"/>
      <c r="H43" s="40">
        <f>SUM(H37:H41)</f>
        <v>3120086</v>
      </c>
    </row>
    <row r="44" spans="1:8" ht="15.75" thickTop="1" x14ac:dyDescent="0.25">
      <c r="A44" s="33"/>
      <c r="B44" s="43"/>
      <c r="C44" s="43"/>
      <c r="D44" s="33"/>
      <c r="E44" s="33"/>
      <c r="F44" s="33"/>
      <c r="G44" s="33"/>
      <c r="H44" s="33"/>
    </row>
    <row r="45" spans="1:8" x14ac:dyDescent="0.25">
      <c r="A45" s="33"/>
      <c r="B45" s="43"/>
      <c r="C45" s="43"/>
      <c r="D45" s="33"/>
      <c r="E45" s="33"/>
      <c r="F45" s="33"/>
      <c r="G45" s="33"/>
      <c r="H45" s="33"/>
    </row>
    <row r="46" spans="1:8" x14ac:dyDescent="0.25">
      <c r="A46" s="33"/>
      <c r="B46" s="44"/>
      <c r="C46" s="44"/>
      <c r="D46" s="35" t="s">
        <v>29</v>
      </c>
      <c r="E46" s="33"/>
      <c r="F46" s="33"/>
      <c r="G46" s="33"/>
      <c r="H46" s="35" t="s">
        <v>30</v>
      </c>
    </row>
    <row r="47" spans="1:8" x14ac:dyDescent="0.25">
      <c r="A47" s="33"/>
      <c r="B47" s="44"/>
      <c r="C47" s="44"/>
      <c r="D47" s="36" t="s">
        <v>34</v>
      </c>
      <c r="E47" s="33"/>
      <c r="F47" s="33"/>
      <c r="G47" s="33"/>
      <c r="H47" s="36" t="s">
        <v>38</v>
      </c>
    </row>
    <row r="48" spans="1:8" x14ac:dyDescent="0.25">
      <c r="A48" s="33"/>
      <c r="B48" s="44"/>
      <c r="C48" s="44"/>
      <c r="D48" s="38" t="s">
        <v>32</v>
      </c>
      <c r="E48" s="33"/>
      <c r="F48" s="33"/>
      <c r="G48" s="33"/>
      <c r="H48" s="38" t="s">
        <v>32</v>
      </c>
    </row>
    <row r="49" spans="1:9" x14ac:dyDescent="0.25">
      <c r="A49" s="33"/>
      <c r="B49" s="18">
        <v>110</v>
      </c>
      <c r="C49" s="18" t="s">
        <v>26</v>
      </c>
      <c r="D49" s="37">
        <v>1357129</v>
      </c>
      <c r="E49" s="33"/>
      <c r="F49" s="33"/>
      <c r="G49" s="33"/>
      <c r="H49" s="37">
        <f>D49*$H$57</f>
        <v>1336772.0649999999</v>
      </c>
    </row>
    <row r="50" spans="1:9" x14ac:dyDescent="0.25">
      <c r="D50" s="37"/>
      <c r="H50" s="37"/>
    </row>
    <row r="51" spans="1:9" x14ac:dyDescent="0.25">
      <c r="B51" s="18">
        <v>117</v>
      </c>
      <c r="C51" s="18" t="s">
        <v>27</v>
      </c>
      <c r="D51" s="37">
        <v>1346113</v>
      </c>
      <c r="H51" s="37">
        <f>D51*$H$57</f>
        <v>1325921.3049999999</v>
      </c>
    </row>
    <row r="52" spans="1:9" x14ac:dyDescent="0.25">
      <c r="D52" s="33"/>
      <c r="H52" s="33"/>
    </row>
    <row r="53" spans="1:9" x14ac:dyDescent="0.25">
      <c r="B53" s="18">
        <v>180</v>
      </c>
      <c r="C53" s="18" t="s">
        <v>28</v>
      </c>
      <c r="D53" s="37">
        <v>704109</v>
      </c>
      <c r="H53" s="37">
        <f>D53*$H$57</f>
        <v>693547.36499999999</v>
      </c>
    </row>
    <row r="54" spans="1:9" x14ac:dyDescent="0.25">
      <c r="B54" s="43"/>
      <c r="C54" s="43"/>
      <c r="D54" s="33"/>
      <c r="H54" s="33"/>
    </row>
    <row r="55" spans="1:9" ht="15.75" thickBot="1" x14ac:dyDescent="0.3">
      <c r="B55" s="43"/>
      <c r="C55" s="43"/>
      <c r="D55" s="40">
        <f>SUM(D49:D53)</f>
        <v>3407351</v>
      </c>
      <c r="H55" s="40">
        <f>SUM(H49:H53)</f>
        <v>3356240.7350000003</v>
      </c>
    </row>
    <row r="56" spans="1:9" ht="15.75" thickTop="1" x14ac:dyDescent="0.25">
      <c r="B56" s="44"/>
      <c r="C56" s="44"/>
      <c r="D56" s="44"/>
    </row>
    <row r="57" spans="1:9" x14ac:dyDescent="0.25">
      <c r="G57" s="46" t="s">
        <v>35</v>
      </c>
      <c r="H57" s="18">
        <v>0.98499999999999999</v>
      </c>
      <c r="I57" s="18" t="s">
        <v>36</v>
      </c>
    </row>
  </sheetData>
  <mergeCells count="6">
    <mergeCell ref="B1:D1"/>
    <mergeCell ref="H1:J1"/>
    <mergeCell ref="B2:D2"/>
    <mergeCell ref="B3:D3"/>
    <mergeCell ref="D6:F6"/>
    <mergeCell ref="H6:J6"/>
  </mergeCells>
  <pageMargins left="0.7" right="0.7" top="0.75" bottom="0.75" header="0.3" footer="0.3"/>
  <pageSetup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workbookViewId="0">
      <selection activeCell="M7" sqref="M7"/>
    </sheetView>
  </sheetViews>
  <sheetFormatPr defaultRowHeight="12.75" x14ac:dyDescent="0.2"/>
  <cols>
    <col min="1" max="1" width="4.42578125" style="1" bestFit="1" customWidth="1"/>
    <col min="2" max="2" width="2.28515625" style="2" customWidth="1"/>
    <col min="3" max="3" width="42.5703125" style="2" bestFit="1" customWidth="1"/>
    <col min="4" max="4" width="8.7109375" style="9" customWidth="1"/>
    <col min="5" max="5" width="10.28515625" style="2" bestFit="1" customWidth="1"/>
    <col min="6" max="6" width="2.28515625" style="2" customWidth="1"/>
    <col min="7" max="7" width="20.42578125" style="2" bestFit="1" customWidth="1"/>
    <col min="8" max="8" width="2.28515625" style="2" customWidth="1"/>
    <col min="9" max="16384" width="9.140625" style="2"/>
  </cols>
  <sheetData>
    <row r="1" spans="1:7" x14ac:dyDescent="0.2">
      <c r="C1" s="85" t="s">
        <v>0</v>
      </c>
      <c r="D1" s="86"/>
      <c r="E1" s="86"/>
      <c r="F1" s="3"/>
      <c r="G1" s="4"/>
    </row>
    <row r="2" spans="1:7" x14ac:dyDescent="0.2">
      <c r="C2" s="85" t="s">
        <v>1</v>
      </c>
      <c r="D2" s="86"/>
      <c r="E2" s="86"/>
      <c r="F2" s="3"/>
      <c r="G2" s="4"/>
    </row>
    <row r="3" spans="1:7" x14ac:dyDescent="0.2">
      <c r="C3" s="85" t="s">
        <v>2</v>
      </c>
      <c r="D3" s="86"/>
      <c r="E3" s="86"/>
      <c r="F3" s="3"/>
      <c r="G3" s="4"/>
    </row>
    <row r="4" spans="1:7" x14ac:dyDescent="0.2">
      <c r="C4" s="85"/>
      <c r="D4" s="86"/>
      <c r="E4" s="86"/>
      <c r="F4" s="3"/>
    </row>
    <row r="5" spans="1:7" x14ac:dyDescent="0.2">
      <c r="D5" s="5"/>
    </row>
    <row r="6" spans="1:7" ht="38.25" x14ac:dyDescent="0.2">
      <c r="A6" s="6" t="s">
        <v>3</v>
      </c>
      <c r="C6" s="1" t="s">
        <v>4</v>
      </c>
      <c r="D6" s="5"/>
      <c r="E6" s="6"/>
      <c r="F6" s="6"/>
      <c r="G6" s="6" t="s">
        <v>5</v>
      </c>
    </row>
    <row r="7" spans="1:7" x14ac:dyDescent="0.2">
      <c r="A7" s="7">
        <v>-1</v>
      </c>
      <c r="C7" s="8">
        <f>+A7-1</f>
        <v>-2</v>
      </c>
      <c r="D7" s="5"/>
      <c r="E7" s="8"/>
      <c r="F7" s="8"/>
      <c r="G7" s="8">
        <f>+C7-1</f>
        <v>-3</v>
      </c>
    </row>
    <row r="8" spans="1:7" x14ac:dyDescent="0.2">
      <c r="A8" s="8"/>
    </row>
    <row r="9" spans="1:7" x14ac:dyDescent="0.2">
      <c r="A9" s="8">
        <v>1</v>
      </c>
      <c r="C9" s="2" t="s">
        <v>6</v>
      </c>
      <c r="E9" s="10"/>
      <c r="F9" s="10"/>
      <c r="G9" s="11">
        <v>1</v>
      </c>
    </row>
    <row r="10" spans="1:7" x14ac:dyDescent="0.2">
      <c r="A10" s="8"/>
      <c r="E10" s="10"/>
      <c r="F10" s="10"/>
      <c r="G10" s="11"/>
    </row>
    <row r="11" spans="1:7" x14ac:dyDescent="0.2">
      <c r="A11" s="8">
        <f>+A9+1</f>
        <v>2</v>
      </c>
      <c r="C11" s="2" t="s">
        <v>7</v>
      </c>
      <c r="E11" s="10"/>
      <c r="F11" s="10"/>
      <c r="G11" s="12">
        <v>0</v>
      </c>
    </row>
    <row r="12" spans="1:7" x14ac:dyDescent="0.2">
      <c r="A12" s="8">
        <f>+A11+1</f>
        <v>3</v>
      </c>
      <c r="C12" s="2" t="s">
        <v>8</v>
      </c>
      <c r="E12" s="10"/>
      <c r="F12" s="10"/>
      <c r="G12" s="12">
        <v>0</v>
      </c>
    </row>
    <row r="13" spans="1:7" x14ac:dyDescent="0.2">
      <c r="A13" s="8"/>
      <c r="E13" s="10"/>
      <c r="F13" s="10"/>
      <c r="G13" s="13" t="s">
        <v>9</v>
      </c>
    </row>
    <row r="14" spans="1:7" x14ac:dyDescent="0.2">
      <c r="A14" s="8">
        <f>+A12+1</f>
        <v>4</v>
      </c>
      <c r="C14" s="2" t="s">
        <v>10</v>
      </c>
      <c r="E14" s="10"/>
      <c r="F14" s="10"/>
      <c r="G14" s="12">
        <f>+G9-G11-G12</f>
        <v>1</v>
      </c>
    </row>
    <row r="15" spans="1:7" x14ac:dyDescent="0.2">
      <c r="A15" s="8"/>
      <c r="E15" s="14"/>
      <c r="F15" s="14"/>
      <c r="G15" s="13"/>
    </row>
    <row r="16" spans="1:7" x14ac:dyDescent="0.2">
      <c r="A16" s="8">
        <f>+A14+1</f>
        <v>5</v>
      </c>
      <c r="C16" s="2" t="s">
        <v>11</v>
      </c>
      <c r="E16" s="11">
        <v>5.8742210000000003E-2</v>
      </c>
      <c r="F16" s="12"/>
      <c r="G16" s="15">
        <f>G14*E16</f>
        <v>5.8742210000000003E-2</v>
      </c>
    </row>
    <row r="17" spans="1:7" x14ac:dyDescent="0.2">
      <c r="A17" s="8"/>
      <c r="E17" s="14"/>
      <c r="F17" s="14"/>
      <c r="G17" s="13" t="s">
        <v>9</v>
      </c>
    </row>
    <row r="18" spans="1:7" x14ac:dyDescent="0.2">
      <c r="A18" s="8"/>
      <c r="E18" s="14"/>
      <c r="F18" s="14"/>
      <c r="G18" s="13"/>
    </row>
    <row r="19" spans="1:7" x14ac:dyDescent="0.2">
      <c r="A19" s="8">
        <f>+A16+1</f>
        <v>6</v>
      </c>
      <c r="C19" s="2" t="s">
        <v>12</v>
      </c>
      <c r="E19" s="10"/>
      <c r="F19" s="10"/>
      <c r="G19" s="12">
        <f>+G14-G16</f>
        <v>0.94125778999999998</v>
      </c>
    </row>
    <row r="20" spans="1:7" x14ac:dyDescent="0.2">
      <c r="A20" s="8"/>
      <c r="E20" s="14"/>
      <c r="F20" s="14"/>
      <c r="G20" s="13"/>
    </row>
    <row r="21" spans="1:7" x14ac:dyDescent="0.2">
      <c r="A21" s="8">
        <f>+A19+1</f>
        <v>7</v>
      </c>
      <c r="C21" s="2" t="s">
        <v>13</v>
      </c>
      <c r="E21" s="11">
        <v>0.21</v>
      </c>
      <c r="F21" s="11"/>
      <c r="G21" s="12">
        <f>G19*E21</f>
        <v>0.19766413589999998</v>
      </c>
    </row>
    <row r="22" spans="1:7" x14ac:dyDescent="0.2">
      <c r="A22" s="8"/>
      <c r="E22" s="10"/>
      <c r="F22" s="10"/>
      <c r="G22" s="11"/>
    </row>
    <row r="23" spans="1:7" x14ac:dyDescent="0.2">
      <c r="A23" s="8">
        <f>+A21+1</f>
        <v>8</v>
      </c>
      <c r="C23" s="2" t="s">
        <v>14</v>
      </c>
      <c r="E23" s="10"/>
      <c r="F23" s="10"/>
      <c r="G23" s="12">
        <f>+G19-G21</f>
        <v>0.7435936541</v>
      </c>
    </row>
    <row r="24" spans="1:7" x14ac:dyDescent="0.2">
      <c r="A24" s="8"/>
      <c r="E24" s="10"/>
      <c r="F24" s="10"/>
      <c r="G24" s="13" t="s">
        <v>9</v>
      </c>
    </row>
    <row r="25" spans="1:7" x14ac:dyDescent="0.2">
      <c r="A25" s="8">
        <f>+A23+1</f>
        <v>9</v>
      </c>
      <c r="C25" s="2" t="s">
        <v>15</v>
      </c>
      <c r="E25" s="10"/>
      <c r="F25" s="10"/>
      <c r="G25" s="16">
        <f>ROUND(100/G23/100,8)</f>
        <v>1.3448205099999999</v>
      </c>
    </row>
    <row r="26" spans="1:7" x14ac:dyDescent="0.2">
      <c r="A26" s="8"/>
      <c r="E26" s="10"/>
      <c r="F26" s="10"/>
      <c r="G26" s="13" t="s">
        <v>16</v>
      </c>
    </row>
    <row r="27" spans="1:7" x14ac:dyDescent="0.2">
      <c r="A27" s="8"/>
      <c r="E27" s="10"/>
      <c r="F27" s="10"/>
    </row>
    <row r="28" spans="1:7" x14ac:dyDescent="0.2">
      <c r="A28" s="8"/>
      <c r="E28" s="10"/>
      <c r="F28" s="10"/>
    </row>
    <row r="29" spans="1:7" x14ac:dyDescent="0.2">
      <c r="A29" s="17"/>
      <c r="E29" s="11"/>
      <c r="F29" s="11"/>
      <c r="G29" s="11"/>
    </row>
    <row r="30" spans="1:7" x14ac:dyDescent="0.2">
      <c r="E30" s="11"/>
      <c r="F30" s="11"/>
      <c r="G30" s="11"/>
    </row>
    <row r="31" spans="1:7" x14ac:dyDescent="0.2">
      <c r="E31" s="11"/>
      <c r="F31" s="11"/>
      <c r="G31" s="11"/>
    </row>
    <row r="32" spans="1:7" x14ac:dyDescent="0.2">
      <c r="E32" s="11"/>
      <c r="F32" s="11"/>
      <c r="G32" s="11"/>
    </row>
    <row r="33" spans="5:7" x14ac:dyDescent="0.2">
      <c r="E33" s="11"/>
      <c r="F33" s="11"/>
      <c r="G33" s="11"/>
    </row>
    <row r="34" spans="5:7" x14ac:dyDescent="0.2">
      <c r="E34" s="11"/>
      <c r="F34" s="11"/>
      <c r="G34" s="11"/>
    </row>
    <row r="35" spans="5:7" x14ac:dyDescent="0.2">
      <c r="E35" s="11"/>
      <c r="F35" s="11"/>
      <c r="G35" s="11"/>
    </row>
    <row r="36" spans="5:7" x14ac:dyDescent="0.2">
      <c r="E36" s="11"/>
      <c r="F36" s="11"/>
      <c r="G36" s="11"/>
    </row>
    <row r="37" spans="5:7" x14ac:dyDescent="0.2">
      <c r="E37" s="11"/>
      <c r="F37" s="11"/>
      <c r="G37" s="11"/>
    </row>
    <row r="38" spans="5:7" x14ac:dyDescent="0.2">
      <c r="E38" s="11"/>
      <c r="F38" s="11"/>
      <c r="G38" s="11"/>
    </row>
    <row r="39" spans="5:7" x14ac:dyDescent="0.2">
      <c r="E39" s="11"/>
      <c r="F39" s="11"/>
      <c r="G39" s="11"/>
    </row>
    <row r="40" spans="5:7" x14ac:dyDescent="0.2">
      <c r="E40" s="11"/>
      <c r="F40" s="11"/>
      <c r="G40" s="11"/>
    </row>
  </sheetData>
  <mergeCells count="4">
    <mergeCell ref="C1:E1"/>
    <mergeCell ref="C2:E2"/>
    <mergeCell ref="C3:E3"/>
    <mergeCell ref="C4:E4"/>
  </mergeCells>
  <pageMargins left="0.7" right="0.7" top="0.75" bottom="0.75" header="0.3" footer="0.3"/>
  <pageSetup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workbookViewId="0">
      <selection sqref="A1:N11"/>
    </sheetView>
  </sheetViews>
  <sheetFormatPr defaultRowHeight="15" x14ac:dyDescent="0.25"/>
  <cols>
    <col min="1" max="1" width="25.7109375" bestFit="1" customWidth="1"/>
    <col min="2" max="13" width="15.140625" customWidth="1"/>
    <col min="14" max="14" width="16.85546875" bestFit="1" customWidth="1"/>
  </cols>
  <sheetData>
    <row r="1" spans="1:15" x14ac:dyDescent="0.25">
      <c r="A1" s="66" t="s">
        <v>64</v>
      </c>
      <c r="B1" s="53" t="s">
        <v>53</v>
      </c>
      <c r="C1" s="53" t="s">
        <v>54</v>
      </c>
      <c r="D1" s="53" t="s">
        <v>55</v>
      </c>
      <c r="E1" s="53" t="s">
        <v>56</v>
      </c>
      <c r="F1" s="53" t="s">
        <v>57</v>
      </c>
      <c r="G1" s="53" t="s">
        <v>58</v>
      </c>
      <c r="H1" s="53" t="s">
        <v>59</v>
      </c>
      <c r="I1" s="53" t="s">
        <v>60</v>
      </c>
      <c r="J1" s="53" t="s">
        <v>61</v>
      </c>
      <c r="K1" s="53" t="s">
        <v>62</v>
      </c>
      <c r="L1" s="53" t="s">
        <v>63</v>
      </c>
      <c r="M1" s="53" t="s">
        <v>52</v>
      </c>
      <c r="N1" s="53" t="s">
        <v>25</v>
      </c>
    </row>
    <row r="2" spans="1:15" x14ac:dyDescent="0.25">
      <c r="A2" t="s">
        <v>76</v>
      </c>
      <c r="B2" s="61">
        <v>139611685</v>
      </c>
      <c r="C2" s="61">
        <v>110133894</v>
      </c>
      <c r="D2" s="61">
        <v>126633141</v>
      </c>
      <c r="E2" s="61">
        <v>157470184</v>
      </c>
      <c r="F2" s="61">
        <v>160846868</v>
      </c>
      <c r="G2" s="61">
        <v>137341704</v>
      </c>
      <c r="H2" s="61">
        <v>116319001</v>
      </c>
      <c r="I2" s="61">
        <v>128385968</v>
      </c>
      <c r="J2" s="61">
        <v>207322899</v>
      </c>
      <c r="K2" s="61">
        <v>306295049</v>
      </c>
      <c r="L2" s="61">
        <v>244650159</v>
      </c>
      <c r="M2" s="61">
        <v>170095858</v>
      </c>
      <c r="N2" s="61">
        <f>SUM(B2:M2)</f>
        <v>2005106410</v>
      </c>
      <c r="O2" s="64"/>
    </row>
    <row r="3" spans="1:15" x14ac:dyDescent="0.25">
      <c r="N3" s="63"/>
    </row>
    <row r="4" spans="1:15" x14ac:dyDescent="0.25">
      <c r="A4" s="66" t="s">
        <v>69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 t="s">
        <v>25</v>
      </c>
    </row>
    <row r="5" spans="1:15" x14ac:dyDescent="0.25">
      <c r="A5" t="s">
        <v>77</v>
      </c>
      <c r="B5" s="61">
        <v>297714277</v>
      </c>
      <c r="C5" s="61">
        <v>283482942</v>
      </c>
      <c r="D5" s="61">
        <v>310052531</v>
      </c>
      <c r="E5" s="61">
        <v>311095107</v>
      </c>
      <c r="F5" s="61">
        <v>314801768</v>
      </c>
      <c r="G5" s="61">
        <v>295499900</v>
      </c>
      <c r="H5" s="61">
        <v>297105404</v>
      </c>
      <c r="I5" s="61">
        <v>287344289</v>
      </c>
      <c r="J5" s="61">
        <v>328357010</v>
      </c>
      <c r="K5" s="61">
        <v>348377100</v>
      </c>
      <c r="L5" s="61">
        <v>313419321</v>
      </c>
      <c r="M5" s="61">
        <v>303023142</v>
      </c>
      <c r="N5" s="61">
        <f>SUM(B5:M5)</f>
        <v>3690272791</v>
      </c>
      <c r="O5" s="64"/>
    </row>
    <row r="6" spans="1:15" x14ac:dyDescent="0.25">
      <c r="N6" s="63"/>
    </row>
    <row r="7" spans="1:15" x14ac:dyDescent="0.25">
      <c r="A7" t="s">
        <v>72</v>
      </c>
      <c r="B7" s="72">
        <v>437325962</v>
      </c>
      <c r="C7" s="72">
        <v>393616836</v>
      </c>
      <c r="D7" s="72">
        <v>436685672</v>
      </c>
      <c r="E7" s="72">
        <v>468565291</v>
      </c>
      <c r="F7" s="72">
        <v>475648636</v>
      </c>
      <c r="G7" s="72">
        <v>432841604</v>
      </c>
      <c r="H7" s="72">
        <v>413424405</v>
      </c>
      <c r="I7" s="72">
        <v>415730257</v>
      </c>
      <c r="J7" s="72">
        <v>535679909</v>
      </c>
      <c r="K7" s="72">
        <v>654672149</v>
      </c>
      <c r="L7" s="72">
        <v>558069480</v>
      </c>
      <c r="M7" s="72">
        <v>473119000</v>
      </c>
      <c r="N7" s="61">
        <f>SUM(B7:M7)</f>
        <v>5695379201</v>
      </c>
    </row>
    <row r="8" spans="1:15" x14ac:dyDescent="0.25"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9" spans="1:15" x14ac:dyDescent="0.25">
      <c r="A9" t="s">
        <v>73</v>
      </c>
      <c r="B9" s="72">
        <v>17112497</v>
      </c>
      <c r="C9" s="72">
        <v>13738866</v>
      </c>
      <c r="D9" s="72">
        <v>15682580</v>
      </c>
      <c r="E9" s="72">
        <v>18312050</v>
      </c>
      <c r="F9" s="72">
        <v>18837040</v>
      </c>
      <c r="G9" s="72">
        <v>16441857</v>
      </c>
      <c r="H9" s="72">
        <v>13908912</v>
      </c>
      <c r="I9" s="72">
        <v>15522872</v>
      </c>
      <c r="J9" s="72">
        <v>23463906</v>
      </c>
      <c r="K9" s="72">
        <v>33493389</v>
      </c>
      <c r="L9" s="72">
        <v>28897220</v>
      </c>
      <c r="M9" s="72">
        <v>20595539</v>
      </c>
      <c r="N9" s="72">
        <f t="shared" ref="N9:N10" si="0">SUM(B9:M9)</f>
        <v>236006728</v>
      </c>
    </row>
    <row r="10" spans="1:15" x14ac:dyDescent="0.25">
      <c r="A10" t="s">
        <v>74</v>
      </c>
      <c r="B10" s="73">
        <f>B11-B9</f>
        <v>26212181</v>
      </c>
      <c r="C10" s="73">
        <f t="shared" ref="C10:J10" si="1">C11-C9</f>
        <v>25562607</v>
      </c>
      <c r="D10" s="73">
        <f t="shared" si="1"/>
        <v>26986830</v>
      </c>
      <c r="E10" s="73">
        <f t="shared" si="1"/>
        <v>26249944</v>
      </c>
      <c r="F10" s="73">
        <f t="shared" si="1"/>
        <v>26490964</v>
      </c>
      <c r="G10" s="73">
        <f t="shared" si="1"/>
        <v>25685253</v>
      </c>
      <c r="H10" s="73">
        <f t="shared" si="1"/>
        <v>24865507</v>
      </c>
      <c r="I10" s="73">
        <f t="shared" si="1"/>
        <v>24469977</v>
      </c>
      <c r="J10" s="73">
        <f t="shared" si="1"/>
        <v>26298008</v>
      </c>
      <c r="K10" s="73">
        <f>K11-K9</f>
        <v>27885444</v>
      </c>
      <c r="L10" s="73">
        <f t="shared" ref="L10:M10" si="2">L11-L9</f>
        <v>28850192</v>
      </c>
      <c r="M10" s="73">
        <f t="shared" si="2"/>
        <v>26997670</v>
      </c>
      <c r="N10" s="72">
        <f t="shared" si="0"/>
        <v>316554577</v>
      </c>
    </row>
    <row r="11" spans="1:15" x14ac:dyDescent="0.25">
      <c r="A11" t="s">
        <v>75</v>
      </c>
      <c r="B11" s="72">
        <v>43324678</v>
      </c>
      <c r="C11" s="72">
        <v>39301473</v>
      </c>
      <c r="D11" s="72">
        <v>42669410</v>
      </c>
      <c r="E11" s="72">
        <v>44561994</v>
      </c>
      <c r="F11" s="72">
        <v>45328004</v>
      </c>
      <c r="G11" s="72">
        <v>42127110</v>
      </c>
      <c r="H11" s="72">
        <v>38774419</v>
      </c>
      <c r="I11" s="72">
        <v>39992849</v>
      </c>
      <c r="J11" s="72">
        <v>49761914</v>
      </c>
      <c r="K11" s="72">
        <v>61378833</v>
      </c>
      <c r="L11" s="72">
        <v>57747412</v>
      </c>
      <c r="M11" s="72">
        <v>47593209</v>
      </c>
      <c r="N11" s="72">
        <f>SUM(B11:M11)</f>
        <v>552561305</v>
      </c>
    </row>
  </sheetData>
  <pageMargins left="0.7" right="0.7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Allocation &amp; Rates</vt:lpstr>
      <vt:lpstr>ADIT</vt:lpstr>
      <vt:lpstr>GRCF</vt:lpstr>
      <vt:lpstr>kWh &amp; Revenue</vt:lpstr>
      <vt:lpstr>ADIT!Print_Area</vt:lpstr>
      <vt:lpstr>'Allocation &amp; Rates'!Print_Area</vt:lpstr>
      <vt:lpstr>GRCF!Print_Area</vt:lpstr>
      <vt:lpstr>'kWh &amp; Revenue'!Print_Area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