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80" windowWidth="14940" windowHeight="9165" tabRatio="855"/>
  </bookViews>
  <sheets>
    <sheet name="1-SUMMARY (AS FILED)" sheetId="58" r:id="rId1"/>
    <sheet name="2-UPDATED TAX RATE IMPACT" sheetId="59" r:id="rId2"/>
    <sheet name="3-UPDATED COST OF DEBT IMPACT" sheetId="60" r:id="rId3"/>
    <sheet name="4-SUMMARY (UPDATED)" sheetId="22" r:id="rId4"/>
    <sheet name="5-TCJA CAP IMPACT" sheetId="53" r:id="rId5"/>
    <sheet name="6-OTHER CAP IMPACT" sheetId="55" r:id="rId6"/>
    <sheet name="7-COST OF DEBT IMPACT" sheetId="54" r:id="rId7"/>
    <sheet name="SUPPORT&gt;&gt;&gt;" sheetId="7" r:id="rId8"/>
    <sheet name="Cost of Capital (21%)" sheetId="29" r:id="rId9"/>
    <sheet name="Cost of Capital (21%) (FILED)" sheetId="57" r:id="rId10"/>
    <sheet name="Cost of Capital Adj" sheetId="40" r:id="rId11"/>
    <sheet name="CapTable" sheetId="52" r:id="rId12"/>
    <sheet name="ST Debt" sheetId="43" r:id="rId13"/>
    <sheet name="LT Debt " sheetId="44" r:id="rId14"/>
    <sheet name="Composite Tax Rate (21%)" sheetId="49" r:id="rId15"/>
    <sheet name="TY TARIFF BILLING" sheetId="46" r:id="rId16"/>
    <sheet name="TY BILLING" sheetId="39" r:id="rId17"/>
    <sheet name="Excess DIT" sheetId="38" r:id="rId18"/>
    <sheet name="SCH J-1.1|J-1.2" sheetId="34" r:id="rId19"/>
    <sheet name="SCH J-1 (ORDER)" sheetId="50" r:id="rId20"/>
    <sheet name="SCH H-1 (ORDER)" sheetId="51" r:id="rId21"/>
    <sheet name="Effective Tax Rate" sheetId="56" r:id="rId22"/>
  </sheets>
  <externalReferences>
    <externalReference r:id="rId23"/>
  </externalReferences>
  <definedNames>
    <definedName name="\\" localSheetId="0" hidden="1">#REF!</definedName>
    <definedName name="\\" localSheetId="1" hidden="1">#REF!</definedName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localSheetId="14" hidden="1">#REF!</definedName>
    <definedName name="\\" localSheetId="8" hidden="1">#REF!</definedName>
    <definedName name="\\" localSheetId="9" hidden="1">#REF!</definedName>
    <definedName name="\\" localSheetId="18" hidden="1">#REF!</definedName>
    <definedName name="\\" hidden="1">#REF!</definedName>
    <definedName name="\\\" localSheetId="0" hidden="1">#REF!</definedName>
    <definedName name="\\\" localSheetId="1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localSheetId="14" hidden="1">#REF!</definedName>
    <definedName name="\\\" localSheetId="8" hidden="1">#REF!</definedName>
    <definedName name="\\\" localSheetId="9" hidden="1">#REF!</definedName>
    <definedName name="\\\" localSheetId="18" hidden="1">#REF!</definedName>
    <definedName name="\\\" hidden="1">#REF!</definedName>
    <definedName name="\\\\" localSheetId="0" hidden="1">#REF!</definedName>
    <definedName name="\\\\" localSheetId="1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localSheetId="14" hidden="1">#REF!</definedName>
    <definedName name="\\\\" localSheetId="8" hidden="1">#REF!</definedName>
    <definedName name="\\\\" localSheetId="9" hidden="1">#REF!</definedName>
    <definedName name="\\\\" localSheetId="18" hidden="1">#REF!</definedName>
    <definedName name="\\\\" hidden="1">#REF!</definedName>
    <definedName name="__123Graph_1" localSheetId="0" hidden="1">#REF!</definedName>
    <definedName name="__123Graph_1" localSheetId="1" hidden="1">#REF!</definedName>
    <definedName name="__123Graph_1" localSheetId="2" hidden="1">#REF!</definedName>
    <definedName name="__123Graph_1" localSheetId="4" hidden="1">#REF!</definedName>
    <definedName name="__123Graph_1" localSheetId="5" hidden="1">#REF!</definedName>
    <definedName name="__123Graph_1" localSheetId="6" hidden="1">#REF!</definedName>
    <definedName name="__123Graph_1" localSheetId="14" hidden="1">#REF!</definedName>
    <definedName name="__123Graph_1" localSheetId="8" hidden="1">#REF!</definedName>
    <definedName name="__123Graph_1" localSheetId="9" hidden="1">#REF!</definedName>
    <definedName name="__123Graph_1" localSheetId="18" hidden="1">#REF!</definedName>
    <definedName name="__123Graph_1" hidden="1">#REF!</definedName>
    <definedName name="__123Graph_2" localSheetId="0" hidden="1">#REF!</definedName>
    <definedName name="__123Graph_2" localSheetId="1" hidden="1">#REF!</definedName>
    <definedName name="__123Graph_2" localSheetId="2" hidden="1">#REF!</definedName>
    <definedName name="__123Graph_2" localSheetId="4" hidden="1">#REF!</definedName>
    <definedName name="__123Graph_2" localSheetId="5" hidden="1">#REF!</definedName>
    <definedName name="__123Graph_2" localSheetId="6" hidden="1">#REF!</definedName>
    <definedName name="__123Graph_2" localSheetId="14" hidden="1">#REF!</definedName>
    <definedName name="__123Graph_2" localSheetId="8" hidden="1">#REF!</definedName>
    <definedName name="__123Graph_2" localSheetId="9" hidden="1">#REF!</definedName>
    <definedName name="__123Graph_2" localSheetId="18" hidden="1">#REF!</definedName>
    <definedName name="__123Graph_2" hidden="1">#REF!</definedName>
    <definedName name="__123Graph_3" localSheetId="0" hidden="1">#REF!</definedName>
    <definedName name="__123Graph_3" localSheetId="1" hidden="1">#REF!</definedName>
    <definedName name="__123Graph_3" localSheetId="2" hidden="1">#REF!</definedName>
    <definedName name="__123Graph_3" localSheetId="4" hidden="1">#REF!</definedName>
    <definedName name="__123Graph_3" localSheetId="5" hidden="1">#REF!</definedName>
    <definedName name="__123Graph_3" localSheetId="6" hidden="1">#REF!</definedName>
    <definedName name="__123Graph_3" localSheetId="14" hidden="1">#REF!</definedName>
    <definedName name="__123Graph_3" localSheetId="8" hidden="1">#REF!</definedName>
    <definedName name="__123Graph_3" localSheetId="9" hidden="1">#REF!</definedName>
    <definedName name="__123Graph_3" localSheetId="18" hidden="1">#REF!</definedName>
    <definedName name="__123Graph_3" hidden="1">#REF!</definedName>
    <definedName name="__123Graph_4" localSheetId="0" hidden="1">#REF!</definedName>
    <definedName name="__123Graph_4" localSheetId="1" hidden="1">#REF!</definedName>
    <definedName name="__123Graph_4" localSheetId="2" hidden="1">#REF!</definedName>
    <definedName name="__123Graph_4" localSheetId="4" hidden="1">#REF!</definedName>
    <definedName name="__123Graph_4" localSheetId="5" hidden="1">#REF!</definedName>
    <definedName name="__123Graph_4" localSheetId="6" hidden="1">#REF!</definedName>
    <definedName name="__123Graph_4" localSheetId="14" hidden="1">#REF!</definedName>
    <definedName name="__123Graph_4" localSheetId="8" hidden="1">#REF!</definedName>
    <definedName name="__123Graph_4" localSheetId="9" hidden="1">#REF!</definedName>
    <definedName name="__123Graph_4" localSheetId="18" hidden="1">#REF!</definedName>
    <definedName name="__123Graph_4" hidden="1">#REF!</definedName>
    <definedName name="__123Graph_5" localSheetId="0" hidden="1">#REF!</definedName>
    <definedName name="__123Graph_5" localSheetId="1" hidden="1">#REF!</definedName>
    <definedName name="__123Graph_5" localSheetId="2" hidden="1">#REF!</definedName>
    <definedName name="__123Graph_5" localSheetId="4" hidden="1">#REF!</definedName>
    <definedName name="__123Graph_5" localSheetId="5" hidden="1">#REF!</definedName>
    <definedName name="__123Graph_5" localSheetId="6" hidden="1">#REF!</definedName>
    <definedName name="__123Graph_5" localSheetId="14" hidden="1">#REF!</definedName>
    <definedName name="__123Graph_5" localSheetId="8" hidden="1">#REF!</definedName>
    <definedName name="__123Graph_5" localSheetId="9" hidden="1">#REF!</definedName>
    <definedName name="__123Graph_5" localSheetId="18" hidden="1">#REF!</definedName>
    <definedName name="__123Graph_5" hidden="1">#REF!</definedName>
    <definedName name="__123Graph_6" localSheetId="0" hidden="1">#REF!</definedName>
    <definedName name="__123Graph_6" localSheetId="1" hidden="1">#REF!</definedName>
    <definedName name="__123Graph_6" localSheetId="2" hidden="1">#REF!</definedName>
    <definedName name="__123Graph_6" localSheetId="4" hidden="1">#REF!</definedName>
    <definedName name="__123Graph_6" localSheetId="5" hidden="1">#REF!</definedName>
    <definedName name="__123Graph_6" localSheetId="6" hidden="1">#REF!</definedName>
    <definedName name="__123Graph_6" localSheetId="14" hidden="1">#REF!</definedName>
    <definedName name="__123Graph_6" localSheetId="8" hidden="1">#REF!</definedName>
    <definedName name="__123Graph_6" localSheetId="9" hidden="1">#REF!</definedName>
    <definedName name="__123Graph_6" localSheetId="18" hidden="1">#REF!</definedName>
    <definedName name="__123Graph_6" hidden="1">#REF!</definedName>
    <definedName name="__123Graph_8" localSheetId="0" hidden="1">#REF!</definedName>
    <definedName name="__123Graph_8" localSheetId="1" hidden="1">#REF!</definedName>
    <definedName name="__123Graph_8" localSheetId="2" hidden="1">#REF!</definedName>
    <definedName name="__123Graph_8" localSheetId="4" hidden="1">#REF!</definedName>
    <definedName name="__123Graph_8" localSheetId="5" hidden="1">#REF!</definedName>
    <definedName name="__123Graph_8" localSheetId="6" hidden="1">#REF!</definedName>
    <definedName name="__123Graph_8" localSheetId="14" hidden="1">#REF!</definedName>
    <definedName name="__123Graph_8" localSheetId="8" hidden="1">#REF!</definedName>
    <definedName name="__123Graph_8" localSheetId="9" hidden="1">#REF!</definedName>
    <definedName name="__123Graph_8" localSheetId="18" hidden="1">#REF!</definedName>
    <definedName name="__123Graph_8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14" hidden="1">#REF!</definedName>
    <definedName name="__123Graph_A" localSheetId="8" hidden="1">#REF!</definedName>
    <definedName name="__123Graph_A" localSheetId="9" hidden="1">#REF!</definedName>
    <definedName name="__123Graph_A" localSheetId="18" hidden="1">#REF!</definedName>
    <definedName name="__123Graph_A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14" hidden="1">#REF!</definedName>
    <definedName name="__123Graph_B" localSheetId="8" hidden="1">#REF!</definedName>
    <definedName name="__123Graph_B" localSheetId="9" hidden="1">#REF!</definedName>
    <definedName name="__123Graph_B" localSheetId="18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14" hidden="1">#REF!</definedName>
    <definedName name="__123Graph_C" localSheetId="8" hidden="1">#REF!</definedName>
    <definedName name="__123Graph_C" localSheetId="9" hidden="1">#REF!</definedName>
    <definedName name="__123Graph_C" localSheetId="18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14" hidden="1">#REF!</definedName>
    <definedName name="__123Graph_D" localSheetId="8" hidden="1">#REF!</definedName>
    <definedName name="__123Graph_D" localSheetId="9" hidden="1">#REF!</definedName>
    <definedName name="__123Graph_D" localSheetId="18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14" hidden="1">#REF!</definedName>
    <definedName name="__123Graph_E" localSheetId="8" hidden="1">#REF!</definedName>
    <definedName name="__123Graph_E" localSheetId="9" hidden="1">#REF!</definedName>
    <definedName name="__123Graph_E" localSheetId="1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14" hidden="1">#REF!</definedName>
    <definedName name="__123Graph_F" localSheetId="8" hidden="1">#REF!</definedName>
    <definedName name="__123Graph_F" localSheetId="9" hidden="1">#REF!</definedName>
    <definedName name="__123Graph_F" localSheetId="18" hidden="1">#REF!</definedName>
    <definedName name="__123Graph_F" hidden="1">#REF!</definedName>
    <definedName name="__123Graph_X" localSheetId="0" hidden="1">#REF!</definedName>
    <definedName name="__123Graph_X" localSheetId="1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14" hidden="1">#REF!</definedName>
    <definedName name="__123Graph_X" localSheetId="8" hidden="1">#REF!</definedName>
    <definedName name="__123Graph_X" localSheetId="9" hidden="1">#REF!</definedName>
    <definedName name="__123Graph_X" localSheetId="18" hidden="1">#REF!</definedName>
    <definedName name="__123Graph_X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4" hidden="1">#REF!</definedName>
    <definedName name="_Fill" localSheetId="8" hidden="1">#REF!</definedName>
    <definedName name="_Fill" localSheetId="9" hidden="1">#REF!</definedName>
    <definedName name="_Fill" localSheetId="18" hidden="1">#REF!</definedName>
    <definedName name="_Fill" hidden="1">#REF!</definedName>
    <definedName name="_Order1" hidden="1">0</definedName>
    <definedName name="_Order2" hidden="1">0</definedName>
    <definedName name="ahahahahaha" localSheetId="11" hidden="1">{"'Server Configuration'!$A$1:$DB$281"}</definedName>
    <definedName name="ahahahahaha" localSheetId="14" hidden="1">{"'Server Configuration'!$A$1:$DB$281"}</definedName>
    <definedName name="ahahahahaha" localSheetId="10" hidden="1">{"'Server Configuration'!$A$1:$DB$281"}</definedName>
    <definedName name="ahahahahaha" localSheetId="21" hidden="1">{"'Server Configuration'!$A$1:$DB$281"}</definedName>
    <definedName name="ahahahahaha" localSheetId="18" hidden="1">{"'Server Configuration'!$A$1:$DB$281"}</definedName>
    <definedName name="ahahahahaha" localSheetId="15" hidden="1">{"'Server Configuration'!$A$1:$DB$281"}</definedName>
    <definedName name="ahahahahaha" hidden="1">{"'Server Configuration'!$A$1:$DB$281"}</definedName>
    <definedName name="blip" localSheetId="11" hidden="1">{"'Server Configuration'!$A$1:$DB$281"}</definedName>
    <definedName name="blip" localSheetId="14" hidden="1">{"'Server Configuration'!$A$1:$DB$281"}</definedName>
    <definedName name="blip" localSheetId="10" hidden="1">{"'Server Configuration'!$A$1:$DB$281"}</definedName>
    <definedName name="blip" localSheetId="21" hidden="1">{"'Server Configuration'!$A$1:$DB$281"}</definedName>
    <definedName name="blip" localSheetId="18" hidden="1">{"'Server Configuration'!$A$1:$DB$281"}</definedName>
    <definedName name="blip" localSheetId="15" hidden="1">{"'Server Configuration'!$A$1:$DB$281"}</definedName>
    <definedName name="blip" hidden="1">{"'Server Configuration'!$A$1:$DB$281"}</definedName>
    <definedName name="BNE_MESSAGES_HIDDEN" localSheetId="0" hidden="1">#REF!</definedName>
    <definedName name="BNE_MESSAGES_HIDDEN" localSheetId="1" hidden="1">#REF!</definedName>
    <definedName name="BNE_MESSAGES_HIDDEN" localSheetId="2" hidden="1">#REF!</definedName>
    <definedName name="BNE_MESSAGES_HIDDEN" localSheetId="4" hidden="1">#REF!</definedName>
    <definedName name="BNE_MESSAGES_HIDDEN" localSheetId="5" hidden="1">#REF!</definedName>
    <definedName name="BNE_MESSAGES_HIDDEN" localSheetId="6" hidden="1">#REF!</definedName>
    <definedName name="BNE_MESSAGES_HIDDEN" localSheetId="14" hidden="1">#REF!</definedName>
    <definedName name="BNE_MESSAGES_HIDDEN" localSheetId="9" hidden="1">#REF!</definedName>
    <definedName name="BNE_MESSAGES_HIDDEN" hidden="1">#REF!</definedName>
    <definedName name="DolUnitFactor">[1]ListsValues!$M$29</definedName>
    <definedName name="HTML_CodePage" hidden="1">1252</definedName>
    <definedName name="HTML_Control" localSheetId="11" hidden="1">{"'Server Configuration'!$A$1:$DB$281"}</definedName>
    <definedName name="HTML_Control" localSheetId="14" hidden="1">{"'Server Configuration'!$A$1:$DB$281"}</definedName>
    <definedName name="HTML_Control" localSheetId="10" hidden="1">{"'Server Configuration'!$A$1:$DB$281"}</definedName>
    <definedName name="HTML_Control" localSheetId="21" hidden="1">{"'Server Configuration'!$A$1:$DB$281"}</definedName>
    <definedName name="HTML_Control" localSheetId="18" hidden="1">{"'Server Configuration'!$A$1:$DB$281"}</definedName>
    <definedName name="HTML_Control" localSheetId="15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0">'1-SUMMARY (AS FILED)'!$A$1:$G$43</definedName>
    <definedName name="_xlnm.Print_Area" localSheetId="1">'2-UPDATED TAX RATE IMPACT'!$A$1:$G$43</definedName>
    <definedName name="_xlnm.Print_Area" localSheetId="2">'3-UPDATED COST OF DEBT IMPACT'!$A$1:$G$43</definedName>
    <definedName name="_xlnm.Print_Area" localSheetId="3">'4-SUMMARY (UPDATED)'!$A$1:$G$43</definedName>
    <definedName name="_xlnm.Print_Area" localSheetId="4">'5-TCJA CAP IMPACT'!$A$1:$G$43</definedName>
    <definedName name="_xlnm.Print_Area" localSheetId="5">'6-OTHER CAP IMPACT'!$A$1:$G$43</definedName>
    <definedName name="_xlnm.Print_Area" localSheetId="6">'7-COST OF DEBT IMPACT'!$A$1:$G$43</definedName>
    <definedName name="_xlnm.Print_Area" localSheetId="11">CapTable!$A$1:$E$14</definedName>
    <definedName name="_xlnm.Print_Area" localSheetId="8">'Cost of Capital (21%)'!$A$1:$M$27</definedName>
    <definedName name="_xlnm.Print_Area" localSheetId="9">'Cost of Capital (21%) (FILED)'!$A$1:$M$27</definedName>
    <definedName name="_xlnm.Print_Area" localSheetId="10">'Cost of Capital Adj'!$A$1:$L$22</definedName>
    <definedName name="_xlnm.Print_Area" localSheetId="19">'SCH J-1 (ORDER)'!$A$1:$M$45</definedName>
    <definedName name="_xlnm.Print_Area" localSheetId="18">'SCH J-1.1|J-1.2'!$A$1:$M$40</definedName>
    <definedName name="_xlnm.Print_Area" localSheetId="16">'TY BILLING'!$A$1:$N$17</definedName>
    <definedName name="_xlnm.Print_Area" localSheetId="15">'TY TARIFF BILLING'!$A$1:$N$41</definedName>
    <definedName name="wrn.Wkp._.Capital._.Structure." localSheetId="1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1" hidden="1">{"Wkp ComEquity",#N/A,FALSE,"Cap Struct WPs"}</definedName>
    <definedName name="wrn.Wkp._.ComEquity." localSheetId="14" hidden="1">{"Wkp ComEquity",#N/A,FALSE,"Cap Struct WPs"}</definedName>
    <definedName name="wrn.Wkp._.ComEquity." localSheetId="10" hidden="1">{"Wkp ComEquity",#N/A,FALSE,"Cap Struct WPs"}</definedName>
    <definedName name="wrn.Wkp._.ComEquity." localSheetId="21" hidden="1">{"Wkp ComEquity",#N/A,FALSE,"Cap Struct WPs"}</definedName>
    <definedName name="wrn.Wkp._.ComEquity." localSheetId="18" hidden="1">{"Wkp ComEquity",#N/A,FALSE,"Cap Struct WPs"}</definedName>
    <definedName name="wrn.Wkp._.ComEquity." localSheetId="15" hidden="1">{"Wkp ComEquity",#N/A,FALSE,"Cap Struct WPs"}</definedName>
    <definedName name="wrn.Wkp._.ComEquity." hidden="1">{"Wkp ComEquity",#N/A,FALSE,"Cap Struct WPs"}</definedName>
    <definedName name="wrn.Wkp._.JDITC." localSheetId="11" hidden="1">{"Wkp JDITC",#N/A,FALSE,"Cap Struct WPs"}</definedName>
    <definedName name="wrn.Wkp._.JDITC." localSheetId="14" hidden="1">{"Wkp JDITC",#N/A,FALSE,"Cap Struct WPs"}</definedName>
    <definedName name="wrn.Wkp._.JDITC." localSheetId="10" hidden="1">{"Wkp JDITC",#N/A,FALSE,"Cap Struct WPs"}</definedName>
    <definedName name="wrn.Wkp._.JDITC." localSheetId="21" hidden="1">{"Wkp JDITC",#N/A,FALSE,"Cap Struct WPs"}</definedName>
    <definedName name="wrn.Wkp._.JDITC." localSheetId="18" hidden="1">{"Wkp JDITC",#N/A,FALSE,"Cap Struct WPs"}</definedName>
    <definedName name="wrn.Wkp._.JDITC." localSheetId="15" hidden="1">{"Wkp JDITC",#N/A,FALSE,"Cap Struct WPs"}</definedName>
    <definedName name="wrn.Wkp._.JDITC." hidden="1">{"Wkp JDITC",#N/A,FALSE,"Cap Struct WPs"}</definedName>
    <definedName name="wrn.Wkp._.LTerm._.Debt." localSheetId="11" hidden="1">{"Wkp LTerm Debt",#N/A,FALSE,"Cap Struct WPs"}</definedName>
    <definedName name="wrn.Wkp._.LTerm._.Debt." localSheetId="14" hidden="1">{"Wkp LTerm Debt",#N/A,FALSE,"Cap Struct WPs"}</definedName>
    <definedName name="wrn.Wkp._.LTerm._.Debt." localSheetId="10" hidden="1">{"Wkp LTerm Debt",#N/A,FALSE,"Cap Struct WPs"}</definedName>
    <definedName name="wrn.Wkp._.LTerm._.Debt." localSheetId="21" hidden="1">{"Wkp LTerm Debt",#N/A,FALSE,"Cap Struct WPs"}</definedName>
    <definedName name="wrn.Wkp._.LTerm._.Debt." localSheetId="18" hidden="1">{"Wkp LTerm Debt",#N/A,FALSE,"Cap Struct WPs"}</definedName>
    <definedName name="wrn.Wkp._.LTerm._.Debt." localSheetId="15" hidden="1">{"Wkp LTerm Debt",#N/A,FALSE,"Cap Struct WPs"}</definedName>
    <definedName name="wrn.Wkp._.LTerm._.Debt." hidden="1">{"Wkp LTerm Debt",#N/A,FALSE,"Cap Struct WPs"}</definedName>
    <definedName name="wrn.Wkp._.LTerm._.Debt._.13Mo._.Avg." localSheetId="11" hidden="1">{"Wkp LTerm Debt 13MoAvg",#N/A,FALSE,"Cap Struct WPs"}</definedName>
    <definedName name="wrn.Wkp._.LTerm._.Debt._.13Mo._.Avg." localSheetId="14" hidden="1">{"Wkp LTerm Debt 13MoAvg",#N/A,FALSE,"Cap Struct WPs"}</definedName>
    <definedName name="wrn.Wkp._.LTerm._.Debt._.13Mo._.Avg." localSheetId="10" hidden="1">{"Wkp LTerm Debt 13MoAvg",#N/A,FALSE,"Cap Struct WPs"}</definedName>
    <definedName name="wrn.Wkp._.LTerm._.Debt._.13Mo._.Avg." localSheetId="21" hidden="1">{"Wkp LTerm Debt 13MoAvg",#N/A,FALSE,"Cap Struct WPs"}</definedName>
    <definedName name="wrn.Wkp._.LTerm._.Debt._.13Mo._.Avg." localSheetId="18" hidden="1">{"Wkp LTerm Debt 13MoAvg",#N/A,FALSE,"Cap Struct WPs"}</definedName>
    <definedName name="wrn.Wkp._.LTerm._.Debt._.13Mo._.Avg." localSheetId="15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1" hidden="1">{"Wkp Lterm Debt Amort",#N/A,FALSE,"Cap Struct WPs"}</definedName>
    <definedName name="wrn.Wkp._.LTerm._.Debt._.Amort." localSheetId="14" hidden="1">{"Wkp Lterm Debt Amort",#N/A,FALSE,"Cap Struct WPs"}</definedName>
    <definedName name="wrn.Wkp._.LTerm._.Debt._.Amort." localSheetId="10" hidden="1">{"Wkp Lterm Debt Amort",#N/A,FALSE,"Cap Struct WPs"}</definedName>
    <definedName name="wrn.Wkp._.LTerm._.Debt._.Amort." localSheetId="21" hidden="1">{"Wkp Lterm Debt Amort",#N/A,FALSE,"Cap Struct WPs"}</definedName>
    <definedName name="wrn.Wkp._.LTerm._.Debt._.Amort." localSheetId="18" hidden="1">{"Wkp Lterm Debt Amort",#N/A,FALSE,"Cap Struct WPs"}</definedName>
    <definedName name="wrn.Wkp._.LTerm._.Debt._.Amort." localSheetId="15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1" hidden="1">{"Wkp LTerm Debt Int",#N/A,FALSE,"Cap Struct WPs"}</definedName>
    <definedName name="wrn.Wkp._.LTerm._.Debt._.Int." localSheetId="14" hidden="1">{"Wkp LTerm Debt Int",#N/A,FALSE,"Cap Struct WPs"}</definedName>
    <definedName name="wrn.Wkp._.LTerm._.Debt._.Int." localSheetId="10" hidden="1">{"Wkp LTerm Debt Int",#N/A,FALSE,"Cap Struct WPs"}</definedName>
    <definedName name="wrn.Wkp._.LTerm._.Debt._.Int." localSheetId="21" hidden="1">{"Wkp LTerm Debt Int",#N/A,FALSE,"Cap Struct WPs"}</definedName>
    <definedName name="wrn.Wkp._.LTerm._.Debt._.Int." localSheetId="18" hidden="1">{"Wkp LTerm Debt Int",#N/A,FALSE,"Cap Struct WPs"}</definedName>
    <definedName name="wrn.Wkp._.LTerm._.Debt._.Int." localSheetId="15" hidden="1">{"Wkp LTerm Debt Int",#N/A,FALSE,"Cap Struct WPs"}</definedName>
    <definedName name="wrn.Wkp._.LTerm._.Debt._.Int." hidden="1">{"Wkp LTerm Debt Int",#N/A,FALSE,"Cap Struct WPs"}</definedName>
    <definedName name="wrn.Wkp._.PreStock." localSheetId="11" hidden="1">{"Wkp PreStock",#N/A,FALSE,"Cap Struct WPs"}</definedName>
    <definedName name="wrn.Wkp._.PreStock." localSheetId="14" hidden="1">{"Wkp PreStock",#N/A,FALSE,"Cap Struct WPs"}</definedName>
    <definedName name="wrn.Wkp._.PreStock." localSheetId="10" hidden="1">{"Wkp PreStock",#N/A,FALSE,"Cap Struct WPs"}</definedName>
    <definedName name="wrn.Wkp._.PreStock." localSheetId="21" hidden="1">{"Wkp PreStock",#N/A,FALSE,"Cap Struct WPs"}</definedName>
    <definedName name="wrn.Wkp._.PreStock." localSheetId="18" hidden="1">{"Wkp PreStock",#N/A,FALSE,"Cap Struct WPs"}</definedName>
    <definedName name="wrn.Wkp._.PreStock." localSheetId="15" hidden="1">{"Wkp PreStock",#N/A,FALSE,"Cap Struct WPs"}</definedName>
    <definedName name="wrn.Wkp._.PreStock." hidden="1">{"Wkp PreStock",#N/A,FALSE,"Cap Struct WPs"}</definedName>
    <definedName name="wrn.Wkp._.PreStock._.13MoAvg." localSheetId="11" hidden="1">{"Wkp PreStock 13MoAvg",#N/A,FALSE,"Cap Struct WPs"}</definedName>
    <definedName name="wrn.Wkp._.PreStock._.13MoAvg." localSheetId="14" hidden="1">{"Wkp PreStock 13MoAvg",#N/A,FALSE,"Cap Struct WPs"}</definedName>
    <definedName name="wrn.Wkp._.PreStock._.13MoAvg." localSheetId="10" hidden="1">{"Wkp PreStock 13MoAvg",#N/A,FALSE,"Cap Struct WPs"}</definedName>
    <definedName name="wrn.Wkp._.PreStock._.13MoAvg." localSheetId="21" hidden="1">{"Wkp PreStock 13MoAvg",#N/A,FALSE,"Cap Struct WPs"}</definedName>
    <definedName name="wrn.Wkp._.PreStock._.13MoAvg." localSheetId="18" hidden="1">{"Wkp PreStock 13MoAvg",#N/A,FALSE,"Cap Struct WPs"}</definedName>
    <definedName name="wrn.Wkp._.PreStock._.13MoAvg." localSheetId="15" hidden="1">{"Wkp PreStock 13MoAvg",#N/A,FALSE,"Cap Struct WPs"}</definedName>
    <definedName name="wrn.Wkp._.PreStock._.13MoAvg." hidden="1">{"Wkp PreStock 13MoAvg",#N/A,FALSE,"Cap Struct WPs"}</definedName>
    <definedName name="wrn.Wkp._.PreStock._.Amort." localSheetId="11" hidden="1">{"Wkp PreStock Amort",#N/A,FALSE,"Cap Struct WPs"}</definedName>
    <definedName name="wrn.Wkp._.PreStock._.Amort." localSheetId="14" hidden="1">{"Wkp PreStock Amort",#N/A,FALSE,"Cap Struct WPs"}</definedName>
    <definedName name="wrn.Wkp._.PreStock._.Amort." localSheetId="10" hidden="1">{"Wkp PreStock Amort",#N/A,FALSE,"Cap Struct WPs"}</definedName>
    <definedName name="wrn.Wkp._.PreStock._.Amort." localSheetId="21" hidden="1">{"Wkp PreStock Amort",#N/A,FALSE,"Cap Struct WPs"}</definedName>
    <definedName name="wrn.Wkp._.PreStock._.Amort." localSheetId="18" hidden="1">{"Wkp PreStock Amort",#N/A,FALSE,"Cap Struct WPs"}</definedName>
    <definedName name="wrn.Wkp._.PreStock._.Amort." localSheetId="15" hidden="1">{"Wkp PreStock Amort",#N/A,FALSE,"Cap Struct WPs"}</definedName>
    <definedName name="wrn.Wkp._.PreStock._.Amort." hidden="1">{"Wkp PreStock Amort",#N/A,FALSE,"Cap Struct WPs"}</definedName>
    <definedName name="wrn.Wkp._.PreStock._.Dividend." localSheetId="11" hidden="1">{"Wkp PreStock Dividend",#N/A,FALSE,"Cap Struct WPs"}</definedName>
    <definedName name="wrn.Wkp._.PreStock._.Dividend." localSheetId="14" hidden="1">{"Wkp PreStock Dividend",#N/A,FALSE,"Cap Struct WPs"}</definedName>
    <definedName name="wrn.Wkp._.PreStock._.Dividend." localSheetId="10" hidden="1">{"Wkp PreStock Dividend",#N/A,FALSE,"Cap Struct WPs"}</definedName>
    <definedName name="wrn.Wkp._.PreStock._.Dividend." localSheetId="21" hidden="1">{"Wkp PreStock Dividend",#N/A,FALSE,"Cap Struct WPs"}</definedName>
    <definedName name="wrn.Wkp._.PreStock._.Dividend." localSheetId="18" hidden="1">{"Wkp PreStock Dividend",#N/A,FALSE,"Cap Struct WPs"}</definedName>
    <definedName name="wrn.Wkp._.PreStock._.Dividend." localSheetId="15" hidden="1">{"Wkp PreStock Dividend",#N/A,FALSE,"Cap Struct WPs"}</definedName>
    <definedName name="wrn.Wkp._.PreStock._.Dividend." hidden="1">{"Wkp PreStock Dividend",#N/A,FALSE,"Cap Struct WPs"}</definedName>
    <definedName name="wrn.Wkp._.STerm._.Debt." localSheetId="11" hidden="1">{"Wkp STerm Debt",#N/A,FALSE,"Cap Struct WPs"}</definedName>
    <definedName name="wrn.Wkp._.STerm._.Debt." localSheetId="14" hidden="1">{"Wkp STerm Debt",#N/A,FALSE,"Cap Struct WPs"}</definedName>
    <definedName name="wrn.Wkp._.STerm._.Debt." localSheetId="10" hidden="1">{"Wkp STerm Debt",#N/A,FALSE,"Cap Struct WPs"}</definedName>
    <definedName name="wrn.Wkp._.STerm._.Debt." localSheetId="21" hidden="1">{"Wkp STerm Debt",#N/A,FALSE,"Cap Struct WPs"}</definedName>
    <definedName name="wrn.Wkp._.STerm._.Debt." localSheetId="18" hidden="1">{"Wkp STerm Debt",#N/A,FALSE,"Cap Struct WPs"}</definedName>
    <definedName name="wrn.Wkp._.STerm._.Debt." localSheetId="15" hidden="1">{"Wkp STerm Debt",#N/A,FALSE,"Cap Struct WPs"}</definedName>
    <definedName name="wrn.Wkp._.STerm._.Debt." hidden="1">{"Wkp STerm Debt",#N/A,FALSE,"Cap Struct WPs"}</definedName>
    <definedName name="wrn.Wkp._.Unamort._.Debt._.Exp." localSheetId="11" hidden="1">{"Wkp Unamort Debt Exp",#N/A,FALSE,"Cap Struct WPs"}</definedName>
    <definedName name="wrn.Wkp._.Unamort._.Debt._.Exp." localSheetId="14" hidden="1">{"Wkp Unamort Debt Exp",#N/A,FALSE,"Cap Struct WPs"}</definedName>
    <definedName name="wrn.Wkp._.Unamort._.Debt._.Exp." localSheetId="10" hidden="1">{"Wkp Unamort Debt Exp",#N/A,FALSE,"Cap Struct WPs"}</definedName>
    <definedName name="wrn.Wkp._.Unamort._.Debt._.Exp." localSheetId="21" hidden="1">{"Wkp Unamort Debt Exp",#N/A,FALSE,"Cap Struct WPs"}</definedName>
    <definedName name="wrn.Wkp._.Unamort._.Debt._.Exp." localSheetId="18" hidden="1">{"Wkp Unamort Debt Exp",#N/A,FALSE,"Cap Struct WPs"}</definedName>
    <definedName name="wrn.Wkp._.Unamort._.Debt._.Exp." localSheetId="15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1" hidden="1">{"Wkp Unamort PreStock Exp",#N/A,FALSE,"Cap Struct WPs"}</definedName>
    <definedName name="wrn.Wkp._.Unamort._.PreStock._.Exp." localSheetId="14" hidden="1">{"Wkp Unamort PreStock Exp",#N/A,FALSE,"Cap Struct WPs"}</definedName>
    <definedName name="wrn.Wkp._.Unamort._.PreStock._.Exp." localSheetId="10" hidden="1">{"Wkp Unamort PreStock Exp",#N/A,FALSE,"Cap Struct WPs"}</definedName>
    <definedName name="wrn.Wkp._.Unamort._.PreStock._.Exp." localSheetId="21" hidden="1">{"Wkp Unamort PreStock Exp",#N/A,FALSE,"Cap Struct WPs"}</definedName>
    <definedName name="wrn.Wkp._.Unamort._.PreStock._.Exp." localSheetId="18" hidden="1">{"Wkp Unamort PreStock Exp",#N/A,FALSE,"Cap Struct WPs"}</definedName>
    <definedName name="wrn.Wkp._.Unamort._.PreStock._.Exp." localSheetId="15" hidden="1">{"Wkp Unamort PreStock Exp",#N/A,FALSE,"Cap Struct WPs"}</definedName>
    <definedName name="wrn.Wkp._.Unamort._.PreStock._.Exp." hidden="1">{"Wkp Unamort PreStock Exp",#N/A,FALSE,"Cap Struct WPs"}</definedName>
  </definedNames>
  <calcPr calcId="152511"/>
  <webPublishing codePage="0"/>
</workbook>
</file>

<file path=xl/calcChain.xml><?xml version="1.0" encoding="utf-8"?>
<calcChain xmlns="http://schemas.openxmlformats.org/spreadsheetml/2006/main">
  <c r="R17" i="57" l="1"/>
  <c r="R15" i="57"/>
  <c r="R17" i="29"/>
  <c r="R15" i="29"/>
  <c r="L32" i="60" l="1"/>
  <c r="J32" i="60"/>
  <c r="G41" i="60"/>
  <c r="F41" i="60"/>
  <c r="E41" i="60"/>
  <c r="G34" i="60"/>
  <c r="F34" i="60"/>
  <c r="D28" i="60"/>
  <c r="B28" i="60"/>
  <c r="D24" i="60"/>
  <c r="D22" i="60"/>
  <c r="D26" i="60" s="1"/>
  <c r="E30" i="60" s="1"/>
  <c r="E18" i="60"/>
  <c r="D16" i="60"/>
  <c r="C14" i="60"/>
  <c r="E14" i="60" s="1"/>
  <c r="C12" i="60"/>
  <c r="E12" i="60" s="1"/>
  <c r="J32" i="59"/>
  <c r="E14" i="59"/>
  <c r="G41" i="59"/>
  <c r="F41" i="59"/>
  <c r="E41" i="59"/>
  <c r="G34" i="59"/>
  <c r="F34" i="59"/>
  <c r="D28" i="59"/>
  <c r="B28" i="59"/>
  <c r="D26" i="59"/>
  <c r="E30" i="59" s="1"/>
  <c r="D24" i="59"/>
  <c r="D22" i="59"/>
  <c r="E18" i="59"/>
  <c r="D16" i="59"/>
  <c r="C14" i="59"/>
  <c r="C12" i="59"/>
  <c r="C16" i="59" s="1"/>
  <c r="D28" i="58"/>
  <c r="B28" i="58"/>
  <c r="D14" i="58"/>
  <c r="G41" i="58"/>
  <c r="F41" i="58"/>
  <c r="E41" i="58"/>
  <c r="G34" i="58"/>
  <c r="F34" i="58"/>
  <c r="D26" i="58"/>
  <c r="D24" i="58"/>
  <c r="D22" i="58"/>
  <c r="E18" i="58"/>
  <c r="D16" i="58"/>
  <c r="E14" i="58"/>
  <c r="C14" i="58"/>
  <c r="C12" i="58"/>
  <c r="E12" i="58" s="1"/>
  <c r="L19" i="57"/>
  <c r="L12" i="57"/>
  <c r="G21" i="57"/>
  <c r="D21" i="57"/>
  <c r="G19" i="57"/>
  <c r="F19" i="57"/>
  <c r="H19" i="57" s="1"/>
  <c r="E19" i="57"/>
  <c r="D19" i="57"/>
  <c r="H17" i="57"/>
  <c r="G17" i="57"/>
  <c r="F17" i="57"/>
  <c r="E17" i="57"/>
  <c r="D17" i="57"/>
  <c r="H15" i="57"/>
  <c r="G15" i="57"/>
  <c r="F15" i="57"/>
  <c r="F21" i="57" s="1"/>
  <c r="D15" i="57"/>
  <c r="F35" i="56"/>
  <c r="F31" i="56"/>
  <c r="F29" i="56"/>
  <c r="A29" i="56"/>
  <c r="A17" i="56"/>
  <c r="F11" i="56"/>
  <c r="F13" i="56" s="1"/>
  <c r="C16" i="60" l="1"/>
  <c r="E16" i="60" s="1"/>
  <c r="E20" i="60" s="1"/>
  <c r="E32" i="60" s="1"/>
  <c r="I32" i="60" s="1"/>
  <c r="K32" i="60" s="1"/>
  <c r="M32" i="60" s="1"/>
  <c r="E12" i="59"/>
  <c r="E16" i="59"/>
  <c r="E20" i="59" s="1"/>
  <c r="E32" i="59" s="1"/>
  <c r="I32" i="59" s="1"/>
  <c r="K32" i="59" s="1"/>
  <c r="E30" i="58"/>
  <c r="C16" i="58"/>
  <c r="E16" i="58" s="1"/>
  <c r="E20" i="58" s="1"/>
  <c r="I17" i="57"/>
  <c r="K17" i="57" s="1"/>
  <c r="M17" i="57" s="1"/>
  <c r="I15" i="57"/>
  <c r="I19" i="57"/>
  <c r="K19" i="57" s="1"/>
  <c r="H21" i="57"/>
  <c r="F17" i="56"/>
  <c r="F19" i="56" s="1"/>
  <c r="F21" i="56" s="1"/>
  <c r="F23" i="56" s="1"/>
  <c r="D12" i="54"/>
  <c r="L32" i="54"/>
  <c r="J32" i="54"/>
  <c r="L32" i="55"/>
  <c r="J32" i="55"/>
  <c r="D12" i="55"/>
  <c r="D16" i="55" s="1"/>
  <c r="G41" i="55"/>
  <c r="F41" i="55"/>
  <c r="E41" i="55"/>
  <c r="G34" i="55"/>
  <c r="F34" i="55"/>
  <c r="D28" i="55"/>
  <c r="B28" i="55"/>
  <c r="D24" i="55"/>
  <c r="D22" i="55"/>
  <c r="E18" i="55"/>
  <c r="C14" i="55"/>
  <c r="C16" i="55" s="1"/>
  <c r="C12" i="55"/>
  <c r="J32" i="53"/>
  <c r="I32" i="53"/>
  <c r="K32" i="53"/>
  <c r="D12" i="53"/>
  <c r="D16" i="53" s="1"/>
  <c r="G41" i="54"/>
  <c r="F41" i="54"/>
  <c r="E41" i="54"/>
  <c r="G34" i="54"/>
  <c r="F34" i="54"/>
  <c r="D28" i="54"/>
  <c r="B28" i="54"/>
  <c r="D26" i="54"/>
  <c r="E30" i="54" s="1"/>
  <c r="D24" i="54"/>
  <c r="D22" i="54"/>
  <c r="E18" i="54"/>
  <c r="G41" i="53"/>
  <c r="F41" i="53"/>
  <c r="E41" i="53"/>
  <c r="G34" i="53"/>
  <c r="F34" i="53"/>
  <c r="D28" i="53"/>
  <c r="B28" i="53"/>
  <c r="D24" i="53"/>
  <c r="D22" i="53"/>
  <c r="E18" i="53"/>
  <c r="E28" i="51"/>
  <c r="E30" i="51" s="1"/>
  <c r="E24" i="51"/>
  <c r="D24" i="51"/>
  <c r="E22" i="51"/>
  <c r="E32" i="51" s="1"/>
  <c r="E34" i="51" s="1"/>
  <c r="D22" i="51"/>
  <c r="E18" i="51"/>
  <c r="E16" i="51"/>
  <c r="G45" i="50"/>
  <c r="D45" i="50"/>
  <c r="F43" i="50"/>
  <c r="H43" i="50" s="1"/>
  <c r="E43" i="50"/>
  <c r="D43" i="50"/>
  <c r="J41" i="50"/>
  <c r="F41" i="50"/>
  <c r="F45" i="50" s="1"/>
  <c r="E41" i="50"/>
  <c r="D41" i="50"/>
  <c r="J39" i="50"/>
  <c r="H39" i="50"/>
  <c r="F39" i="50"/>
  <c r="D39" i="50"/>
  <c r="K33" i="50"/>
  <c r="A33" i="50"/>
  <c r="A32" i="50"/>
  <c r="A31" i="50"/>
  <c r="A30" i="50"/>
  <c r="A28" i="50"/>
  <c r="A27" i="50"/>
  <c r="A26" i="50"/>
  <c r="A25" i="50"/>
  <c r="A24" i="50"/>
  <c r="R22" i="50"/>
  <c r="Q22" i="50"/>
  <c r="F22" i="50"/>
  <c r="D22" i="50"/>
  <c r="S20" i="50"/>
  <c r="G20" i="50" s="1"/>
  <c r="H20" i="50" s="1"/>
  <c r="R20" i="50"/>
  <c r="F20" i="50"/>
  <c r="E20" i="50"/>
  <c r="R18" i="50"/>
  <c r="S18" i="50" s="1"/>
  <c r="G18" i="50" s="1"/>
  <c r="H18" i="50" s="1"/>
  <c r="F18" i="50"/>
  <c r="E18" i="50"/>
  <c r="R16" i="50"/>
  <c r="S16" i="50" s="1"/>
  <c r="F16" i="50"/>
  <c r="E39" i="60" l="1"/>
  <c r="E43" i="60" s="1"/>
  <c r="F32" i="60"/>
  <c r="E39" i="59"/>
  <c r="E43" i="59" s="1"/>
  <c r="F32" i="59"/>
  <c r="G32" i="59" s="1"/>
  <c r="E32" i="58"/>
  <c r="E39" i="58"/>
  <c r="E43" i="58" s="1"/>
  <c r="F32" i="58"/>
  <c r="L21" i="57"/>
  <c r="K15" i="57"/>
  <c r="I21" i="57"/>
  <c r="D26" i="55"/>
  <c r="E30" i="55" s="1"/>
  <c r="E16" i="55"/>
  <c r="E20" i="55" s="1"/>
  <c r="E32" i="55" s="1"/>
  <c r="I32" i="55" s="1"/>
  <c r="K32" i="55" s="1"/>
  <c r="M32" i="55" s="1"/>
  <c r="E14" i="55"/>
  <c r="E12" i="55"/>
  <c r="D26" i="53"/>
  <c r="E30" i="53" s="1"/>
  <c r="S22" i="50"/>
  <c r="G16" i="50"/>
  <c r="L36" i="50"/>
  <c r="L13" i="50"/>
  <c r="H41" i="50"/>
  <c r="H45" i="50" s="1"/>
  <c r="D28" i="22"/>
  <c r="B28" i="22"/>
  <c r="C37" i="43"/>
  <c r="D19" i="40"/>
  <c r="D17" i="40"/>
  <c r="D15" i="40"/>
  <c r="L12" i="29"/>
  <c r="D21" i="49"/>
  <c r="E21" i="49" s="1"/>
  <c r="E19" i="49"/>
  <c r="E23" i="49" s="1"/>
  <c r="E25" i="49" s="1"/>
  <c r="D19" i="49"/>
  <c r="E17" i="49"/>
  <c r="E15" i="49"/>
  <c r="F36" i="60" l="1"/>
  <c r="F39" i="60"/>
  <c r="F43" i="60" s="1"/>
  <c r="G32" i="60"/>
  <c r="G36" i="59"/>
  <c r="G39" i="59"/>
  <c r="G43" i="59" s="1"/>
  <c r="F36" i="59"/>
  <c r="F39" i="59"/>
  <c r="F43" i="59" s="1"/>
  <c r="F36" i="58"/>
  <c r="F39" i="58"/>
  <c r="F43" i="58" s="1"/>
  <c r="G32" i="58"/>
  <c r="K21" i="57"/>
  <c r="M15" i="57"/>
  <c r="M19" i="57"/>
  <c r="E39" i="55"/>
  <c r="E43" i="55" s="1"/>
  <c r="F32" i="55"/>
  <c r="G32" i="55" s="1"/>
  <c r="I43" i="50"/>
  <c r="K43" i="50" s="1"/>
  <c r="C12" i="54"/>
  <c r="C12" i="22"/>
  <c r="C12" i="53"/>
  <c r="L43" i="50"/>
  <c r="L45" i="50" s="1"/>
  <c r="I39" i="50"/>
  <c r="I41" i="50"/>
  <c r="K41" i="50" s="1"/>
  <c r="M41" i="50" s="1"/>
  <c r="G22" i="50"/>
  <c r="H16" i="50"/>
  <c r="E27" i="49"/>
  <c r="F30" i="46"/>
  <c r="F29" i="46"/>
  <c r="G27" i="46"/>
  <c r="G32" i="46" s="1"/>
  <c r="E27" i="46"/>
  <c r="E32" i="46" s="1"/>
  <c r="D27" i="46"/>
  <c r="D32" i="46" s="1"/>
  <c r="C27" i="46"/>
  <c r="C32" i="46" s="1"/>
  <c r="B27" i="46"/>
  <c r="B32" i="46" s="1"/>
  <c r="N25" i="46"/>
  <c r="M25" i="46"/>
  <c r="K25" i="46"/>
  <c r="J25" i="46"/>
  <c r="F25" i="46"/>
  <c r="N23" i="46"/>
  <c r="M23" i="46"/>
  <c r="K23" i="46"/>
  <c r="J23" i="46"/>
  <c r="F23" i="46"/>
  <c r="N21" i="46"/>
  <c r="M21" i="46"/>
  <c r="K21" i="46"/>
  <c r="J21" i="46"/>
  <c r="F21" i="46"/>
  <c r="N19" i="46"/>
  <c r="M19" i="46"/>
  <c r="K19" i="46"/>
  <c r="J19" i="46"/>
  <c r="F19" i="46"/>
  <c r="N17" i="46"/>
  <c r="M17" i="46"/>
  <c r="K17" i="46"/>
  <c r="J17" i="46"/>
  <c r="F17" i="46"/>
  <c r="N15" i="46"/>
  <c r="M15" i="46"/>
  <c r="K15" i="46"/>
  <c r="J15" i="46"/>
  <c r="F15" i="46"/>
  <c r="N13" i="46"/>
  <c r="M13" i="46"/>
  <c r="K13" i="46"/>
  <c r="J13" i="46"/>
  <c r="F13" i="46"/>
  <c r="N11" i="46"/>
  <c r="M11" i="46"/>
  <c r="K11" i="46"/>
  <c r="J11" i="46"/>
  <c r="F11" i="46"/>
  <c r="G38" i="46" s="1"/>
  <c r="G36" i="60" l="1"/>
  <c r="G39" i="60"/>
  <c r="G43" i="60" s="1"/>
  <c r="G36" i="58"/>
  <c r="G39" i="58"/>
  <c r="G43" i="58" s="1"/>
  <c r="M21" i="57"/>
  <c r="F36" i="55"/>
  <c r="F39" i="55"/>
  <c r="F43" i="55" s="1"/>
  <c r="G36" i="55"/>
  <c r="G39" i="55"/>
  <c r="G43" i="55" s="1"/>
  <c r="E12" i="53"/>
  <c r="I45" i="50"/>
  <c r="K39" i="50"/>
  <c r="H22" i="50"/>
  <c r="I16" i="50" s="1"/>
  <c r="M43" i="50"/>
  <c r="K27" i="46"/>
  <c r="K40" i="46" s="1"/>
  <c r="M27" i="46"/>
  <c r="N27" i="46"/>
  <c r="N40" i="46" s="1"/>
  <c r="J27" i="46"/>
  <c r="K39" i="46"/>
  <c r="N38" i="46"/>
  <c r="M38" i="46" s="1"/>
  <c r="K38" i="46"/>
  <c r="J38" i="46" s="1"/>
  <c r="F27" i="46"/>
  <c r="K16" i="50" l="1"/>
  <c r="I20" i="50"/>
  <c r="K20" i="50" s="1"/>
  <c r="I18" i="50"/>
  <c r="K18" i="50" s="1"/>
  <c r="M18" i="50" s="1"/>
  <c r="K45" i="50"/>
  <c r="M39" i="50"/>
  <c r="M45" i="50" s="1"/>
  <c r="N39" i="46"/>
  <c r="G40" i="46"/>
  <c r="F32" i="46"/>
  <c r="H32" i="46" s="1"/>
  <c r="H27" i="46"/>
  <c r="C14" i="54" l="1"/>
  <c r="C14" i="22"/>
  <c r="C14" i="53"/>
  <c r="L20" i="50"/>
  <c r="L22" i="50" s="1"/>
  <c r="I22" i="50"/>
  <c r="M16" i="50"/>
  <c r="K22" i="50"/>
  <c r="G39" i="46"/>
  <c r="M39" i="46" s="1"/>
  <c r="H38" i="46"/>
  <c r="J40" i="46"/>
  <c r="M40" i="46"/>
  <c r="F41" i="22"/>
  <c r="E14" i="53" l="1"/>
  <c r="C16" i="53"/>
  <c r="E16" i="53" s="1"/>
  <c r="E20" i="53" s="1"/>
  <c r="E32" i="53" s="1"/>
  <c r="C16" i="54"/>
  <c r="M20" i="50"/>
  <c r="M22" i="50" s="1"/>
  <c r="H39" i="46"/>
  <c r="J39" i="46"/>
  <c r="F34" i="22"/>
  <c r="E39" i="53" l="1"/>
  <c r="E43" i="53" s="1"/>
  <c r="F32" i="53"/>
  <c r="G32" i="53" s="1"/>
  <c r="D24" i="22"/>
  <c r="E70" i="38"/>
  <c r="D70" i="38"/>
  <c r="C70" i="38"/>
  <c r="F69" i="38"/>
  <c r="F68" i="38"/>
  <c r="F67" i="38"/>
  <c r="F66" i="38"/>
  <c r="F65" i="38"/>
  <c r="F64" i="38"/>
  <c r="F63" i="38"/>
  <c r="F62" i="38"/>
  <c r="F61" i="38"/>
  <c r="L60" i="38"/>
  <c r="K60" i="38"/>
  <c r="J60" i="38"/>
  <c r="I60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C30" i="38"/>
  <c r="C23" i="38"/>
  <c r="F22" i="38"/>
  <c r="F24" i="38" s="1"/>
  <c r="J16" i="38"/>
  <c r="I16" i="38"/>
  <c r="H16" i="38"/>
  <c r="F15" i="38"/>
  <c r="F16" i="38" s="1"/>
  <c r="D15" i="38"/>
  <c r="D16" i="38" s="1"/>
  <c r="J8" i="38"/>
  <c r="J9" i="38" s="1"/>
  <c r="I8" i="38"/>
  <c r="I9" i="38" s="1"/>
  <c r="H8" i="38"/>
  <c r="H9" i="38" s="1"/>
  <c r="F7" i="38"/>
  <c r="C29" i="38" s="1"/>
  <c r="D7" i="38"/>
  <c r="E14" i="38" s="1"/>
  <c r="G36" i="53" l="1"/>
  <c r="G39" i="53"/>
  <c r="G43" i="53" s="1"/>
  <c r="F39" i="53"/>
  <c r="F43" i="53" s="1"/>
  <c r="F36" i="53"/>
  <c r="G14" i="38"/>
  <c r="F70" i="38"/>
  <c r="C14" i="38"/>
  <c r="E8" i="38"/>
  <c r="C28" i="38"/>
  <c r="C31" i="38" s="1"/>
  <c r="F8" i="38"/>
  <c r="F9" i="38" s="1"/>
  <c r="G15" i="38"/>
  <c r="G16" i="38" s="1"/>
  <c r="E22" i="38" s="1"/>
  <c r="G8" i="38"/>
  <c r="C7" i="38"/>
  <c r="C8" i="38" s="1"/>
  <c r="D8" i="38"/>
  <c r="D9" i="38" s="1"/>
  <c r="E15" i="38"/>
  <c r="C15" i="38" l="1"/>
  <c r="E24" i="38"/>
  <c r="D22" i="22"/>
  <c r="E16" i="38"/>
  <c r="D22" i="38" s="1"/>
  <c r="D24" i="38" s="1"/>
  <c r="E9" i="38"/>
  <c r="C9" i="38"/>
  <c r="G9" i="38"/>
  <c r="C32" i="38"/>
  <c r="C16" i="38"/>
  <c r="C22" i="38" l="1"/>
  <c r="C24" i="38" s="1"/>
  <c r="C17" i="38"/>
  <c r="G37" i="34"/>
  <c r="E35" i="34"/>
  <c r="D35" i="34"/>
  <c r="J33" i="34"/>
  <c r="E33" i="34"/>
  <c r="D33" i="34"/>
  <c r="J31" i="34"/>
  <c r="D31" i="34"/>
  <c r="A24" i="34"/>
  <c r="A23" i="34"/>
  <c r="A22" i="34"/>
  <c r="A21" i="34"/>
  <c r="A20" i="34"/>
  <c r="G18" i="34"/>
  <c r="E16" i="34"/>
  <c r="F16" i="34" s="1"/>
  <c r="H16" i="34" s="1"/>
  <c r="E14" i="34"/>
  <c r="F14" i="34" s="1"/>
  <c r="H14" i="34" s="1"/>
  <c r="F12" i="34"/>
  <c r="H12" i="34" s="1"/>
  <c r="D15" i="29" l="1"/>
  <c r="D17" i="29"/>
  <c r="D19" i="29"/>
  <c r="F35" i="34"/>
  <c r="H35" i="34" s="1"/>
  <c r="D37" i="34"/>
  <c r="F31" i="34"/>
  <c r="H31" i="34" s="1"/>
  <c r="F33" i="34"/>
  <c r="H33" i="34" s="1"/>
  <c r="H18" i="34"/>
  <c r="I16" i="34" s="1"/>
  <c r="K16" i="34" s="1"/>
  <c r="F18" i="34"/>
  <c r="D21" i="40"/>
  <c r="E19" i="40" l="1"/>
  <c r="I19" i="40" s="1"/>
  <c r="E17" i="40"/>
  <c r="F17" i="40" s="1"/>
  <c r="E15" i="40"/>
  <c r="F19" i="40"/>
  <c r="I17" i="40"/>
  <c r="G19" i="40"/>
  <c r="F15" i="40"/>
  <c r="F37" i="34"/>
  <c r="H37" i="34"/>
  <c r="I12" i="34"/>
  <c r="I14" i="34"/>
  <c r="K14" i="34" s="1"/>
  <c r="I15" i="40" l="1"/>
  <c r="G15" i="40"/>
  <c r="L15" i="40" s="1"/>
  <c r="E21" i="40"/>
  <c r="G17" i="40"/>
  <c r="L17" i="40" s="1"/>
  <c r="L19" i="40"/>
  <c r="G19" i="29" s="1"/>
  <c r="K12" i="34"/>
  <c r="K18" i="34" s="1"/>
  <c r="I18" i="34"/>
  <c r="I35" i="34"/>
  <c r="K35" i="34" s="1"/>
  <c r="I33" i="34"/>
  <c r="K33" i="34" s="1"/>
  <c r="I31" i="34"/>
  <c r="G17" i="29" l="1"/>
  <c r="L21" i="40"/>
  <c r="G15" i="29"/>
  <c r="I37" i="34"/>
  <c r="K31" i="34"/>
  <c r="K37" i="34" s="1"/>
  <c r="O42" i="44" l="1"/>
  <c r="N42" i="44"/>
  <c r="M42" i="44"/>
  <c r="L42" i="44"/>
  <c r="K42" i="44"/>
  <c r="J42" i="44"/>
  <c r="I42" i="44"/>
  <c r="H42" i="44"/>
  <c r="G42" i="44"/>
  <c r="F42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A17" i="44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P16" i="44"/>
  <c r="C33" i="43"/>
  <c r="C35" i="43" s="1"/>
  <c r="C36" i="43" s="1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A16" i="43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3" i="43" s="1"/>
  <c r="A35" i="43" s="1"/>
  <c r="A36" i="43" s="1"/>
  <c r="A37" i="43" s="1"/>
  <c r="A39" i="43" s="1"/>
  <c r="E15" i="43"/>
  <c r="P42" i="44" l="1"/>
  <c r="P44" i="44" s="1"/>
  <c r="E33" i="43"/>
  <c r="E35" i="43" s="1"/>
  <c r="D35" i="43" s="1"/>
  <c r="C39" i="43" s="1"/>
  <c r="N10" i="39" l="1"/>
  <c r="M8" i="39"/>
  <c r="M12" i="39" s="1"/>
  <c r="L8" i="39"/>
  <c r="L12" i="39" s="1"/>
  <c r="K8" i="39"/>
  <c r="K12" i="39" s="1"/>
  <c r="J8" i="39"/>
  <c r="J12" i="39" s="1"/>
  <c r="I8" i="39"/>
  <c r="I12" i="39" s="1"/>
  <c r="H8" i="39"/>
  <c r="H12" i="39" s="1"/>
  <c r="G8" i="39"/>
  <c r="G12" i="39" s="1"/>
  <c r="F8" i="39"/>
  <c r="F12" i="39" s="1"/>
  <c r="E8" i="39"/>
  <c r="E12" i="39" s="1"/>
  <c r="D8" i="39"/>
  <c r="D12" i="39" s="1"/>
  <c r="C8" i="39"/>
  <c r="C12" i="39" s="1"/>
  <c r="B8" i="39"/>
  <c r="B12" i="39" s="1"/>
  <c r="N7" i="39"/>
  <c r="N6" i="39"/>
  <c r="N5" i="39"/>
  <c r="E19" i="29"/>
  <c r="E17" i="29"/>
  <c r="N17" i="39" l="1"/>
  <c r="E41" i="22"/>
  <c r="N8" i="39"/>
  <c r="P10" i="39"/>
  <c r="N12" i="39"/>
  <c r="P8" i="39"/>
  <c r="G34" i="22" l="1"/>
  <c r="G41" i="22"/>
  <c r="D26" i="22" l="1"/>
  <c r="E30" i="22" l="1"/>
  <c r="E18" i="22"/>
  <c r="F19" i="29"/>
  <c r="F17" i="29"/>
  <c r="F15" i="29"/>
  <c r="C16" i="22" l="1"/>
  <c r="D21" i="29" l="1"/>
  <c r="G21" i="29"/>
  <c r="H17" i="29" l="1"/>
  <c r="H19" i="29"/>
  <c r="F21" i="29" l="1"/>
  <c r="I15" i="29" s="1"/>
  <c r="K15" i="29" s="1"/>
  <c r="H15" i="29"/>
  <c r="H21" i="29" s="1"/>
  <c r="E12" i="22" l="1"/>
  <c r="M15" i="29"/>
  <c r="I17" i="29"/>
  <c r="K17" i="29" s="1"/>
  <c r="M17" i="29" s="1"/>
  <c r="I19" i="29"/>
  <c r="K19" i="29" s="1"/>
  <c r="L19" i="29" s="1"/>
  <c r="E12" i="54" l="1"/>
  <c r="M19" i="29"/>
  <c r="M21" i="29" s="1"/>
  <c r="L21" i="29"/>
  <c r="K21" i="29"/>
  <c r="I21" i="29"/>
  <c r="E14" i="22" l="1"/>
  <c r="D16" i="22"/>
  <c r="E16" i="22" s="1"/>
  <c r="E20" i="22" s="1"/>
  <c r="E32" i="22" s="1"/>
  <c r="E14" i="54" l="1"/>
  <c r="D16" i="54"/>
  <c r="E16" i="54" s="1"/>
  <c r="E20" i="54" s="1"/>
  <c r="E32" i="54" s="1"/>
  <c r="I32" i="54" s="1"/>
  <c r="K32" i="54" s="1"/>
  <c r="M32" i="54" s="1"/>
  <c r="E39" i="22"/>
  <c r="E43" i="22" s="1"/>
  <c r="F32" i="22"/>
  <c r="F39" i="22" s="1"/>
  <c r="F43" i="22" s="1"/>
  <c r="F32" i="54" l="1"/>
  <c r="E39" i="54"/>
  <c r="E43" i="54" s="1"/>
  <c r="F36" i="22"/>
  <c r="G32" i="22"/>
  <c r="F36" i="54" l="1"/>
  <c r="F39" i="54"/>
  <c r="F43" i="54" s="1"/>
  <c r="G32" i="54"/>
  <c r="G36" i="22"/>
  <c r="G39" i="22"/>
  <c r="G43" i="22" s="1"/>
  <c r="G39" i="54" l="1"/>
  <c r="G43" i="54" s="1"/>
  <c r="G36" i="54"/>
</calcChain>
</file>

<file path=xl/sharedStrings.xml><?xml version="1.0" encoding="utf-8"?>
<sst xmlns="http://schemas.openxmlformats.org/spreadsheetml/2006/main" count="1004" uniqueCount="382">
  <si>
    <t>DESCRIPTION</t>
  </si>
  <si>
    <t>STATE</t>
  </si>
  <si>
    <t>LINE NO.</t>
  </si>
  <si>
    <t>$</t>
  </si>
  <si>
    <t>OVERALL FINANCIAL SUMMARY</t>
  </si>
  <si>
    <t>FEDERAL</t>
  </si>
  <si>
    <t>OPERATING REVENUE</t>
  </si>
  <si>
    <t>LESS: UNCOLLECTIBLE ACCOUNTS EXPENSE</t>
  </si>
  <si>
    <t>LESS: PSC FEES</t>
  </si>
  <si>
    <t>COST OF CAPITAL SUMMARY</t>
  </si>
  <si>
    <t>CLASS OF CAPITAL</t>
  </si>
  <si>
    <t>ADJUSTMENT AMOUNT</t>
  </si>
  <si>
    <t>PERCENT OF TOTAL</t>
  </si>
  <si>
    <t>COST RATE</t>
  </si>
  <si>
    <t>(A)</t>
  </si>
  <si>
    <t>(B)</t>
  </si>
  <si>
    <t>(C)</t>
  </si>
  <si>
    <t>(D)</t>
  </si>
  <si>
    <t>(F)</t>
  </si>
  <si>
    <t>%</t>
  </si>
  <si>
    <t>SHORT-TERM DEBT</t>
  </si>
  <si>
    <t>LONG-TERM DEBT</t>
  </si>
  <si>
    <t>COMMON EQUITY</t>
  </si>
  <si>
    <t>TOTAL CAPITAL</t>
  </si>
  <si>
    <t>JURISDICTIONAL RATE BASE PERCENTAGE</t>
  </si>
  <si>
    <t>JURISDICTIONAL ADJUSTED CAPITAL</t>
  </si>
  <si>
    <t>(H)</t>
  </si>
  <si>
    <t>JURISDICTIONAL CAPITAL</t>
  </si>
  <si>
    <t>JURISDICTIONAL ADJUSTMENTS</t>
  </si>
  <si>
    <t>CASE NO. 2017-00477</t>
  </si>
  <si>
    <t>FROM JANUARY 1, 2018 TO APRIL 30, 2019</t>
  </si>
  <si>
    <t>TAX GROSS-UP</t>
  </si>
  <si>
    <t>WEIGHTED COST ADJUSTED FOR INCOME TAXES</t>
  </si>
  <si>
    <t>REQUIRED RATE OF RETURN ADJUSTED FOR INCOME TAXES</t>
  </si>
  <si>
    <t>SEVENTEEN MONTH AVERAGE</t>
  </si>
  <si>
    <t>17 MONTH AVERAGE AMOUNT</t>
  </si>
  <si>
    <t>17 MONTH AVERAGE WEIGHTED COST</t>
  </si>
  <si>
    <t>REVENUE REQUIREMENT IMPACT</t>
  </si>
  <si>
    <t>YEARS EQUIVALENT TO 16 MONTHS (16/12)</t>
  </si>
  <si>
    <t>Excess Deferred Tax Forecast</t>
  </si>
  <si>
    <t>Reg Liab before Gross Up</t>
  </si>
  <si>
    <t>Excess Deferred Amortization</t>
  </si>
  <si>
    <t>Total</t>
  </si>
  <si>
    <t>Electric</t>
  </si>
  <si>
    <t>ECR</t>
  </si>
  <si>
    <t>1/1/18</t>
  </si>
  <si>
    <t>12/31/18</t>
  </si>
  <si>
    <t>2018</t>
  </si>
  <si>
    <t>4/30/19</t>
  </si>
  <si>
    <t>16 Month Period from 01/18 - 04/19</t>
  </si>
  <si>
    <t>Protected Excess Deferreds</t>
  </si>
  <si>
    <t>Unprotected Excess Deferreds</t>
  </si>
  <si>
    <t>Total Excess Deferreds</t>
  </si>
  <si>
    <t>Forecasted Test Year Data - Base Revenues Based on Rates in Effect at Time of Filing</t>
  </si>
  <si>
    <t>ELECTRIC</t>
  </si>
  <si>
    <t>Test Year Total</t>
  </si>
  <si>
    <t>Basic Service Charge</t>
  </si>
  <si>
    <t>Total Base Revenues</t>
  </si>
  <si>
    <t>(E=CxD)</t>
  </si>
  <si>
    <t>(G=E+F)</t>
  </si>
  <si>
    <t>(I)</t>
  </si>
  <si>
    <t>(J=HxI)</t>
  </si>
  <si>
    <t>(J+K)</t>
  </si>
  <si>
    <t>LOUISVILLE GAS AND ELECTRIC COMPANY</t>
  </si>
  <si>
    <t>ELECTRIC:</t>
  </si>
  <si>
    <t>NOL - ELECTRIC</t>
  </si>
  <si>
    <t>Gas</t>
  </si>
  <si>
    <t>4 Months 2019</t>
  </si>
  <si>
    <t>Louisville Gas &amp; Electric</t>
  </si>
  <si>
    <t>GAS</t>
  </si>
  <si>
    <t>Distribution Charge</t>
  </si>
  <si>
    <t>Demand Charge</t>
  </si>
  <si>
    <t>MCF</t>
  </si>
  <si>
    <t>Total Base Revenues per MCF</t>
  </si>
  <si>
    <t>GAS:</t>
  </si>
  <si>
    <t>CAPITALIZATION ALLOCATED TO GAS OPERATIONS</t>
  </si>
  <si>
    <t>Louisville Gas and Electric Company</t>
  </si>
  <si>
    <t>Non Plant Related Excess Deferred Taxes</t>
  </si>
  <si>
    <t>Description</t>
  </si>
  <si>
    <t>Cumulative Timing Difference</t>
  </si>
  <si>
    <t>Deferred Tax Balance at Old Rates</t>
  </si>
  <si>
    <t>Deferred Tax Balance at New Rates</t>
  </si>
  <si>
    <t>Excess Deferred Taxes</t>
  </si>
  <si>
    <t>2009 Winter Storm Damages</t>
  </si>
  <si>
    <t>African American Venture Fund</t>
  </si>
  <si>
    <t>Amortization Loss on Reacquired Debt</t>
  </si>
  <si>
    <t>Bad Debts Reserves</t>
  </si>
  <si>
    <t>CAFC</t>
  </si>
  <si>
    <t>Demand Side Management</t>
  </si>
  <si>
    <t>FAS 106 Cost Write-Off (Post Retirement)</t>
  </si>
  <si>
    <t>FAS 112 Cost Write-Off (Post Employment)</t>
  </si>
  <si>
    <t>FAS 87 Pensions</t>
  </si>
  <si>
    <t>Interest Rate Swaps</t>
  </si>
  <si>
    <t>Performance Incentive</t>
  </si>
  <si>
    <t>Prepaid Insurance</t>
  </si>
  <si>
    <t>Regulatory Expenses</t>
  </si>
  <si>
    <t>State Tax Current</t>
  </si>
  <si>
    <t>Unclaimed Checks</t>
  </si>
  <si>
    <t>Vacation Pay</t>
  </si>
  <si>
    <t>Workers Compensation</t>
  </si>
  <si>
    <t>Capitalized Gas Inventory Costs</t>
  </si>
  <si>
    <t>Gas Line Tracker Reg Liab - Current</t>
  </si>
  <si>
    <t>Line Pack - IRS Audit</t>
  </si>
  <si>
    <t>Purchased Gas Adjustment - Current</t>
  </si>
  <si>
    <t>GAS BILLING UNITS (TY CCF / 12 MO x 13 MO)</t>
  </si>
  <si>
    <t>AMORTIZATION OF EXCESS ADIT (UNPROTECTED) - (SL OVER 15 YEARS)</t>
  </si>
  <si>
    <t>COST OF CAPITAL SUMMARY - ADJUSTMENT AMOUNT</t>
  </si>
  <si>
    <t>DSM RATE BASE</t>
  </si>
  <si>
    <t>INVESTMENT TAX CREDITS</t>
  </si>
  <si>
    <t>ADJUSTMENT AM0UNT</t>
  </si>
  <si>
    <t>(E)</t>
  </si>
  <si>
    <t>(G)</t>
  </si>
  <si>
    <t>(J)</t>
  </si>
  <si>
    <t>(K=E+F+G+H+I+J)</t>
  </si>
  <si>
    <t>GLT RATE BASE</t>
  </si>
  <si>
    <t>NOTES:</t>
  </si>
  <si>
    <t>(D)  "JURISDICTIONAL RATE BASE PERCENTAGE IS PER CASE NO. 2016-00371.</t>
  </si>
  <si>
    <t>BASE RATES</t>
  </si>
  <si>
    <t>MECHANISMS</t>
  </si>
  <si>
    <t>NOL - GAS</t>
  </si>
  <si>
    <t>GLT</t>
  </si>
  <si>
    <t>DSM</t>
  </si>
  <si>
    <t>16 Month Period</t>
  </si>
  <si>
    <t>Protected Deferreds under ARAM</t>
  </si>
  <si>
    <t>Electric - Base</t>
  </si>
  <si>
    <t>Gas - Base</t>
  </si>
  <si>
    <t>Mechanisms</t>
  </si>
  <si>
    <t>2008 Wind Storm Damages</t>
  </si>
  <si>
    <t>2011 Summer Storm Damages</t>
  </si>
  <si>
    <t>CCR ARO Ponds</t>
  </si>
  <si>
    <t>CMRG Regulatory Asset</t>
  </si>
  <si>
    <t>Contingency Reserve</t>
  </si>
  <si>
    <t>Emission Allowances</t>
  </si>
  <si>
    <t>Environmental Cost Recovery - Current</t>
  </si>
  <si>
    <t>FAC Under Recovery KY - Current</t>
  </si>
  <si>
    <t>Off-System Sales Tracker - Reg Liab</t>
  </si>
  <si>
    <t xml:space="preserve">Plant Outage Normalization - Reg Asset </t>
  </si>
  <si>
    <t>Refined Coal - KY - Reg Liab</t>
  </si>
  <si>
    <t>Research Dev. &amp; Demo Exp.</t>
  </si>
  <si>
    <t>Swap Termination</t>
  </si>
  <si>
    <t>Tenant Incentive Amortization</t>
  </si>
  <si>
    <t>AMORTIZATION OF EXCESS ADIT (PROTECTED) -  ($75,168,977 USING ARAM)</t>
  </si>
  <si>
    <t>REFERENCE</t>
  </si>
  <si>
    <t>EMBEDDED COST OF SHORT-TERM DEBT</t>
  </si>
  <si>
    <t>ISSUE</t>
  </si>
  <si>
    <t>AMOUNT OUTSTANDING</t>
  </si>
  <si>
    <t>INTEREST RATE</t>
  </si>
  <si>
    <t>INTEREST REQUIREMENT</t>
  </si>
  <si>
    <t>(D=BxC)</t>
  </si>
  <si>
    <t>Commercial Paper:</t>
  </si>
  <si>
    <t>Weighted Cost of Short-Term Debt</t>
  </si>
  <si>
    <t>EMBEDDED COST OF LONG-TERM DEBT</t>
  </si>
  <si>
    <t>ANNUAL COST</t>
  </si>
  <si>
    <t>DEBT ISSUE TYPE</t>
  </si>
  <si>
    <t>COUPON RATE</t>
  </si>
  <si>
    <t>DATE ISSUED (DAY/MO/YR)</t>
  </si>
  <si>
    <t>MATURITY DATE (DAY/MO/YR)</t>
  </si>
  <si>
    <t>AVERAGE 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</si>
  <si>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</si>
  <si>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</si>
  <si>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</si>
  <si>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</si>
  <si>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</si>
  <si>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</si>
  <si>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</si>
  <si>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</si>
  <si>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</si>
  <si>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</si>
  <si>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(H=D+E-F-G)</t>
  </si>
  <si>
    <t>(I=AxD)</t>
  </si>
  <si>
    <t>(K)</t>
  </si>
  <si>
    <t>(L)</t>
  </si>
  <si>
    <t>(M)</t>
  </si>
  <si>
    <t>(N=I+J+K+L+M)</t>
  </si>
  <si>
    <t>Nov. 16, 2010</t>
  </si>
  <si>
    <t>Nov. 15, 2040</t>
  </si>
  <si>
    <t>Nov. 14, 2013</t>
  </si>
  <si>
    <t>Nov. 15, 2043</t>
  </si>
  <si>
    <t>Sep. 28, 2015</t>
  </si>
  <si>
    <t xml:space="preserve"> Oct 1,2025</t>
  </si>
  <si>
    <t xml:space="preserve"> Oct 1,2045</t>
  </si>
  <si>
    <t>Apr. 26, 2007</t>
  </si>
  <si>
    <t>June 1, 2033</t>
  </si>
  <si>
    <t>Oct. 26, 2017</t>
  </si>
  <si>
    <t>Jan. 11, 2018</t>
  </si>
  <si>
    <t>Mar. 6, 2002</t>
  </si>
  <si>
    <t xml:space="preserve"> Sep 1, 2026</t>
  </si>
  <si>
    <t>Apr. 13, 2005</t>
  </si>
  <si>
    <t xml:space="preserve"> Feb 1, 2035</t>
  </si>
  <si>
    <t>Mar. 22, 2002</t>
  </si>
  <si>
    <t xml:space="preserve"> Nov 1, 2027</t>
  </si>
  <si>
    <t>Nov. 20, 2003</t>
  </si>
  <si>
    <t xml:space="preserve"> Oct 1,2033</t>
  </si>
  <si>
    <t>Sep. 15, 2016</t>
  </si>
  <si>
    <t>Sep. 1, 2044</t>
  </si>
  <si>
    <t>Revolving Credit Facility</t>
  </si>
  <si>
    <t>Called Bonds</t>
  </si>
  <si>
    <t xml:space="preserve">JP Morgan Chase Bank 5.495% </t>
  </si>
  <si>
    <t>Nov. 1, 2020</t>
  </si>
  <si>
    <t xml:space="preserve">Morgan Stanley Capital Services 3.657% </t>
  </si>
  <si>
    <t>Oct. 1, 2033</t>
  </si>
  <si>
    <t xml:space="preserve">Morgan Stanley Capital Services 3.645% </t>
  </si>
  <si>
    <t>Bank of America 3.695%</t>
  </si>
  <si>
    <t>2013 30-Year - Swap Hedging FMB - 4.65%</t>
  </si>
  <si>
    <t>2015 10-Year - Swap Hedging FMB -3.30%</t>
  </si>
  <si>
    <t>2015 30-Year - Swap Hedging FMB - 4.375%</t>
  </si>
  <si>
    <t>TOTALS</t>
  </si>
  <si>
    <t>17 Month Average (D / B)</t>
  </si>
  <si>
    <t>Adjustment to Capital Structure - Case No. 2016-00371</t>
  </si>
  <si>
    <t>Adjusted 17 Month Average</t>
  </si>
  <si>
    <t>EMBEDDED COST OF LONG-TERM DEBT (N / TOTALS H LESS LINE NO. 26)</t>
  </si>
  <si>
    <t>(15 year amort for unprotected - Base)</t>
  </si>
  <si>
    <t>CASE NO. 2018-00034 - GAS OPERATIONS</t>
  </si>
  <si>
    <t>CASE NO. 2018-00034</t>
  </si>
  <si>
    <t>Residential</t>
  </si>
  <si>
    <t>Non-Residential</t>
  </si>
  <si>
    <t>Increase</t>
  </si>
  <si>
    <t>Commercial Gas Service - Rate CGS</t>
  </si>
  <si>
    <t>Industrial Gas Service - Rate IGS</t>
  </si>
  <si>
    <t>Distributed Generation Gas Service - Rate DGGS</t>
  </si>
  <si>
    <t>As-Available Gas Service - Rate AAGS</t>
  </si>
  <si>
    <t>Special Contract - Intra-Company Sales</t>
  </si>
  <si>
    <t>RATE PER MONTH CALCULATIONS:</t>
  </si>
  <si>
    <t>GAS BILLING UNITS PER MONTH (TY CCF / 12 MO)</t>
  </si>
  <si>
    <t>RESIDENTIAL TARIFF            (65.4% OF TOTAL REVENUES)</t>
  </si>
  <si>
    <t>per MCF</t>
  </si>
  <si>
    <t>Source:</t>
  </si>
  <si>
    <t>Res</t>
  </si>
  <si>
    <t>Rate Case - Schedule M-2.3G Page 1</t>
  </si>
  <si>
    <t>All</t>
  </si>
  <si>
    <t>Non-Res</t>
  </si>
  <si>
    <t>Base Rate</t>
  </si>
  <si>
    <t xml:space="preserve">GLT </t>
  </si>
  <si>
    <t>GSC</t>
  </si>
  <si>
    <t>Current</t>
  </si>
  <si>
    <t>Percentage</t>
  </si>
  <si>
    <t>TCJA Credit</t>
  </si>
  <si>
    <t>Rate Class</t>
  </si>
  <si>
    <t>Revenue</t>
  </si>
  <si>
    <t>Change</t>
  </si>
  <si>
    <t>Volumes</t>
  </si>
  <si>
    <t>12 Month</t>
  </si>
  <si>
    <t>13 Months</t>
  </si>
  <si>
    <t>Residential Gas Service - Rate RGS</t>
  </si>
  <si>
    <t>Firm Transportation Service (Non-Standby) Rate FT</t>
  </si>
  <si>
    <t>Substitute Gas Sales Service</t>
  </si>
  <si>
    <t>Subtotal Sales to Ultimate Consumers and Inter-Company</t>
  </si>
  <si>
    <t>LPC</t>
  </si>
  <si>
    <t>Miscellaneous Revenue</t>
  </si>
  <si>
    <t>Total Sales to Ultimate Consumers and Inter-Company</t>
  </si>
  <si>
    <t>Total Revenue with Rate Increase</t>
  </si>
  <si>
    <t>% of Total Revenue</t>
  </si>
  <si>
    <t>% of Revenue</t>
  </si>
  <si>
    <t>Adjusted for Commission Order</t>
  </si>
  <si>
    <t>FORECASTED PERIOD (1/1/2018 - 4/30/2019) 21% FEDERAL INCOME TAX RATE</t>
  </si>
  <si>
    <t>NON-RESIDENTIAL TARIFFS          (34.6% OF TOTAL REVENUES)</t>
  </si>
  <si>
    <t>BLAKE</t>
  </si>
  <si>
    <r>
      <t xml:space="preserve">(I)  SEE CALCULATION OF DEBT COST RATES, </t>
    </r>
    <r>
      <rPr>
        <b/>
        <sz val="10"/>
        <rFont val="Arial"/>
        <family val="2"/>
      </rPr>
      <t>PAGES 5 AND 6</t>
    </r>
    <r>
      <rPr>
        <sz val="10"/>
        <rFont val="Arial"/>
        <family val="2"/>
      </rPr>
      <t>.</t>
    </r>
  </si>
  <si>
    <r>
      <t xml:space="preserve">(F)  "JURISDICTIONAL ADJUSTMENTS" INCLUDE ITC, AND REMOVE RATE BASE OF OTHER RATE MECHANISMS, GLT. </t>
    </r>
    <r>
      <rPr>
        <b/>
        <sz val="10"/>
        <rFont val="Arial"/>
        <family val="2"/>
      </rPr>
      <t>SEE PAGE 4</t>
    </r>
    <r>
      <rPr>
        <sz val="10"/>
        <rFont val="Arial"/>
        <family val="2"/>
      </rPr>
      <t>.</t>
    </r>
  </si>
  <si>
    <t>COMPUTATION OF COMPOSITE FEDERAL AND STATE INCOME TAX RATE</t>
  </si>
  <si>
    <t>INCOME BEFORE STATE INCOME TAX (LINES 1 - 2 - 3)</t>
  </si>
  <si>
    <t>STATE INCOME TAX (LINE 4 X 6.00%)</t>
  </si>
  <si>
    <t>INCOME BEFORE FEDERAL INCOME TAX (LINES 4 - 5)</t>
  </si>
  <si>
    <t>TOTAL STATE AND FEDERAL INCOME TAXES (LINES 5 + 7)</t>
  </si>
  <si>
    <t>BASED ON 21% FEDERAL INCOME TAX RATE</t>
  </si>
  <si>
    <t>FEDERAL INCOME TAX (LINE 6 X 21.00%)</t>
  </si>
  <si>
    <t>COST OF CAPITAL SUMMARY - 21% FEDERAL INCOME TAX RATE</t>
  </si>
  <si>
    <r>
      <t xml:space="preserve">(K)  SEE CALCULATION OF EFFECTIVE TAX RATE, </t>
    </r>
    <r>
      <rPr>
        <b/>
        <sz val="10"/>
        <rFont val="Arial"/>
        <family val="2"/>
      </rPr>
      <t>PAGE 8</t>
    </r>
    <r>
      <rPr>
        <sz val="10"/>
        <rFont val="Arial"/>
        <family val="2"/>
      </rPr>
      <t>.</t>
    </r>
  </si>
  <si>
    <t xml:space="preserve">   LG&amp;E_546676AU1_FMB 5.125% due Nov. 15, 2040 </t>
  </si>
  <si>
    <t xml:space="preserve">   LG&amp;E_546676AV9_FMB 4.65% due Nov 1, 2043 </t>
  </si>
  <si>
    <t xml:space="preserve">   LG&amp;E_546676AW7_FMB 3.30% due Oct 1, 2025 </t>
  </si>
  <si>
    <t xml:space="preserve">   LG&amp;E_546676AX5_FMB 4.375% due Oct. 1, 2045 </t>
  </si>
  <si>
    <t xml:space="preserve">   LG&amp;E_896221AD0_PCB 3.75% due June 1, 2033 </t>
  </si>
  <si>
    <t xml:space="preserve">   LG&amp;E_2017 Term Loan $100M</t>
  </si>
  <si>
    <t>Oct. 25, 2019</t>
  </si>
  <si>
    <t xml:space="preserve">   LG&amp;E_2018 Term Loan $100M</t>
  </si>
  <si>
    <t xml:space="preserve">   LG&amp;E_473044BV6_PCB Variable due Sep 1, 2026 </t>
  </si>
  <si>
    <t xml:space="preserve">   LG&amp;E_546749AK8_PCB Variable due Feb 1, 2035 </t>
  </si>
  <si>
    <t xml:space="preserve">   LG&amp;E_546749AL6_PCB Variable Series DD due Nov 1, 2027 </t>
  </si>
  <si>
    <t xml:space="preserve">   LG&amp;E_546749AM4_PCB Variable due Oct 1,2033 </t>
  </si>
  <si>
    <t xml:space="preserve">   LG&amp;E_546751AH1_PCB Variable due June 1, 2033 </t>
  </si>
  <si>
    <t xml:space="preserve">   LG&amp;E_546751AJ7_PCB Variable $31M due June 1, 2033 </t>
  </si>
  <si>
    <t xml:space="preserve">   LG&amp;E_896224AW2_PCB Variable Series EE due Nov 1, 2027 </t>
  </si>
  <si>
    <t xml:space="preserve">   LG&amp;E_896224AX0_PCB Variable Series CC due Sep 1, 2026 </t>
  </si>
  <si>
    <t xml:space="preserve">   LG&amp;E_896224AY8_PCB Variable due Sep 1, 2044 </t>
  </si>
  <si>
    <t>Adjustment to Capital Structure - Case NO. 2016-00371</t>
  </si>
  <si>
    <t>MONTHLY GAS CREDIT PER CCF (LINE 14 / LINE 15)</t>
  </si>
  <si>
    <t>GAS CREDIT PER CCF (APRIL 1, 2018 - APRIL 30, 2019) (LINE 11 / LINE 12)</t>
  </si>
  <si>
    <t>TOTAL MONTHLY REDUCTION IN REVENUE REQUIREMENTS (LINE 11 / 16 MO)</t>
  </si>
  <si>
    <t>REQUIRED ANNUAL OPERATING INCOME BEFORE TAXES (LINE 1 x LINE 2)</t>
  </si>
  <si>
    <t xml:space="preserve"> TOTAL REDUCTION IN INCOME TAX EXPENSE (LINE 3 x LINE 4)</t>
  </si>
  <si>
    <t>TOTAL AMORTIZATION OF EXCESS ADIT (LINE 6 + LINE 7)</t>
  </si>
  <si>
    <t>TOTAL REDUCTION IN DEFERRED INCOME TAX EXPENSE (LINE 8 x LINE 9)</t>
  </si>
  <si>
    <t>TOTAL REDUCTION IN REVENUE REQUIREMENTS (LINE 5 + LINE 10)</t>
  </si>
  <si>
    <t>CASE NO. 2016-00371</t>
  </si>
  <si>
    <t>THIRTEEN MONTH AVERAGE</t>
  </si>
  <si>
    <t>FROM JULY 1, 2017 TO JUNE 30, 2018</t>
  </si>
  <si>
    <t>DATA:____BASE  PERIOD__X__FORECASTED  PERIOD</t>
  </si>
  <si>
    <t>DATE OF CAPITAL STRUCTURE: 13 MO AVG FOR FORECASTED  PERIOD</t>
  </si>
  <si>
    <t>SCHEDULE J-1.1/J-1.2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</si>
  <si>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</si>
  <si>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1 OF 4</t>
  </si>
  <si>
    <t xml:space="preserve">WORKPAPER REFERENCE NO(S).: </t>
  </si>
  <si>
    <t>WITNESS:   D. K. ARBOUGH</t>
  </si>
  <si>
    <t>WORKPAPER REFERENCE</t>
  </si>
  <si>
    <t>13 MONTH AVERAGE AMOUNT</t>
  </si>
  <si>
    <t>13 MONTH AVERAGE WEIGHTED COST</t>
  </si>
  <si>
    <t>STIPULATION ADJUSTMENTS</t>
  </si>
  <si>
    <t>J-2</t>
  </si>
  <si>
    <t>J-3</t>
  </si>
  <si>
    <t>SLIPPAGE</t>
  </si>
  <si>
    <t>AMS</t>
  </si>
  <si>
    <t>PAGE 2 OF 4</t>
  </si>
  <si>
    <t>COMPUTATION OF GROSS REVENUE CONVERSION FACTOR</t>
  </si>
  <si>
    <t>FOR THE 12 MONTHS ENDED FEBRUARY 28, 2017</t>
  </si>
  <si>
    <t>FOR THE 12 MONTHS ENDED JUNE 30, 2018</t>
  </si>
  <si>
    <t>DATA:__X__BASE  PERIOD__X__FORECASTED  PERIOD</t>
  </si>
  <si>
    <t>SCHEDULE H-1</t>
  </si>
  <si>
    <t>PAGE 1 OF 1</t>
  </si>
  <si>
    <t>WORKPAPER REFERENCE NO(S).: WPH-1.A</t>
  </si>
  <si>
    <t>WITNESS:   C. M. GARRETT</t>
  </si>
  <si>
    <t>PERCENTAGE OF INCREMENTAL GROSS REVENUE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</si>
  <si>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</si>
  <si>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</si>
  <si>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</si>
  <si>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</si>
  <si>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</si>
  <si>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</si>
  <si>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</si>
  <si>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</si>
  <si>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CASE NO. 2016-00371 FINAL ORDER                                    (7/1/2017 - 6/30/2018)</t>
  </si>
  <si>
    <t>Components of Capitalization Changes</t>
  </si>
  <si>
    <t>Blake Testimony Support</t>
  </si>
  <si>
    <t>Case No. 2018-0034</t>
  </si>
  <si>
    <t>Attorney-Client Work Product</t>
  </si>
  <si>
    <t>Privileged &amp; Confidential</t>
  </si>
  <si>
    <t>17-Month Average Ending 4/30/19</t>
  </si>
  <si>
    <t>KU Jurisdictional</t>
  </si>
  <si>
    <t>LG&amp;E Electric</t>
  </si>
  <si>
    <t>LG&amp;E Gas</t>
  </si>
  <si>
    <t>TCJA Credit to Customers</t>
  </si>
  <si>
    <t>TCJA Impact on other Rate Mechanisms</t>
  </si>
  <si>
    <t>TCJA Impact on Cash Taxes Paid</t>
  </si>
  <si>
    <t>Subtotal - TCJA Impacts</t>
  </si>
  <si>
    <t>Other</t>
  </si>
  <si>
    <t>$000s</t>
  </si>
  <si>
    <t>&gt; FORECASTED PERIOD LESS TCJA CAPITALIZATION IMPACT</t>
  </si>
  <si>
    <t>ADJUSTED</t>
  </si>
  <si>
    <t>CHANGE</t>
  </si>
  <si>
    <t>&gt; IMPACT:</t>
  </si>
  <si>
    <t>&gt; FORECASTED PERIOD LESS TCJA AND OTHER CAPITALIZATION IMPACTS</t>
  </si>
  <si>
    <t>LESS TCJA CAP IMPACT</t>
  </si>
  <si>
    <t>NET CHANGE</t>
  </si>
  <si>
    <t>LESS CAP IMPACTS</t>
  </si>
  <si>
    <t>ATTACHMENT TO RESPONSE TO KIUC POST HEARING QUESTION NO. 1</t>
  </si>
  <si>
    <t>EXHIBIT KWB-5</t>
  </si>
  <si>
    <t>PAGE 6 OF 6</t>
  </si>
  <si>
    <t>Calculation of Composite Federal and Kentucky</t>
  </si>
  <si>
    <t>Income Tax Rate</t>
  </si>
  <si>
    <t>(Based on Law in Effect January 1, 2018)</t>
  </si>
  <si>
    <t xml:space="preserve">1. Assume pre-tax income of </t>
  </si>
  <si>
    <t>2.  State income tax (see SIT calc below)</t>
  </si>
  <si>
    <t>3.  Taxable income for Federal income tax before production activities deduction</t>
  </si>
  <si>
    <t xml:space="preserve">     a. Production Rate</t>
  </si>
  <si>
    <t xml:space="preserve">     b. Allocation to Production Income</t>
  </si>
  <si>
    <t xml:space="preserve">     c. Allocated Production Rate</t>
  </si>
  <si>
    <t>5.  Taxable income for Federal income tax (Line 3 - Line 4)</t>
  </si>
  <si>
    <t>6.  Federal income tax at 21% (Line 5 x 21%)</t>
  </si>
  <si>
    <t>7.  Total State and Federal income taxes (Line 2 + Line 6)</t>
  </si>
  <si>
    <t>State Income Tax Calculation</t>
  </si>
  <si>
    <t xml:space="preserve">3.  Taxable income for State income tax </t>
  </si>
  <si>
    <t>4.  State Tax Rate</t>
  </si>
  <si>
    <t>5.  State Income Tax</t>
  </si>
  <si>
    <t>Rate Case</t>
  </si>
  <si>
    <t>Offer &amp; Accept</t>
  </si>
  <si>
    <t>Rehearing</t>
  </si>
  <si>
    <t>AS FILED</t>
  </si>
  <si>
    <t>LESS TAX RATE IMPACT</t>
  </si>
  <si>
    <t>AND FORECASTED PERIOD USING CURRENT INTEREST RATES PER EXHIBIT KWB-4 OF BLAKE REHEARING TESTIMONY</t>
  </si>
  <si>
    <t>UPDATED</t>
  </si>
  <si>
    <t>AND FORECASTED PERIOD USING COST OF DEBT FROM CASE NO. 2016-00371</t>
  </si>
  <si>
    <t>&gt; FORECASTED PERIOD WITH UPDATED COMPOSITE TAX RATE PER EXHIBIT KWB-3 OF BLAKE REHEARING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</si>
</sst>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_(&quot;$&quot;* #,##0_);_(&quot;$&quot;* \(#,##0\);_(&quot;$&quot;* &quot;-&quot;??_);_(@_)"/>
    <numFmt numFmtId="188" formatCode="_(* #,##0.00000_);_(* \(#,##0.00000\);_(* &quot;-&quot;??_);_(@_)"/>
    <numFmt numFmtId="189" formatCode="_(&quot;$&quot;* #,##0.00000_);_(&quot;$&quot;* \(#,##0.00000\);_(&quot;$&quot;* &quot;-&quot;??_);_(@_)"/>
    <numFmt numFmtId="190" formatCode="0.000%"/>
    <numFmt numFmtId="191" formatCode="0.0%"/>
    <numFmt numFmtId="192" formatCode="0.00000000%"/>
    <numFmt numFmtId="193" formatCode="0.000000000%"/>
    <numFmt numFmtId="194" formatCode="#,##0.000_);\(#,##0.000\)"/>
    <numFmt numFmtId="195" formatCode="0.0000%"/>
    <numFmt numFmtId="196" formatCode="_(&quot;$&quot;* #,##0.0000_);_(&quot;$&quot;* \(#,##0.0000\);_(&quot;$&quot;* &quot;-&quot;??_);_(@_)"/>
    <numFmt numFmtId="197" formatCode="_(* #,##0.0000_);_(* \(#,##0.0000\);_(* &quot;-&quot;??_);_(@_)"/>
  </numFmts>
  <fonts count="1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12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4668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37" fontId="21" fillId="0" borderId="0"/>
    <xf numFmtId="0" fontId="14" fillId="15" borderId="0"/>
    <xf numFmtId="0" fontId="14" fillId="15" borderId="0"/>
    <xf numFmtId="165" fontId="14" fillId="0" borderId="0"/>
    <xf numFmtId="165" fontId="1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2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2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3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2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2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2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3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3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2" fillId="2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2" fillId="2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2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3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2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3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25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0" fontId="24" fillId="26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0" fontId="24" fillId="23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17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4" fillId="28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25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26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4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4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30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6" fillId="33" borderId="0" applyNumberFormat="0" applyBorder="0" applyAlignment="0" applyProtection="0"/>
    <xf numFmtId="166" fontId="27" fillId="23" borderId="0" applyNumberFormat="0" applyBorder="0" applyAlignment="0" applyProtection="0"/>
    <xf numFmtId="166" fontId="27" fillId="23" borderId="0" applyNumberFormat="0" applyBorder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30" fillId="36" borderId="9" applyNumberFormat="0" applyAlignment="0" applyProtection="0"/>
    <xf numFmtId="166" fontId="31" fillId="36" borderId="9" applyNumberFormat="0" applyAlignment="0" applyProtection="0"/>
    <xf numFmtId="166" fontId="31" fillId="36" borderId="9" applyNumberFormat="0" applyAlignment="0" applyProtection="0"/>
    <xf numFmtId="167" fontId="32" fillId="0" borderId="10" applyBorder="0">
      <alignment horizontal="center" vertical="center"/>
    </xf>
    <xf numFmtId="168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8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8" fontId="34" fillId="34" borderId="0">
      <alignment horizontal="center"/>
    </xf>
    <xf numFmtId="0" fontId="34" fillId="34" borderId="0">
      <alignment horizontal="center"/>
    </xf>
    <xf numFmtId="166" fontId="34" fillId="34" borderId="0">
      <alignment horizontal="center"/>
    </xf>
    <xf numFmtId="168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8" fontId="35" fillId="34" borderId="0">
      <alignment horizontal="left"/>
    </xf>
    <xf numFmtId="0" fontId="35" fillId="34" borderId="0">
      <alignment horizontal="left"/>
    </xf>
    <xf numFmtId="166" fontId="35" fillId="34" borderId="0">
      <alignment horizontal="left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37" fontId="14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38" borderId="11" applyNumberFormat="0" applyFont="0" applyAlignment="0">
      <protection locked="0"/>
    </xf>
    <xf numFmtId="0" fontId="14" fillId="38" borderId="11" applyNumberFormat="0" applyFont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13" fillId="0" borderId="0" applyProtection="0"/>
    <xf numFmtId="166" fontId="13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12" fillId="0" borderId="0" applyProtection="0"/>
    <xf numFmtId="166" fontId="12" fillId="0" borderId="0" applyProtection="0"/>
    <xf numFmtId="166" fontId="12" fillId="0" borderId="0" applyProtection="0"/>
    <xf numFmtId="0" fontId="14" fillId="0" borderId="0" applyProtection="0"/>
    <xf numFmtId="0" fontId="14" fillId="0" borderId="0" applyProtection="0"/>
    <xf numFmtId="166" fontId="14" fillId="0" borderId="0" applyProtection="0"/>
    <xf numFmtId="166" fontId="14" fillId="0" borderId="0" applyProtection="0"/>
    <xf numFmtId="0" fontId="13" fillId="0" borderId="0" applyProtection="0"/>
    <xf numFmtId="166" fontId="13" fillId="0" borderId="0" applyProtection="0"/>
    <xf numFmtId="0" fontId="43" fillId="0" borderId="0" applyProtection="0"/>
    <xf numFmtId="166" fontId="43" fillId="0" borderId="0" applyProtection="0"/>
    <xf numFmtId="2" fontId="19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4" fillId="21" borderId="0" applyNumberFormat="0" applyBorder="0" applyAlignment="0" applyProtection="0"/>
    <xf numFmtId="166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45" fillId="0" borderId="12" applyNumberFormat="0" applyFill="0" applyAlignment="0" applyProtection="0"/>
    <xf numFmtId="166" fontId="46" fillId="0" borderId="13" applyNumberFormat="0" applyFill="0" applyAlignment="0" applyProtection="0"/>
    <xf numFmtId="0" fontId="16" fillId="0" borderId="4" applyNumberFormat="0" applyFill="0" applyAlignment="0" applyProtection="0"/>
    <xf numFmtId="166" fontId="46" fillId="0" borderId="13" applyNumberFormat="0" applyFill="0" applyAlignment="0" applyProtection="0"/>
    <xf numFmtId="0" fontId="47" fillId="0" borderId="14" applyNumberFormat="0" applyFill="0" applyAlignment="0" applyProtection="0"/>
    <xf numFmtId="166" fontId="48" fillId="0" borderId="15" applyNumberFormat="0" applyFill="0" applyAlignment="0" applyProtection="0"/>
    <xf numFmtId="0" fontId="17" fillId="0" borderId="5" applyNumberFormat="0" applyFill="0" applyAlignment="0" applyProtection="0"/>
    <xf numFmtId="166" fontId="48" fillId="0" borderId="15" applyNumberFormat="0" applyFill="0" applyAlignment="0" applyProtection="0"/>
    <xf numFmtId="0" fontId="49" fillId="0" borderId="16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>
      <alignment vertical="top"/>
      <protection locked="0"/>
    </xf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8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8" fontId="54" fillId="34" borderId="0">
      <alignment horizontal="left"/>
    </xf>
    <xf numFmtId="0" fontId="54" fillId="34" borderId="0">
      <alignment horizontal="left"/>
    </xf>
    <xf numFmtId="0" fontId="54" fillId="34" borderId="0">
      <alignment horizontal="left"/>
    </xf>
    <xf numFmtId="166" fontId="54" fillId="34" borderId="0">
      <alignment horizontal="left"/>
    </xf>
    <xf numFmtId="0" fontId="55" fillId="0" borderId="18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22" borderId="0" applyNumberFormat="0" applyBorder="0" applyAlignment="0" applyProtection="0"/>
    <xf numFmtId="166" fontId="58" fillId="22" borderId="0" applyNumberFormat="0" applyBorder="0" applyAlignment="0" applyProtection="0"/>
    <xf numFmtId="166" fontId="58" fillId="22" borderId="0" applyNumberFormat="0" applyBorder="0" applyAlignment="0" applyProtection="0"/>
    <xf numFmtId="168" fontId="14" fillId="0" borderId="0"/>
    <xf numFmtId="0" fontId="14" fillId="0" borderId="0"/>
    <xf numFmtId="166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66" fontId="14" fillId="0" borderId="0"/>
    <xf numFmtId="165" fontId="14" fillId="0" borderId="0"/>
    <xf numFmtId="165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6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166" fontId="14" fillId="0" borderId="0"/>
    <xf numFmtId="0" fontId="14" fillId="0" borderId="0"/>
    <xf numFmtId="0" fontId="23" fillId="0" borderId="0"/>
    <xf numFmtId="171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171" fontId="14" fillId="0" borderId="0"/>
    <xf numFmtId="0" fontId="11" fillId="0" borderId="0"/>
    <xf numFmtId="0" fontId="14" fillId="0" borderId="0"/>
    <xf numFmtId="171" fontId="11" fillId="0" borderId="0"/>
    <xf numFmtId="165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166" fontId="14" fillId="0" borderId="0"/>
    <xf numFmtId="37" fontId="41" fillId="0" borderId="0"/>
    <xf numFmtId="0" fontId="11" fillId="0" borderId="0"/>
    <xf numFmtId="0" fontId="11" fillId="0" borderId="0"/>
    <xf numFmtId="0" fontId="37" fillId="0" borderId="0"/>
    <xf numFmtId="37" fontId="21" fillId="0" borderId="0"/>
    <xf numFmtId="168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1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1" fillId="0" borderId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1" fillId="0" borderId="0"/>
    <xf numFmtId="0" fontId="11" fillId="0" borderId="0"/>
    <xf numFmtId="0" fontId="11" fillId="0" borderId="0"/>
    <xf numFmtId="172" fontId="61" fillId="34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0" fontId="11" fillId="0" borderId="0"/>
    <xf numFmtId="40" fontId="62" fillId="40" borderId="0">
      <alignment horizontal="right"/>
    </xf>
    <xf numFmtId="168" fontId="63" fillId="41" borderId="0">
      <alignment horizontal="center"/>
    </xf>
    <xf numFmtId="0" fontId="64" fillId="40" borderId="0">
      <alignment horizontal="right"/>
    </xf>
    <xf numFmtId="0" fontId="11" fillId="0" borderId="0"/>
    <xf numFmtId="0" fontId="63" fillId="40" borderId="0">
      <alignment horizontal="center" vertical="center"/>
    </xf>
    <xf numFmtId="0" fontId="11" fillId="0" borderId="0"/>
    <xf numFmtId="0" fontId="64" fillId="40" borderId="0">
      <alignment horizontal="right"/>
    </xf>
    <xf numFmtId="168" fontId="31" fillId="42" borderId="0"/>
    <xf numFmtId="0" fontId="65" fillId="40" borderId="10"/>
    <xf numFmtId="0" fontId="54" fillId="40" borderId="10"/>
    <xf numFmtId="0" fontId="11" fillId="0" borderId="0"/>
    <xf numFmtId="0" fontId="54" fillId="40" borderId="10"/>
    <xf numFmtId="0" fontId="11" fillId="0" borderId="0"/>
    <xf numFmtId="0" fontId="65" fillId="40" borderId="10"/>
    <xf numFmtId="168" fontId="66" fillId="34" borderId="0" applyBorder="0">
      <alignment horizontal="centerContinuous"/>
    </xf>
    <xf numFmtId="0" fontId="65" fillId="0" borderId="0" applyBorder="0">
      <alignment horizontal="centerContinuous"/>
    </xf>
    <xf numFmtId="0" fontId="11" fillId="0" borderId="0"/>
    <xf numFmtId="0" fontId="63" fillId="40" borderId="0" applyBorder="0">
      <alignment horizontal="centerContinuous"/>
    </xf>
    <xf numFmtId="0" fontId="11" fillId="0" borderId="0"/>
    <xf numFmtId="0" fontId="65" fillId="0" borderId="0" applyBorder="0">
      <alignment horizontal="centerContinuous"/>
    </xf>
    <xf numFmtId="168" fontId="67" fillId="42" borderId="0" applyBorder="0">
      <alignment horizontal="centerContinuous"/>
    </xf>
    <xf numFmtId="0" fontId="68" fillId="0" borderId="0" applyBorder="0">
      <alignment horizontal="centerContinuous"/>
    </xf>
    <xf numFmtId="0" fontId="11" fillId="0" borderId="0"/>
    <xf numFmtId="0" fontId="69" fillId="40" borderId="0" applyBorder="0">
      <alignment horizontal="centerContinuous"/>
    </xf>
    <xf numFmtId="0" fontId="11" fillId="0" borderId="0"/>
    <xf numFmtId="0" fontId="68" fillId="0" borderId="0" applyBorder="0">
      <alignment horizontal="centerContinuous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3">
      <alignment horizontal="center"/>
    </xf>
    <xf numFmtId="3" fontId="70" fillId="0" borderId="0" applyFont="0" applyFill="0" applyBorder="0" applyAlignment="0" applyProtection="0"/>
    <xf numFmtId="0" fontId="70" fillId="43" borderId="0" applyNumberFormat="0" applyFont="0" applyBorder="0" applyAlignment="0" applyProtection="0"/>
    <xf numFmtId="168" fontId="54" fillId="22" borderId="0">
      <alignment horizontal="center"/>
    </xf>
    <xf numFmtId="0" fontId="54" fillId="22" borderId="0">
      <alignment horizontal="center"/>
    </xf>
    <xf numFmtId="0" fontId="54" fillId="22" borderId="0">
      <alignment horizontal="center"/>
    </xf>
    <xf numFmtId="0" fontId="11" fillId="0" borderId="0"/>
    <xf numFmtId="49" fontId="72" fillId="34" borderId="0">
      <alignment horizontal="center"/>
    </xf>
    <xf numFmtId="0" fontId="11" fillId="0" borderId="0"/>
    <xf numFmtId="168" fontId="33" fillId="37" borderId="0">
      <alignment horizontal="center"/>
    </xf>
    <xf numFmtId="0" fontId="33" fillId="37" borderId="0">
      <alignment horizontal="center"/>
    </xf>
    <xf numFmtId="0" fontId="11" fillId="0" borderId="0"/>
    <xf numFmtId="168" fontId="33" fillId="37" borderId="0">
      <alignment horizontal="centerContinuous"/>
    </xf>
    <xf numFmtId="0" fontId="33" fillId="37" borderId="0">
      <alignment horizontal="centerContinuous"/>
    </xf>
    <xf numFmtId="0" fontId="11" fillId="0" borderId="0"/>
    <xf numFmtId="168" fontId="73" fillId="34" borderId="0">
      <alignment horizontal="left"/>
    </xf>
    <xf numFmtId="0" fontId="73" fillId="34" borderId="0">
      <alignment horizontal="left"/>
    </xf>
    <xf numFmtId="0" fontId="11" fillId="0" borderId="0"/>
    <xf numFmtId="49" fontId="73" fillId="34" borderId="0">
      <alignment horizontal="center"/>
    </xf>
    <xf numFmtId="0" fontId="11" fillId="0" borderId="0"/>
    <xf numFmtId="168" fontId="31" fillId="37" borderId="0">
      <alignment horizontal="left"/>
    </xf>
    <xf numFmtId="0" fontId="31" fillId="37" borderId="0">
      <alignment horizontal="left"/>
    </xf>
    <xf numFmtId="0" fontId="11" fillId="0" borderId="0"/>
    <xf numFmtId="49" fontId="73" fillId="34" borderId="0">
      <alignment horizontal="left"/>
    </xf>
    <xf numFmtId="0" fontId="11" fillId="0" borderId="0"/>
    <xf numFmtId="168" fontId="31" fillId="37" borderId="0">
      <alignment horizontal="centerContinuous"/>
    </xf>
    <xf numFmtId="0" fontId="31" fillId="37" borderId="0">
      <alignment horizontal="centerContinuous"/>
    </xf>
    <xf numFmtId="0" fontId="11" fillId="0" borderId="0"/>
    <xf numFmtId="168" fontId="31" fillId="37" borderId="0">
      <alignment horizontal="right"/>
    </xf>
    <xf numFmtId="0" fontId="31" fillId="37" borderId="0">
      <alignment horizontal="right"/>
    </xf>
    <xf numFmtId="0" fontId="11" fillId="0" borderId="0"/>
    <xf numFmtId="49" fontId="54" fillId="34" borderId="0">
      <alignment horizontal="left"/>
    </xf>
    <xf numFmtId="49" fontId="54" fillId="34" borderId="0">
      <alignment horizontal="left"/>
    </xf>
    <xf numFmtId="0" fontId="11" fillId="0" borderId="0"/>
    <xf numFmtId="168" fontId="33" fillId="37" borderId="0">
      <alignment horizontal="right"/>
    </xf>
    <xf numFmtId="0" fontId="33" fillId="37" borderId="0">
      <alignment horizontal="right"/>
    </xf>
    <xf numFmtId="0" fontId="11" fillId="0" borderId="0"/>
    <xf numFmtId="168" fontId="73" fillId="20" borderId="0">
      <alignment horizontal="center"/>
    </xf>
    <xf numFmtId="0" fontId="73" fillId="20" borderId="0">
      <alignment horizontal="center"/>
    </xf>
    <xf numFmtId="0" fontId="11" fillId="0" borderId="0"/>
    <xf numFmtId="168" fontId="74" fillId="20" borderId="0">
      <alignment horizontal="center"/>
    </xf>
    <xf numFmtId="0" fontId="74" fillId="20" borderId="0">
      <alignment horizontal="center"/>
    </xf>
    <xf numFmtId="0" fontId="11" fillId="0" borderId="0"/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4" fontId="13" fillId="42" borderId="0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3" fillId="49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14" fillId="25" borderId="0" applyNumberFormat="0" applyProtection="0">
      <alignment horizontal="left" vertical="center" indent="1"/>
    </xf>
    <xf numFmtId="4" fontId="14" fillId="25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0" applyNumberFormat="0" applyProtection="0">
      <alignment horizontal="left" vertical="center" indent="1"/>
    </xf>
    <xf numFmtId="4" fontId="14" fillId="25" borderId="0" applyNumberFormat="0" applyProtection="0">
      <alignment horizontal="left" vertical="center" indent="1"/>
    </xf>
    <xf numFmtId="4" fontId="14" fillId="45" borderId="0" applyNumberFormat="0" applyProtection="0">
      <alignment horizontal="left" vertical="center" indent="1"/>
    </xf>
    <xf numFmtId="4" fontId="14" fillId="45" borderId="0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4" fontId="78" fillId="0" borderId="0" applyNumberFormat="0" applyProtection="0">
      <alignment horizontal="left" vertical="center" indent="1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 applyNumberFormat="0" applyFill="0" applyBorder="0" applyAlignment="0" applyProtection="0"/>
    <xf numFmtId="0" fontId="11" fillId="0" borderId="0"/>
    <xf numFmtId="0" fontId="11" fillId="0" borderId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1" fillId="0" borderId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1" fillId="0" borderId="0"/>
    <xf numFmtId="0" fontId="18" fillId="0" borderId="7" applyNumberFormat="0" applyFill="0" applyAlignment="0" applyProtection="0"/>
    <xf numFmtId="0" fontId="11" fillId="0" borderId="0"/>
    <xf numFmtId="0" fontId="11" fillId="0" borderId="0"/>
    <xf numFmtId="0" fontId="21" fillId="0" borderId="0"/>
    <xf numFmtId="168" fontId="81" fillId="34" borderId="0">
      <alignment horizontal="center"/>
    </xf>
    <xf numFmtId="0" fontId="81" fillId="34" borderId="0">
      <alignment horizontal="center"/>
    </xf>
    <xf numFmtId="0" fontId="11" fillId="0" borderId="0"/>
    <xf numFmtId="0" fontId="5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21" fillId="0" borderId="0" applyFont="0" applyFill="0" applyBorder="0" applyAlignment="0" applyProtection="0"/>
    <xf numFmtId="165" fontId="14" fillId="0" borderId="0"/>
    <xf numFmtId="165" fontId="14" fillId="0" borderId="0"/>
    <xf numFmtId="0" fontId="14" fillId="0" borderId="0"/>
    <xf numFmtId="0" fontId="22" fillId="71" borderId="0" applyNumberFormat="0" applyBorder="0" applyAlignment="0" applyProtection="0"/>
    <xf numFmtId="175" fontId="23" fillId="3" borderId="0" applyNumberFormat="0" applyBorder="0" applyAlignment="0" applyProtection="0"/>
    <xf numFmtId="175" fontId="23" fillId="3" borderId="0" applyNumberFormat="0" applyBorder="0" applyAlignment="0" applyProtection="0"/>
    <xf numFmtId="0" fontId="22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2" fillId="23" borderId="0" applyNumberFormat="0" applyBorder="0" applyAlignment="0" applyProtection="0"/>
    <xf numFmtId="175" fontId="23" fillId="5" borderId="0" applyNumberFormat="0" applyBorder="0" applyAlignment="0" applyProtection="0"/>
    <xf numFmtId="175" fontId="23" fillId="5" borderId="0" applyNumberFormat="0" applyBorder="0" applyAlignment="0" applyProtection="0"/>
    <xf numFmtId="0" fontId="22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39" borderId="0" applyNumberFormat="0" applyBorder="0" applyAlignment="0" applyProtection="0"/>
    <xf numFmtId="175" fontId="23" fillId="7" borderId="0" applyNumberFormat="0" applyBorder="0" applyAlignment="0" applyProtection="0"/>
    <xf numFmtId="175" fontId="23" fillId="7" borderId="0" applyNumberFormat="0" applyBorder="0" applyAlignment="0" applyProtection="0"/>
    <xf numFmtId="0" fontId="22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75" fontId="23" fillId="9" borderId="0" applyNumberFormat="0" applyBorder="0" applyAlignment="0" applyProtection="0"/>
    <xf numFmtId="175" fontId="23" fillId="9" borderId="0" applyNumberFormat="0" applyBorder="0" applyAlignment="0" applyProtection="0"/>
    <xf numFmtId="0" fontId="22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22" fillId="21" borderId="0" applyNumberFormat="0" applyBorder="0" applyAlignment="0" applyProtection="0"/>
    <xf numFmtId="175" fontId="23" fillId="11" borderId="0" applyNumberFormat="0" applyBorder="0" applyAlignment="0" applyProtection="0"/>
    <xf numFmtId="175" fontId="23" fillId="11" borderId="0" applyNumberFormat="0" applyBorder="0" applyAlignment="0" applyProtection="0"/>
    <xf numFmtId="0" fontId="22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2" fillId="20" borderId="0" applyNumberFormat="0" applyBorder="0" applyAlignment="0" applyProtection="0"/>
    <xf numFmtId="175" fontId="23" fillId="13" borderId="0" applyNumberFormat="0" applyBorder="0" applyAlignment="0" applyProtection="0"/>
    <xf numFmtId="175" fontId="23" fillId="13" borderId="0" applyNumberFormat="0" applyBorder="0" applyAlignment="0" applyProtection="0"/>
    <xf numFmtId="0" fontId="2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2" fillId="16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0" fontId="22" fillId="2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17" borderId="0" applyNumberFormat="0" applyBorder="0" applyAlignment="0" applyProtection="0"/>
    <xf numFmtId="175" fontId="23" fillId="6" borderId="0" applyNumberFormat="0" applyBorder="0" applyAlignment="0" applyProtection="0"/>
    <xf numFmtId="175" fontId="23" fillId="6" borderId="0" applyNumberFormat="0" applyBorder="0" applyAlignment="0" applyProtection="0"/>
    <xf numFmtId="0" fontId="22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2" fillId="38" borderId="0" applyNumberFormat="0" applyBorder="0" applyAlignment="0" applyProtection="0"/>
    <xf numFmtId="175" fontId="23" fillId="8" borderId="0" applyNumberFormat="0" applyBorder="0" applyAlignment="0" applyProtection="0"/>
    <xf numFmtId="175" fontId="23" fillId="8" borderId="0" applyNumberFormat="0" applyBorder="0" applyAlignment="0" applyProtection="0"/>
    <xf numFmtId="0" fontId="22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33" borderId="0" applyNumberFormat="0" applyBorder="0" applyAlignment="0" applyProtection="0"/>
    <xf numFmtId="175" fontId="23" fillId="10" borderId="0" applyNumberFormat="0" applyBorder="0" applyAlignment="0" applyProtection="0"/>
    <xf numFmtId="175" fontId="23" fillId="10" borderId="0" applyNumberFormat="0" applyBorder="0" applyAlignment="0" applyProtection="0"/>
    <xf numFmtId="0" fontId="22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2" fillId="16" borderId="0" applyNumberFormat="0" applyBorder="0" applyAlignment="0" applyProtection="0"/>
    <xf numFmtId="175" fontId="23" fillId="12" borderId="0" applyNumberFormat="0" applyBorder="0" applyAlignment="0" applyProtection="0"/>
    <xf numFmtId="175" fontId="23" fillId="12" borderId="0" applyNumberFormat="0" applyBorder="0" applyAlignment="0" applyProtection="0"/>
    <xf numFmtId="0" fontId="22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2" fillId="26" borderId="0" applyNumberFormat="0" applyBorder="0" applyAlignment="0" applyProtection="0"/>
    <xf numFmtId="175" fontId="23" fillId="14" borderId="0" applyNumberFormat="0" applyBorder="0" applyAlignment="0" applyProtection="0"/>
    <xf numFmtId="175" fontId="23" fillId="14" borderId="0" applyNumberFormat="0" applyBorder="0" applyAlignment="0" applyProtection="0"/>
    <xf numFmtId="0" fontId="22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175" fontId="96" fillId="60" borderId="0" applyNumberFormat="0" applyBorder="0" applyAlignment="0" applyProtection="0"/>
    <xf numFmtId="175" fontId="96" fillId="60" borderId="0" applyNumberFormat="0" applyBorder="0" applyAlignment="0" applyProtection="0"/>
    <xf numFmtId="0" fontId="24" fillId="21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96" fillId="62" borderId="0" applyNumberFormat="0" applyBorder="0" applyAlignment="0" applyProtection="0"/>
    <xf numFmtId="175" fontId="96" fillId="62" borderId="0" applyNumberFormat="0" applyBorder="0" applyAlignment="0" applyProtection="0"/>
    <xf numFmtId="0" fontId="24" fillId="25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5" fontId="96" fillId="64" borderId="0" applyNumberFormat="0" applyBorder="0" applyAlignment="0" applyProtection="0"/>
    <xf numFmtId="175" fontId="96" fillId="64" borderId="0" applyNumberFormat="0" applyBorder="0" applyAlignment="0" applyProtection="0"/>
    <xf numFmtId="0" fontId="24" fillId="26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5" fontId="96" fillId="66" borderId="0" applyNumberFormat="0" applyBorder="0" applyAlignment="0" applyProtection="0"/>
    <xf numFmtId="175" fontId="96" fillId="66" borderId="0" applyNumberFormat="0" applyBorder="0" applyAlignment="0" applyProtection="0"/>
    <xf numFmtId="0" fontId="24" fillId="2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96" fillId="68" borderId="0" applyNumberFormat="0" applyBorder="0" applyAlignment="0" applyProtection="0"/>
    <xf numFmtId="175" fontId="96" fillId="68" borderId="0" applyNumberFormat="0" applyBorder="0" applyAlignment="0" applyProtection="0"/>
    <xf numFmtId="0" fontId="24" fillId="21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5" fontId="96" fillId="70" borderId="0" applyNumberFormat="0" applyBorder="0" applyAlignment="0" applyProtection="0"/>
    <xf numFmtId="175" fontId="96" fillId="70" borderId="0" applyNumberFormat="0" applyBorder="0" applyAlignment="0" applyProtection="0"/>
    <xf numFmtId="0" fontId="24" fillId="17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59" fillId="0" borderId="2" applyBorder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5" fontId="96" fillId="59" borderId="0" applyNumberFormat="0" applyBorder="0" applyAlignment="0" applyProtection="0"/>
    <xf numFmtId="175" fontId="96" fillId="59" borderId="0" applyNumberFormat="0" applyBorder="0" applyAlignment="0" applyProtection="0"/>
    <xf numFmtId="0" fontId="24" fillId="28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5" fontId="96" fillId="61" borderId="0" applyNumberFormat="0" applyBorder="0" applyAlignment="0" applyProtection="0"/>
    <xf numFmtId="175" fontId="96" fillId="61" borderId="0" applyNumberFormat="0" applyBorder="0" applyAlignment="0" applyProtection="0"/>
    <xf numFmtId="0" fontId="24" fillId="25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75" fontId="96" fillId="63" borderId="0" applyNumberFormat="0" applyBorder="0" applyAlignment="0" applyProtection="0"/>
    <xf numFmtId="175" fontId="96" fillId="63" borderId="0" applyNumberFormat="0" applyBorder="0" applyAlignment="0" applyProtection="0"/>
    <xf numFmtId="0" fontId="24" fillId="26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5" fontId="96" fillId="65" borderId="0" applyNumberFormat="0" applyBorder="0" applyAlignment="0" applyProtection="0"/>
    <xf numFmtId="175" fontId="96" fillId="65" borderId="0" applyNumberFormat="0" applyBorder="0" applyAlignment="0" applyProtection="0"/>
    <xf numFmtId="0" fontId="24" fillId="32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96" fillId="67" borderId="0" applyNumberFormat="0" applyBorder="0" applyAlignment="0" applyProtection="0"/>
    <xf numFmtId="175" fontId="96" fillId="67" borderId="0" applyNumberFormat="0" applyBorder="0" applyAlignment="0" applyProtection="0"/>
    <xf numFmtId="0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96" fillId="69" borderId="0" applyNumberFormat="0" applyBorder="0" applyAlignment="0" applyProtection="0"/>
    <xf numFmtId="175" fontId="96" fillId="69" borderId="0" applyNumberFormat="0" applyBorder="0" applyAlignment="0" applyProtection="0"/>
    <xf numFmtId="0" fontId="24" fillId="30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75" fontId="97" fillId="54" borderId="0" applyNumberFormat="0" applyBorder="0" applyAlignment="0" applyProtection="0"/>
    <xf numFmtId="175" fontId="97" fillId="54" borderId="0" applyNumberFormat="0" applyBorder="0" applyAlignment="0" applyProtection="0"/>
    <xf numFmtId="0" fontId="26" fillId="3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0" fontId="26" fillId="23" borderId="0" applyNumberFormat="0" applyBorder="0" applyAlignment="0" applyProtection="0"/>
    <xf numFmtId="164" fontId="98" fillId="0" borderId="26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175" fontId="99" fillId="58" borderId="32" applyNumberFormat="0" applyAlignment="0" applyProtection="0"/>
    <xf numFmtId="175" fontId="99" fillId="58" borderId="32" applyNumberFormat="0" applyAlignment="0" applyProtection="0"/>
    <xf numFmtId="0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0" fontId="30" fillId="36" borderId="9" applyNumberFormat="0" applyAlignment="0" applyProtection="0"/>
    <xf numFmtId="0" fontId="31" fillId="37" borderId="0">
      <alignment horizontal="left"/>
    </xf>
    <xf numFmtId="168" fontId="31" fillId="37" borderId="0">
      <alignment horizontal="left"/>
    </xf>
    <xf numFmtId="0" fontId="33" fillId="37" borderId="0">
      <alignment horizontal="right"/>
    </xf>
    <xf numFmtId="168" fontId="33" fillId="37" borderId="0">
      <alignment horizontal="right"/>
    </xf>
    <xf numFmtId="0" fontId="34" fillId="34" borderId="0">
      <alignment horizontal="center"/>
    </xf>
    <xf numFmtId="168" fontId="34" fillId="34" borderId="0">
      <alignment horizontal="center"/>
    </xf>
    <xf numFmtId="0" fontId="33" fillId="37" borderId="0">
      <alignment horizontal="right"/>
    </xf>
    <xf numFmtId="168" fontId="33" fillId="37" borderId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5" borderId="0"/>
    <xf numFmtId="3" fontId="14" fillId="75" borderId="0"/>
    <xf numFmtId="3" fontId="14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5" borderId="0"/>
    <xf numFmtId="3" fontId="14" fillId="75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1" fillId="0" borderId="0"/>
    <xf numFmtId="0" fontId="101" fillId="0" borderId="33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5" fontId="13" fillId="0" borderId="0" applyProtection="0"/>
    <xf numFmtId="175" fontId="13" fillId="0" borderId="0" applyProtection="0"/>
    <xf numFmtId="0" fontId="13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5" fontId="41" fillId="0" borderId="0" applyProtection="0"/>
    <xf numFmtId="175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5" fontId="42" fillId="0" borderId="0" applyProtection="0"/>
    <xf numFmtId="175" fontId="42" fillId="0" borderId="0" applyProtection="0"/>
    <xf numFmtId="0" fontId="4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5" fontId="12" fillId="0" borderId="0" applyProtection="0"/>
    <xf numFmtId="175" fontId="12" fillId="0" borderId="0" applyProtection="0"/>
    <xf numFmtId="0" fontId="12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175" fontId="14" fillId="0" borderId="0" applyProtection="0"/>
    <xf numFmtId="175" fontId="14" fillId="0" borderId="0" applyProtection="0"/>
    <xf numFmtId="0" fontId="14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5" fontId="13" fillId="0" borderId="0" applyProtection="0"/>
    <xf numFmtId="175" fontId="13" fillId="0" borderId="0" applyProtection="0"/>
    <xf numFmtId="0" fontId="1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75" fontId="43" fillId="0" borderId="0" applyProtection="0"/>
    <xf numFmtId="175" fontId="43" fillId="0" borderId="0" applyProtection="0"/>
    <xf numFmtId="0" fontId="43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5" fontId="103" fillId="53" borderId="0" applyNumberFormat="0" applyBorder="0" applyAlignment="0" applyProtection="0"/>
    <xf numFmtId="175" fontId="103" fillId="53" borderId="0" applyNumberFormat="0" applyBorder="0" applyAlignment="0" applyProtection="0"/>
    <xf numFmtId="0" fontId="44" fillId="21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175" fontId="105" fillId="0" borderId="4" applyNumberFormat="0" applyFill="0" applyAlignment="0" applyProtection="0"/>
    <xf numFmtId="175" fontId="105" fillId="0" borderId="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7" fillId="0" borderId="0" applyNumberFormat="0" applyFon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175" fontId="109" fillId="0" borderId="5" applyNumberFormat="0" applyFill="0" applyAlignment="0" applyProtection="0"/>
    <xf numFmtId="175" fontId="10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2" fillId="0" borderId="0" applyNumberFormat="0" applyFon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175" fontId="111" fillId="0" borderId="28" applyNumberFormat="0" applyFill="0" applyAlignment="0" applyProtection="0"/>
    <xf numFmtId="175" fontId="111" fillId="0" borderId="28" applyNumberFormat="0" applyFill="0" applyAlignment="0" applyProtection="0"/>
    <xf numFmtId="0" fontId="49" fillId="0" borderId="1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1" fillId="0" borderId="0" applyNumberFormat="0" applyFill="0" applyBorder="0" applyAlignment="0" applyProtection="0"/>
    <xf numFmtId="175" fontId="11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112" fillId="41" borderId="33"/>
    <xf numFmtId="0" fontId="31" fillId="37" borderId="0">
      <alignment horizontal="left"/>
    </xf>
    <xf numFmtId="168" fontId="31" fillId="37" borderId="0">
      <alignment horizontal="left"/>
    </xf>
    <xf numFmtId="0" fontId="54" fillId="34" borderId="0">
      <alignment horizontal="left"/>
    </xf>
    <xf numFmtId="168" fontId="54" fillId="34" borderId="0">
      <alignment horizontal="left"/>
    </xf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175" fontId="114" fillId="0" borderId="31" applyNumberFormat="0" applyFill="0" applyAlignment="0" applyProtection="0"/>
    <xf numFmtId="175" fontId="114" fillId="0" borderId="31" applyNumberFormat="0" applyFill="0" applyAlignment="0" applyProtection="0"/>
    <xf numFmtId="0" fontId="55" fillId="0" borderId="18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0" fontId="113" fillId="0" borderId="1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175" fontId="116" fillId="55" borderId="0" applyNumberFormat="0" applyBorder="0" applyAlignment="0" applyProtection="0"/>
    <xf numFmtId="175" fontId="116" fillId="55" borderId="0" applyNumberFormat="0" applyBorder="0" applyAlignment="0" applyProtection="0"/>
    <xf numFmtId="0" fontId="57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0" fontId="115" fillId="22" borderId="0" applyNumberFormat="0" applyBorder="0" applyAlignment="0" applyProtection="0"/>
    <xf numFmtId="181" fontId="14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4" fillId="0" borderId="0"/>
    <xf numFmtId="0" fontId="14" fillId="0" borderId="0"/>
    <xf numFmtId="168" fontId="14" fillId="0" borderId="0"/>
    <xf numFmtId="165" fontId="14" fillId="0" borderId="0"/>
    <xf numFmtId="0" fontId="14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5" fontId="14" fillId="0" borderId="0"/>
    <xf numFmtId="165" fontId="14" fillId="0" borderId="0"/>
    <xf numFmtId="175" fontId="14" fillId="0" borderId="0"/>
    <xf numFmtId="175" fontId="14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168" fontId="14" fillId="0" borderId="0"/>
    <xf numFmtId="0" fontId="100" fillId="0" borderId="0"/>
    <xf numFmtId="41" fontId="38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/>
    <xf numFmtId="0" fontId="100" fillId="0" borderId="0"/>
    <xf numFmtId="0" fontId="100" fillId="0" borderId="0"/>
    <xf numFmtId="165" fontId="14" fillId="0" borderId="0"/>
    <xf numFmtId="0" fontId="14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5" fontId="14" fillId="0" borderId="0"/>
    <xf numFmtId="168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175" fontId="23" fillId="0" borderId="0"/>
    <xf numFmtId="175" fontId="23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/>
    <xf numFmtId="0" fontId="3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/>
    <xf numFmtId="165" fontId="14" fillId="0" borderId="0"/>
    <xf numFmtId="0" fontId="23" fillId="0" borderId="0"/>
    <xf numFmtId="165" fontId="14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37" fontId="2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37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/>
    <xf numFmtId="0" fontId="100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0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/>
    <xf numFmtId="0" fontId="100" fillId="0" borderId="0"/>
    <xf numFmtId="37" fontId="21" fillId="0" borderId="0"/>
    <xf numFmtId="37" fontId="21" fillId="0" borderId="0"/>
    <xf numFmtId="0" fontId="14" fillId="0" borderId="0"/>
    <xf numFmtId="0" fontId="14" fillId="0" borderId="0"/>
    <xf numFmtId="0" fontId="100" fillId="0" borderId="0"/>
    <xf numFmtId="0" fontId="100" fillId="0" borderId="0"/>
    <xf numFmtId="0" fontId="100" fillId="0" borderId="0"/>
    <xf numFmtId="37" fontId="21" fillId="0" borderId="0"/>
    <xf numFmtId="0" fontId="10" fillId="0" borderId="0"/>
    <xf numFmtId="0" fontId="14" fillId="0" borderId="0"/>
    <xf numFmtId="37" fontId="21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175" fontId="117" fillId="57" borderId="30" applyNumberFormat="0" applyAlignment="0" applyProtection="0"/>
    <xf numFmtId="175" fontId="117" fillId="57" borderId="30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0" fontId="60" fillId="19" borderId="21" applyNumberFormat="0" applyAlignment="0" applyProtection="0"/>
    <xf numFmtId="172" fontId="61" fillId="34" borderId="0">
      <alignment horizontal="right"/>
    </xf>
    <xf numFmtId="40" fontId="62" fillId="40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4" fontId="61" fillId="40" borderId="0">
      <alignment horizontal="right"/>
    </xf>
    <xf numFmtId="40" fontId="62" fillId="40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172" fontId="61" fillId="34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0" fontId="63" fillId="41" borderId="0">
      <alignment horizontal="center"/>
    </xf>
    <xf numFmtId="0" fontId="63" fillId="41" borderId="0">
      <alignment horizontal="center"/>
    </xf>
    <xf numFmtId="168" fontId="63" fillId="41" borderId="0">
      <alignment horizontal="center"/>
    </xf>
    <xf numFmtId="0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3" fillId="40" borderId="0">
      <alignment horizontal="center" vertical="center"/>
    </xf>
    <xf numFmtId="0" fontId="63" fillId="40" borderId="0">
      <alignment horizontal="center" vertical="center"/>
    </xf>
    <xf numFmtId="0" fontId="63" fillId="40" borderId="0">
      <alignment horizontal="center" vertical="center"/>
    </xf>
    <xf numFmtId="175" fontId="63" fillId="40" borderId="0">
      <alignment horizontal="center" vertical="center"/>
    </xf>
    <xf numFmtId="175" fontId="63" fillId="40" borderId="0">
      <alignment horizontal="center" vertical="center"/>
    </xf>
    <xf numFmtId="0" fontId="31" fillId="42" borderId="0"/>
    <xf numFmtId="0" fontId="31" fillId="42" borderId="0"/>
    <xf numFmtId="168" fontId="31" fillId="42" borderId="0"/>
    <xf numFmtId="165" fontId="65" fillId="40" borderId="10"/>
    <xf numFmtId="0" fontId="54" fillId="40" borderId="10"/>
    <xf numFmtId="0" fontId="31" fillId="42" borderId="0"/>
    <xf numFmtId="0" fontId="65" fillId="40" borderId="10"/>
    <xf numFmtId="0" fontId="65" fillId="40" borderId="10"/>
    <xf numFmtId="0" fontId="65" fillId="40" borderId="10"/>
    <xf numFmtId="0" fontId="65" fillId="40" borderId="10"/>
    <xf numFmtId="0" fontId="65" fillId="40" borderId="10"/>
    <xf numFmtId="0" fontId="31" fillId="42" borderId="0"/>
    <xf numFmtId="165" fontId="65" fillId="40" borderId="10"/>
    <xf numFmtId="0" fontId="65" fillId="40" borderId="10"/>
    <xf numFmtId="0" fontId="65" fillId="40" borderId="10"/>
    <xf numFmtId="0" fontId="54" fillId="40" borderId="10"/>
    <xf numFmtId="0" fontId="54" fillId="40" borderId="10"/>
    <xf numFmtId="0" fontId="54" fillId="40" borderId="10"/>
    <xf numFmtId="175" fontId="54" fillId="40" borderId="10"/>
    <xf numFmtId="175" fontId="54" fillId="40" borderId="10"/>
    <xf numFmtId="0" fontId="66" fillId="34" borderId="0" applyBorder="0">
      <alignment horizontal="centerContinuous"/>
    </xf>
    <xf numFmtId="0" fontId="66" fillId="34" borderId="0" applyBorder="0">
      <alignment horizontal="centerContinuous"/>
    </xf>
    <xf numFmtId="168" fontId="66" fillId="34" borderId="0" applyBorder="0">
      <alignment horizontal="centerContinuous"/>
    </xf>
    <xf numFmtId="0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0" fontId="67" fillId="42" borderId="0" applyBorder="0">
      <alignment horizontal="centerContinuous"/>
    </xf>
    <xf numFmtId="0" fontId="67" fillId="42" borderId="0" applyBorder="0">
      <alignment horizontal="centerContinuous"/>
    </xf>
    <xf numFmtId="168" fontId="67" fillId="42" borderId="0" applyBorder="0">
      <alignment horizontal="centerContinuous"/>
    </xf>
    <xf numFmtId="0" fontId="118" fillId="42" borderId="0" applyBorder="0">
      <alignment horizontal="centerContinuous"/>
    </xf>
    <xf numFmtId="0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175" fontId="69" fillId="40" borderId="0" applyBorder="0">
      <alignment horizontal="centerContinuous"/>
    </xf>
    <xf numFmtId="175" fontId="69" fillId="40" borderId="0" applyBorder="0">
      <alignment horizontal="centerContinuous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4" fillId="22" borderId="0">
      <alignment horizontal="center"/>
    </xf>
    <xf numFmtId="168" fontId="54" fillId="22" borderId="0">
      <alignment horizontal="center"/>
    </xf>
    <xf numFmtId="49" fontId="72" fillId="34" borderId="0">
      <alignment horizontal="center"/>
    </xf>
    <xf numFmtId="0" fontId="101" fillId="0" borderId="0"/>
    <xf numFmtId="0" fontId="33" fillId="37" borderId="0">
      <alignment horizontal="center"/>
    </xf>
    <xf numFmtId="168" fontId="33" fillId="37" borderId="0">
      <alignment horizontal="center"/>
    </xf>
    <xf numFmtId="0" fontId="33" fillId="37" borderId="0">
      <alignment horizontal="centerContinuous"/>
    </xf>
    <xf numFmtId="168" fontId="33" fillId="37" borderId="0">
      <alignment horizontal="centerContinuous"/>
    </xf>
    <xf numFmtId="0" fontId="73" fillId="34" borderId="0">
      <alignment horizontal="left"/>
    </xf>
    <xf numFmtId="168" fontId="73" fillId="34" borderId="0">
      <alignment horizontal="left"/>
    </xf>
    <xf numFmtId="49" fontId="73" fillId="34" borderId="0">
      <alignment horizontal="center"/>
    </xf>
    <xf numFmtId="0" fontId="31" fillId="37" borderId="0">
      <alignment horizontal="left"/>
    </xf>
    <xf numFmtId="168" fontId="31" fillId="37" borderId="0">
      <alignment horizontal="left"/>
    </xf>
    <xf numFmtId="49" fontId="73" fillId="34" borderId="0">
      <alignment horizontal="left"/>
    </xf>
    <xf numFmtId="0" fontId="31" fillId="37" borderId="0">
      <alignment horizontal="centerContinuous"/>
    </xf>
    <xf numFmtId="168" fontId="31" fillId="37" borderId="0">
      <alignment horizontal="centerContinuous"/>
    </xf>
    <xf numFmtId="0" fontId="31" fillId="37" borderId="0">
      <alignment horizontal="right"/>
    </xf>
    <xf numFmtId="168" fontId="31" fillId="37" borderId="0">
      <alignment horizontal="right"/>
    </xf>
    <xf numFmtId="49" fontId="54" fillId="34" borderId="0">
      <alignment horizontal="left"/>
    </xf>
    <xf numFmtId="0" fontId="33" fillId="37" borderId="0">
      <alignment horizontal="right"/>
    </xf>
    <xf numFmtId="168" fontId="33" fillId="37" borderId="0">
      <alignment horizontal="right"/>
    </xf>
    <xf numFmtId="0" fontId="73" fillId="20" borderId="0">
      <alignment horizontal="center"/>
    </xf>
    <xf numFmtId="168" fontId="73" fillId="20" borderId="0">
      <alignment horizontal="center"/>
    </xf>
    <xf numFmtId="0" fontId="74" fillId="20" borderId="0">
      <alignment horizontal="center"/>
    </xf>
    <xf numFmtId="168" fontId="74" fillId="20" borderId="0">
      <alignment horizont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13" fillId="44" borderId="22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4" fontId="13" fillId="44" borderId="22" applyNumberFormat="0" applyProtection="0">
      <alignment horizontal="left" vertical="center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0" fontId="13" fillId="45" borderId="23" applyNumberFormat="0" applyProtection="0">
      <alignment horizontal="left" vertical="top" indent="1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14" fillId="44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22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16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14" fillId="23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4" fontId="14" fillId="25" borderId="22" applyNumberFormat="0" applyProtection="0">
      <alignment horizontal="right" vertical="center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4" fontId="14" fillId="25" borderId="23" applyNumberFormat="0" applyProtection="0">
      <alignment horizontal="left" vertical="center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0" fontId="14" fillId="25" borderId="23" applyNumberFormat="0" applyProtection="0">
      <alignment horizontal="left" vertical="top" indent="1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4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4" fontId="14" fillId="25" borderId="22" applyNumberFormat="0" applyProtection="0">
      <alignment horizontal="left" vertical="center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0" fontId="14" fillId="25" borderId="22" applyNumberFormat="0" applyProtection="0">
      <alignment horizontal="left" vertical="top" indent="1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4" fontId="14" fillId="0" borderId="23" applyNumberFormat="0" applyProtection="0">
      <alignment horizontal="right" vertical="center"/>
    </xf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24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1" fillId="0" borderId="33"/>
    <xf numFmtId="49" fontId="14" fillId="0" borderId="37">
      <alignment horizontal="center" vertical="center"/>
      <protection locked="0"/>
    </xf>
    <xf numFmtId="0" fontId="119" fillId="37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175" fontId="121" fillId="0" borderId="7" applyNumberFormat="0" applyFill="0" applyAlignment="0" applyProtection="0"/>
    <xf numFmtId="175" fontId="121" fillId="0" borderId="7" applyNumberForma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168" fontId="19" fillId="0" borderId="40" applyNumberFormat="0" applyFont="0" applyBorder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4" fillId="0" borderId="39" applyNumberFormat="0" applyFont="0" applyFill="0" applyAlignment="0" applyProtection="0"/>
    <xf numFmtId="165" fontId="80" fillId="0" borderId="38" applyNumberFormat="0" applyFill="0" applyAlignment="0" applyProtection="0"/>
    <xf numFmtId="168" fontId="19" fillId="0" borderId="40" applyNumberFormat="0" applyFont="0" applyBorder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112" fillId="0" borderId="41"/>
    <xf numFmtId="0" fontId="112" fillId="0" borderId="33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5" fontId="122" fillId="0" borderId="0" applyNumberFormat="0" applyFill="0" applyBorder="0" applyAlignment="0" applyProtection="0"/>
    <xf numFmtId="175" fontId="1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7" fontId="2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7" fontId="21" fillId="0" borderId="0"/>
    <xf numFmtId="4" fontId="61" fillId="40" borderId="0">
      <alignment horizontal="right"/>
    </xf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0" fontId="79" fillId="0" borderId="0" applyNumberFormat="0" applyFill="0" applyBorder="0" applyAlignment="0" applyProtection="0"/>
    <xf numFmtId="0" fontId="14" fillId="0" borderId="0"/>
    <xf numFmtId="0" fontId="14" fillId="0" borderId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10" fillId="3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0" fillId="5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0" fillId="7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0" fillId="1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0" fillId="13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0" fillId="4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" fillId="6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0" fillId="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0" fillId="10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0" fillId="12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0" fillId="14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95" fillId="60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0" fontId="95" fillId="62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0" fontId="95" fillId="64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95" fillId="66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95" fillId="68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95" fillId="70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95" fillId="59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0" fontId="95" fillId="61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95" fillId="63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95" fillId="65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95" fillId="67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95" fillId="69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0" fontId="86" fillId="54" borderId="0" applyNumberFormat="0" applyBorder="0" applyAlignment="0" applyProtection="0"/>
    <xf numFmtId="165" fontId="26" fillId="23" borderId="0" applyNumberFormat="0" applyBorder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175" fontId="125" fillId="57" borderId="29" applyNumberFormat="0" applyAlignment="0" applyProtection="0"/>
    <xf numFmtId="175" fontId="125" fillId="57" borderId="29" applyNumberFormat="0" applyAlignment="0" applyProtection="0"/>
    <xf numFmtId="0" fontId="90" fillId="57" borderId="29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0" fontId="124" fillId="19" borderId="8" applyNumberFormat="0" applyAlignment="0" applyProtection="0"/>
    <xf numFmtId="0" fontId="92" fillId="58" borderId="32" applyNumberFormat="0" applyAlignment="0" applyProtection="0"/>
    <xf numFmtId="165" fontId="30" fillId="36" borderId="9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85" fillId="53" borderId="0" applyNumberFormat="0" applyBorder="0" applyAlignment="0" applyProtection="0"/>
    <xf numFmtId="165" fontId="44" fillId="39" borderId="0" applyNumberFormat="0" applyBorder="0" applyAlignment="0" applyProtection="0"/>
    <xf numFmtId="0" fontId="84" fillId="0" borderId="28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0" fontId="84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5" fontId="126" fillId="56" borderId="29" applyNumberFormat="0" applyAlignment="0" applyProtection="0"/>
    <xf numFmtId="175" fontId="126" fillId="56" borderId="29" applyNumberFormat="0" applyAlignment="0" applyProtection="0"/>
    <xf numFmtId="0" fontId="88" fillId="56" borderId="29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0" fontId="52" fillId="20" borderId="8" applyNumberFormat="0" applyAlignment="0" applyProtection="0"/>
    <xf numFmtId="0" fontId="91" fillId="0" borderId="31" applyNumberFormat="0" applyFill="0" applyAlignment="0" applyProtection="0"/>
    <xf numFmtId="165" fontId="113" fillId="0" borderId="19" applyNumberFormat="0" applyFill="0" applyAlignment="0" applyProtection="0"/>
    <xf numFmtId="0" fontId="87" fillId="55" borderId="0" applyNumberFormat="0" applyBorder="0" applyAlignment="0" applyProtection="0"/>
    <xf numFmtId="165" fontId="115" fillId="22" borderId="0" applyNumberFormat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70" fillId="0" borderId="0"/>
    <xf numFmtId="165" fontId="70" fillId="0" borderId="0"/>
    <xf numFmtId="165" fontId="70" fillId="0" borderId="0"/>
    <xf numFmtId="0" fontId="14" fillId="0" borderId="0"/>
    <xf numFmtId="175" fontId="23" fillId="0" borderId="0"/>
    <xf numFmtId="175" fontId="23" fillId="0" borderId="0"/>
    <xf numFmtId="175" fontId="23" fillId="0" borderId="0"/>
    <xf numFmtId="0" fontId="14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0" fontId="127" fillId="18" borderId="20" applyNumberFormat="0" applyFont="0" applyAlignment="0" applyProtection="0"/>
    <xf numFmtId="0" fontId="89" fillId="57" borderId="30" applyNumberFormat="0" applyAlignment="0" applyProtection="0"/>
    <xf numFmtId="165" fontId="60" fillId="19" borderId="21" applyNumberFormat="0" applyAlignment="0" applyProtection="0"/>
    <xf numFmtId="0" fontId="63" fillId="40" borderId="0">
      <alignment horizontal="center" vertical="center"/>
    </xf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2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2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2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2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2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2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2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2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2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8" fontId="35" fillId="34" borderId="0">
      <alignment horizontal="left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/>
    <xf numFmtId="165" fontId="14" fillId="0" borderId="0"/>
    <xf numFmtId="0" fontId="10" fillId="0" borderId="0"/>
    <xf numFmtId="0" fontId="10" fillId="0" borderId="0"/>
    <xf numFmtId="165" fontId="14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10" fillId="2" borderId="6" applyNumberFormat="0" applyFont="0" applyAlignment="0" applyProtection="0"/>
    <xf numFmtId="0" fontId="41" fillId="18" borderId="20" applyNumberFormat="0" applyFont="0" applyAlignment="0" applyProtection="0"/>
    <xf numFmtId="172" fontId="61" fillId="34" borderId="0">
      <alignment horizontal="right"/>
    </xf>
    <xf numFmtId="40" fontId="62" fillId="40" borderId="0">
      <alignment horizontal="right"/>
    </xf>
    <xf numFmtId="168" fontId="63" fillId="41" borderId="0">
      <alignment horizontal="center"/>
    </xf>
    <xf numFmtId="168" fontId="66" fillId="34" borderId="0" applyBorder="0">
      <alignment horizontal="centerContinuous"/>
    </xf>
    <xf numFmtId="168" fontId="67" fillId="42" borderId="0" applyBorder="0">
      <alignment horizontal="centerContinuous"/>
    </xf>
    <xf numFmtId="9" fontId="14" fillId="0" borderId="0" applyFont="0" applyFill="0" applyBorder="0" applyAlignment="0" applyProtection="0"/>
    <xf numFmtId="182" fontId="123" fillId="76" borderId="42">
      <alignment horizontal="left"/>
    </xf>
    <xf numFmtId="168" fontId="81" fillId="34" borderId="0">
      <alignment horizontal="center"/>
    </xf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71" borderId="0" applyNumberFormat="0" applyBorder="0" applyAlignment="0" applyProtection="0"/>
    <xf numFmtId="0" fontId="10" fillId="3" borderId="0" applyNumberFormat="0" applyBorder="0" applyAlignment="0" applyProtection="0"/>
    <xf numFmtId="0" fontId="22" fillId="23" borderId="0" applyNumberFormat="0" applyBorder="0" applyAlignment="0" applyProtection="0"/>
    <xf numFmtId="0" fontId="10" fillId="5" borderId="0" applyNumberFormat="0" applyBorder="0" applyAlignment="0" applyProtection="0"/>
    <xf numFmtId="0" fontId="22" fillId="39" borderId="0" applyNumberFormat="0" applyBorder="0" applyAlignment="0" applyProtection="0"/>
    <xf numFmtId="0" fontId="10" fillId="7" borderId="0" applyNumberFormat="0" applyBorder="0" applyAlignment="0" applyProtection="0"/>
    <xf numFmtId="0" fontId="22" fillId="33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22" fillId="20" borderId="0" applyNumberFormat="0" applyBorder="0" applyAlignment="0" applyProtection="0"/>
    <xf numFmtId="0" fontId="10" fillId="13" borderId="0" applyNumberFormat="0" applyBorder="0" applyAlignment="0" applyProtection="0"/>
    <xf numFmtId="0" fontId="2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22" fillId="38" borderId="0" applyNumberFormat="0" applyBorder="0" applyAlignment="0" applyProtection="0"/>
    <xf numFmtId="0" fontId="10" fillId="8" borderId="0" applyNumberFormat="0" applyBorder="0" applyAlignment="0" applyProtection="0"/>
    <xf numFmtId="0" fontId="22" fillId="33" borderId="0" applyNumberFormat="0" applyBorder="0" applyAlignment="0" applyProtection="0"/>
    <xf numFmtId="0" fontId="10" fillId="10" borderId="0" applyNumberFormat="0" applyBorder="0" applyAlignment="0" applyProtection="0"/>
    <xf numFmtId="0" fontId="22" fillId="16" borderId="0" applyNumberFormat="0" applyBorder="0" applyAlignment="0" applyProtection="0"/>
    <xf numFmtId="0" fontId="10" fillId="12" borderId="0" applyNumberFormat="0" applyBorder="0" applyAlignment="0" applyProtection="0"/>
    <xf numFmtId="0" fontId="22" fillId="26" borderId="0" applyNumberFormat="0" applyBorder="0" applyAlignment="0" applyProtection="0"/>
    <xf numFmtId="0" fontId="10" fillId="14" borderId="0" applyNumberFormat="0" applyBorder="0" applyAlignment="0" applyProtection="0"/>
    <xf numFmtId="0" fontId="24" fillId="72" borderId="0" applyNumberFormat="0" applyBorder="0" applyAlignment="0" applyProtection="0"/>
    <xf numFmtId="0" fontId="95" fillId="60" borderId="0" applyNumberFormat="0" applyBorder="0" applyAlignment="0" applyProtection="0"/>
    <xf numFmtId="0" fontId="24" fillId="17" borderId="0" applyNumberFormat="0" applyBorder="0" applyAlignment="0" applyProtection="0"/>
    <xf numFmtId="0" fontId="95" fillId="62" borderId="0" applyNumberFormat="0" applyBorder="0" applyAlignment="0" applyProtection="0"/>
    <xf numFmtId="0" fontId="24" fillId="38" borderId="0" applyNumberFormat="0" applyBorder="0" applyAlignment="0" applyProtection="0"/>
    <xf numFmtId="0" fontId="95" fillId="64" borderId="0" applyNumberFormat="0" applyBorder="0" applyAlignment="0" applyProtection="0"/>
    <xf numFmtId="0" fontId="24" fillId="73" borderId="0" applyNumberFormat="0" applyBorder="0" applyAlignment="0" applyProtection="0"/>
    <xf numFmtId="0" fontId="95" fillId="66" borderId="0" applyNumberFormat="0" applyBorder="0" applyAlignment="0" applyProtection="0"/>
    <xf numFmtId="0" fontId="24" fillId="29" borderId="0" applyNumberFormat="0" applyBorder="0" applyAlignment="0" applyProtection="0"/>
    <xf numFmtId="0" fontId="95" fillId="68" borderId="0" applyNumberFormat="0" applyBorder="0" applyAlignment="0" applyProtection="0"/>
    <xf numFmtId="0" fontId="24" fillId="48" borderId="0" applyNumberFormat="0" applyBorder="0" applyAlignment="0" applyProtection="0"/>
    <xf numFmtId="0" fontId="95" fillId="70" borderId="0" applyNumberFormat="0" applyBorder="0" applyAlignment="0" applyProtection="0"/>
    <xf numFmtId="0" fontId="24" fillId="74" borderId="0" applyNumberFormat="0" applyBorder="0" applyAlignment="0" applyProtection="0"/>
    <xf numFmtId="0" fontId="95" fillId="59" borderId="0" applyNumberFormat="0" applyBorder="0" applyAlignment="0" applyProtection="0"/>
    <xf numFmtId="0" fontId="24" fillId="30" borderId="0" applyNumberFormat="0" applyBorder="0" applyAlignment="0" applyProtection="0"/>
    <xf numFmtId="0" fontId="95" fillId="61" borderId="0" applyNumberFormat="0" applyBorder="0" applyAlignment="0" applyProtection="0"/>
    <xf numFmtId="0" fontId="24" fillId="31" borderId="0" applyNumberFormat="0" applyBorder="0" applyAlignment="0" applyProtection="0"/>
    <xf numFmtId="0" fontId="95" fillId="63" borderId="0" applyNumberFormat="0" applyBorder="0" applyAlignment="0" applyProtection="0"/>
    <xf numFmtId="0" fontId="24" fillId="73" borderId="0" applyNumberFormat="0" applyBorder="0" applyAlignment="0" applyProtection="0"/>
    <xf numFmtId="0" fontId="95" fillId="65" borderId="0" applyNumberFormat="0" applyBorder="0" applyAlignment="0" applyProtection="0"/>
    <xf numFmtId="0" fontId="95" fillId="67" borderId="0" applyNumberFormat="0" applyBorder="0" applyAlignment="0" applyProtection="0"/>
    <xf numFmtId="0" fontId="24" fillId="25" borderId="0" applyNumberFormat="0" applyBorder="0" applyAlignment="0" applyProtection="0"/>
    <xf numFmtId="0" fontId="95" fillId="69" borderId="0" applyNumberFormat="0" applyBorder="0" applyAlignment="0" applyProtection="0"/>
    <xf numFmtId="0" fontId="26" fillId="23" borderId="0" applyNumberFormat="0" applyBorder="0" applyAlignment="0" applyProtection="0"/>
    <xf numFmtId="0" fontId="86" fillId="54" borderId="0" applyNumberFormat="0" applyBorder="0" applyAlignment="0" applyProtection="0"/>
    <xf numFmtId="0" fontId="124" fillId="19" borderId="8" applyNumberFormat="0" applyAlignment="0" applyProtection="0"/>
    <xf numFmtId="0" fontId="90" fillId="57" borderId="29" applyNumberFormat="0" applyAlignment="0" applyProtection="0"/>
    <xf numFmtId="0" fontId="92" fillId="58" borderId="3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85" fillId="53" borderId="0" applyNumberFormat="0" applyBorder="0" applyAlignment="0" applyProtection="0"/>
    <xf numFmtId="0" fontId="104" fillId="0" borderId="34" applyNumberFormat="0" applyFill="0" applyAlignment="0" applyProtection="0"/>
    <xf numFmtId="0" fontId="108" fillId="0" borderId="35" applyNumberFormat="0" applyFill="0" applyAlignment="0" applyProtection="0"/>
    <xf numFmtId="0" fontId="110" fillId="0" borderId="36" applyNumberFormat="0" applyFill="0" applyAlignment="0" applyProtection="0"/>
    <xf numFmtId="0" fontId="84" fillId="0" borderId="28" applyNumberFormat="0" applyFill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20" borderId="8" applyNumberFormat="0" applyAlignment="0" applyProtection="0"/>
    <xf numFmtId="0" fontId="88" fillId="56" borderId="29" applyNumberFormat="0" applyAlignment="0" applyProtection="0"/>
    <xf numFmtId="0" fontId="113" fillId="0" borderId="19" applyNumberFormat="0" applyFill="0" applyAlignment="0" applyProtection="0"/>
    <xf numFmtId="0" fontId="91" fillId="0" borderId="31" applyNumberFormat="0" applyFill="0" applyAlignment="0" applyProtection="0"/>
    <xf numFmtId="0" fontId="115" fillId="22" borderId="0" applyNumberFormat="0" applyBorder="0" applyAlignment="0" applyProtection="0"/>
    <xf numFmtId="0" fontId="87" fillId="5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8" borderId="20" applyNumberFormat="0" applyFont="0" applyAlignment="0" applyProtection="0"/>
    <xf numFmtId="0" fontId="60" fillId="19" borderId="21" applyNumberFormat="0" applyAlignment="0" applyProtection="0"/>
    <xf numFmtId="0" fontId="89" fillId="57" borderId="30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93" fillId="0" borderId="0" applyNumberFormat="0" applyFill="0" applyBorder="0" applyAlignment="0" applyProtection="0"/>
    <xf numFmtId="0" fontId="129" fillId="0" borderId="0"/>
    <xf numFmtId="0" fontId="14" fillId="0" borderId="0"/>
    <xf numFmtId="0" fontId="14" fillId="0" borderId="0"/>
    <xf numFmtId="0" fontId="14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" fillId="0" borderId="0"/>
    <xf numFmtId="184" fontId="12" fillId="0" borderId="0" applyFill="0"/>
    <xf numFmtId="184" fontId="12" fillId="0" borderId="0">
      <alignment horizontal="center"/>
    </xf>
    <xf numFmtId="0" fontId="12" fillId="0" borderId="0" applyFill="0">
      <alignment horizontal="center"/>
    </xf>
    <xf numFmtId="184" fontId="42" fillId="0" borderId="39" applyFill="0"/>
    <xf numFmtId="0" fontId="14" fillId="0" borderId="0" applyFont="0" applyAlignment="0"/>
    <xf numFmtId="0" fontId="131" fillId="0" borderId="0" applyFill="0">
      <alignment vertical="top"/>
    </xf>
    <xf numFmtId="0" fontId="42" fillId="0" borderId="0" applyFill="0">
      <alignment horizontal="left" vertical="top"/>
    </xf>
    <xf numFmtId="184" fontId="20" fillId="0" borderId="1" applyFill="0"/>
    <xf numFmtId="0" fontId="14" fillId="0" borderId="0" applyNumberFormat="0" applyFont="0" applyAlignment="0"/>
    <xf numFmtId="0" fontId="131" fillId="0" borderId="0" applyFill="0">
      <alignment wrapText="1"/>
    </xf>
    <xf numFmtId="0" fontId="42" fillId="0" borderId="0" applyFill="0">
      <alignment horizontal="left" vertical="top" wrapText="1"/>
    </xf>
    <xf numFmtId="184" fontId="132" fillId="0" borderId="0" applyFill="0"/>
    <xf numFmtId="0" fontId="133" fillId="0" borderId="0" applyNumberFormat="0" applyFont="0" applyAlignment="0">
      <alignment horizontal="center"/>
    </xf>
    <xf numFmtId="0" fontId="134" fillId="0" borderId="0" applyFill="0">
      <alignment vertical="top" wrapText="1"/>
    </xf>
    <xf numFmtId="0" fontId="20" fillId="0" borderId="0" applyFill="0">
      <alignment horizontal="left" vertical="top" wrapText="1"/>
    </xf>
    <xf numFmtId="184" fontId="14" fillId="0" borderId="0" applyFill="0"/>
    <xf numFmtId="0" fontId="133" fillId="0" borderId="0" applyNumberFormat="0" applyFont="0" applyAlignment="0">
      <alignment horizontal="center"/>
    </xf>
    <xf numFmtId="0" fontId="135" fillId="0" borderId="0" applyFill="0">
      <alignment vertical="center" wrapText="1"/>
    </xf>
    <xf numFmtId="0" fontId="19" fillId="0" borderId="0">
      <alignment horizontal="left" vertical="center" wrapText="1"/>
    </xf>
    <xf numFmtId="184" fontId="136" fillId="0" borderId="0" applyFill="0"/>
    <xf numFmtId="0" fontId="133" fillId="0" borderId="0" applyNumberFormat="0" applyFont="0" applyAlignment="0">
      <alignment horizontal="center"/>
    </xf>
    <xf numFmtId="0" fontId="137" fillId="0" borderId="0" applyFill="0">
      <alignment horizontal="center" vertical="center" wrapText="1"/>
    </xf>
    <xf numFmtId="0" fontId="14" fillId="0" borderId="0" applyFill="0">
      <alignment horizontal="center" vertical="center" wrapText="1"/>
    </xf>
    <xf numFmtId="184" fontId="138" fillId="0" borderId="0" applyFill="0"/>
    <xf numFmtId="0" fontId="133" fillId="0" borderId="0" applyNumberFormat="0" applyFont="0" applyAlignment="0">
      <alignment horizontal="center"/>
    </xf>
    <xf numFmtId="0" fontId="139" fillId="0" borderId="0" applyFill="0">
      <alignment horizontal="center" vertical="center" wrapText="1"/>
    </xf>
    <xf numFmtId="0" fontId="140" fillId="0" borderId="0" applyFill="0">
      <alignment horizontal="center" vertical="center" wrapText="1"/>
    </xf>
    <xf numFmtId="184" fontId="141" fillId="0" borderId="0" applyFill="0"/>
    <xf numFmtId="0" fontId="133" fillId="0" borderId="0" applyNumberFormat="0" applyFont="0" applyAlignment="0">
      <alignment horizontal="center"/>
    </xf>
    <xf numFmtId="0" fontId="142" fillId="0" borderId="0">
      <alignment horizontal="center" wrapText="1"/>
    </xf>
    <xf numFmtId="0" fontId="138" fillId="0" borderId="0" applyFill="0">
      <alignment horizontal="center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9" fontId="12" fillId="15" borderId="0" applyFill="0"/>
    <xf numFmtId="0" fontId="143" fillId="0" borderId="0">
      <alignment horizontal="left" indent="7"/>
    </xf>
    <xf numFmtId="0" fontId="12" fillId="0" borderId="0" applyFill="0">
      <alignment horizontal="left" indent="7"/>
    </xf>
    <xf numFmtId="7" fontId="144" fillId="0" borderId="26" applyFill="0">
      <alignment horizontal="right"/>
    </xf>
    <xf numFmtId="0" fontId="20" fillId="0" borderId="0" applyNumberFormat="0">
      <alignment horizontal="right"/>
    </xf>
    <xf numFmtId="0" fontId="145" fillId="0" borderId="26" applyFont="0" applyFill="0"/>
    <xf numFmtId="0" fontId="20" fillId="0" borderId="26" applyFill="0"/>
    <xf numFmtId="39" fontId="144" fillId="0" borderId="0" applyFill="0"/>
    <xf numFmtId="0" fontId="14" fillId="0" borderId="0" applyNumberFormat="0" applyFont="0" applyBorder="0" applyAlignment="0"/>
    <xf numFmtId="0" fontId="134" fillId="0" borderId="0" applyFill="0">
      <alignment horizontal="left" indent="1"/>
    </xf>
    <xf numFmtId="0" fontId="20" fillId="0" borderId="0" applyFill="0">
      <alignment horizontal="left" indent="1"/>
    </xf>
    <xf numFmtId="39" fontId="136" fillId="0" borderId="0" applyFill="0"/>
    <xf numFmtId="0" fontId="14" fillId="0" borderId="0" applyNumberFormat="0" applyFont="0" applyFill="0" applyBorder="0" applyAlignment="0"/>
    <xf numFmtId="0" fontId="134" fillId="0" borderId="0" applyFill="0">
      <alignment horizontal="left" indent="2"/>
    </xf>
    <xf numFmtId="0" fontId="72" fillId="0" borderId="0" applyFill="0">
      <alignment horizontal="left" indent="2"/>
    </xf>
    <xf numFmtId="39" fontId="136" fillId="0" borderId="0" applyFill="0"/>
    <xf numFmtId="0" fontId="14" fillId="0" borderId="0" applyNumberFormat="0" applyFont="0" applyBorder="0" applyAlignment="0"/>
    <xf numFmtId="0" fontId="146" fillId="0" borderId="0">
      <alignment horizontal="left" indent="3"/>
    </xf>
    <xf numFmtId="0" fontId="147" fillId="0" borderId="0" applyFill="0">
      <alignment horizontal="left" indent="3"/>
    </xf>
    <xf numFmtId="39" fontId="136" fillId="0" borderId="0" applyFill="0"/>
    <xf numFmtId="0" fontId="14" fillId="0" borderId="0" applyNumberFormat="0" applyFont="0" applyBorder="0" applyAlignment="0"/>
    <xf numFmtId="0" fontId="137" fillId="0" borderId="0">
      <alignment horizontal="left" indent="4"/>
    </xf>
    <xf numFmtId="0" fontId="14" fillId="0" borderId="0" applyFill="0">
      <alignment horizontal="left" indent="4"/>
    </xf>
    <xf numFmtId="39" fontId="136" fillId="0" borderId="0" applyFill="0"/>
    <xf numFmtId="0" fontId="14" fillId="0" borderId="0" applyNumberFormat="0" applyFont="0" applyBorder="0" applyAlignment="0"/>
    <xf numFmtId="0" fontId="139" fillId="0" borderId="0">
      <alignment horizontal="left" indent="5"/>
    </xf>
    <xf numFmtId="0" fontId="140" fillId="0" borderId="0" applyFill="0">
      <alignment horizontal="left" indent="5"/>
    </xf>
    <xf numFmtId="39" fontId="141" fillId="0" borderId="0" applyFill="0"/>
    <xf numFmtId="0" fontId="14" fillId="0" borderId="0" applyNumberFormat="0" applyFont="0" applyFill="0" applyBorder="0" applyAlignment="0"/>
    <xf numFmtId="0" fontId="142" fillId="0" borderId="0" applyFill="0">
      <alignment horizontal="left" indent="6"/>
    </xf>
    <xf numFmtId="0" fontId="138" fillId="0" borderId="0" applyFill="0">
      <alignment horizontal="left" indent="6"/>
    </xf>
    <xf numFmtId="0" fontId="3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0" fillId="0" borderId="0" applyNumberFormat="0" applyFont="0" applyFill="0" applyBorder="0" applyAlignment="0" applyProtection="0">
      <alignment horizontal="left"/>
    </xf>
    <xf numFmtId="185" fontId="148" fillId="0" borderId="43" applyNumberFormat="0" applyProtection="0">
      <alignment horizontal="right" vertical="center"/>
    </xf>
    <xf numFmtId="185" fontId="149" fillId="0" borderId="44" applyNumberFormat="0" applyProtection="0">
      <alignment horizontal="right" vertical="center"/>
    </xf>
    <xf numFmtId="0" fontId="149" fillId="77" borderId="45" applyNumberFormat="0" applyAlignment="0" applyProtection="0">
      <alignment horizontal="left" vertical="center" indent="1"/>
    </xf>
    <xf numFmtId="0" fontId="150" fillId="0" borderId="46" applyNumberFormat="0" applyFill="0" applyBorder="0" applyAlignment="0" applyProtection="0"/>
    <xf numFmtId="0" fontId="151" fillId="78" borderId="45" applyNumberFormat="0" applyAlignment="0" applyProtection="0">
      <alignment horizontal="left" vertical="center" indent="1"/>
    </xf>
    <xf numFmtId="0" fontId="151" fillId="79" borderId="45" applyNumberFormat="0" applyAlignment="0" applyProtection="0">
      <alignment horizontal="left" vertical="center" indent="1"/>
    </xf>
    <xf numFmtId="0" fontId="151" fillId="80" borderId="45" applyNumberFormat="0" applyAlignment="0" applyProtection="0">
      <alignment horizontal="left" vertical="center" indent="1"/>
    </xf>
    <xf numFmtId="0" fontId="151" fillId="81" borderId="45" applyNumberFormat="0" applyAlignment="0" applyProtection="0">
      <alignment horizontal="left" vertical="center" indent="1"/>
    </xf>
    <xf numFmtId="0" fontId="151" fillId="82" borderId="44" applyNumberFormat="0" applyAlignment="0" applyProtection="0">
      <alignment horizontal="left" vertical="center" indent="1"/>
    </xf>
    <xf numFmtId="185" fontId="148" fillId="83" borderId="45" applyNumberFormat="0" applyAlignment="0" applyProtection="0">
      <alignment horizontal="left" vertical="center" indent="1"/>
    </xf>
    <xf numFmtId="0" fontId="149" fillId="77" borderId="44" applyNumberFormat="0" applyAlignment="0" applyProtection="0">
      <alignment horizontal="left" vertical="center" indent="1"/>
    </xf>
    <xf numFmtId="38" fontId="14" fillId="84" borderId="0" applyNumberFormat="0" applyFont="0" applyBorder="0" applyAlignment="0" applyProtection="0"/>
    <xf numFmtId="186" fontId="70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52" fillId="57" borderId="29" applyNumberFormat="0" applyAlignment="0" applyProtection="0"/>
    <xf numFmtId="168" fontId="31" fillId="37" borderId="0">
      <alignment horizontal="left"/>
    </xf>
    <xf numFmtId="168" fontId="33" fillId="37" borderId="0">
      <alignment horizontal="right"/>
    </xf>
    <xf numFmtId="168" fontId="34" fillId="34" borderId="0">
      <alignment horizontal="center"/>
    </xf>
    <xf numFmtId="168" fontId="33" fillId="37" borderId="0">
      <alignment horizontal="right"/>
    </xf>
    <xf numFmtId="168" fontId="35" fillId="34" borderId="0">
      <alignment horizontal="left"/>
    </xf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3" fillId="56" borderId="29" applyNumberFormat="0" applyAlignment="0" applyProtection="0"/>
    <xf numFmtId="168" fontId="31" fillId="37" borderId="0">
      <alignment horizontal="left"/>
    </xf>
    <xf numFmtId="168" fontId="54" fillId="34" borderId="0">
      <alignment horizontal="left"/>
    </xf>
    <xf numFmtId="168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171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168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" borderId="6" applyNumberFormat="0" applyFont="0" applyAlignment="0" applyProtection="0"/>
    <xf numFmtId="0" fontId="38" fillId="18" borderId="20" applyNumberFormat="0" applyFont="0" applyAlignment="0" applyProtection="0"/>
    <xf numFmtId="0" fontId="9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0" borderId="0"/>
    <xf numFmtId="0" fontId="38" fillId="18" borderId="20" applyNumberFormat="0" applyFont="0" applyAlignment="0" applyProtection="0"/>
    <xf numFmtId="0" fontId="9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0" borderId="0"/>
    <xf numFmtId="0" fontId="38" fillId="18" borderId="20" applyNumberFormat="0" applyFont="0" applyAlignment="0" applyProtection="0"/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168" fontId="54" fillId="22" borderId="0">
      <alignment horizontal="center"/>
    </xf>
    <xf numFmtId="168" fontId="33" fillId="37" borderId="0">
      <alignment horizontal="center"/>
    </xf>
    <xf numFmtId="168" fontId="33" fillId="37" borderId="0">
      <alignment horizontal="centerContinuous"/>
    </xf>
    <xf numFmtId="168" fontId="73" fillId="34" borderId="0">
      <alignment horizontal="left"/>
    </xf>
    <xf numFmtId="168" fontId="31" fillId="37" borderId="0">
      <alignment horizontal="left"/>
    </xf>
    <xf numFmtId="168" fontId="31" fillId="37" borderId="0">
      <alignment horizontal="centerContinuous"/>
    </xf>
    <xf numFmtId="168" fontId="31" fillId="37" borderId="0">
      <alignment horizontal="right"/>
    </xf>
    <xf numFmtId="168" fontId="33" fillId="37" borderId="0">
      <alignment horizontal="right"/>
    </xf>
    <xf numFmtId="168" fontId="73" fillId="20" borderId="0">
      <alignment horizontal="center"/>
    </xf>
    <xf numFmtId="168" fontId="74" fillId="20" borderId="0">
      <alignment horizontal="center"/>
    </xf>
    <xf numFmtId="168" fontId="81" fillId="34" borderId="0">
      <alignment horizontal="center"/>
    </xf>
    <xf numFmtId="43" fontId="14" fillId="0" borderId="0" applyFont="0" applyFill="0" applyBorder="0" applyAlignment="0" applyProtection="0"/>
    <xf numFmtId="166" fontId="14" fillId="0" borderId="0"/>
    <xf numFmtId="44" fontId="14" fillId="0" borderId="0" applyFont="0" applyFill="0" applyBorder="0" applyAlignment="0" applyProtection="0"/>
    <xf numFmtId="0" fontId="19" fillId="0" borderId="0"/>
    <xf numFmtId="166" fontId="14" fillId="0" borderId="0"/>
    <xf numFmtId="166" fontId="154" fillId="0" borderId="0"/>
    <xf numFmtId="0" fontId="14" fillId="0" borderId="0"/>
    <xf numFmtId="37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3" fillId="0" borderId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7" fontId="21" fillId="0" borderId="0"/>
    <xf numFmtId="37" fontId="21" fillId="0" borderId="0"/>
  </cellStyleXfs>
  <cellXfs count="289">
    <xf numFmtId="0" fontId="0" fillId="0" borderId="0" xfId="0"/>
    <xf numFmtId="0" fontId="82" fillId="0" borderId="0" xfId="5126" applyFont="1" applyFill="1" applyBorder="1" applyAlignment="1">
      <alignment horizontal="left"/>
    </xf>
    <xf numFmtId="0" fontId="14" fillId="0" borderId="0" xfId="5126" applyFont="1" applyFill="1" applyBorder="1" applyAlignment="1">
      <alignment horizontal="left"/>
    </xf>
    <xf numFmtId="0" fontId="82" fillId="0" borderId="0" xfId="5126" applyFont="1" applyFill="1" applyBorder="1" applyAlignment="1">
      <alignment horizontal="right"/>
    </xf>
    <xf numFmtId="0" fontId="14" fillId="0" borderId="0" xfId="5126" applyFont="1" applyFill="1" applyBorder="1" applyAlignment="1">
      <alignment horizontal="right"/>
    </xf>
    <xf numFmtId="0" fontId="82" fillId="0" borderId="0" xfId="5126" applyFont="1" applyFill="1" applyBorder="1" applyAlignment="1">
      <alignment horizontal="left" vertical="top"/>
    </xf>
    <xf numFmtId="0" fontId="82" fillId="0" borderId="0" xfId="5126" applyFont="1" applyFill="1" applyBorder="1" applyAlignment="1">
      <alignment horizontal="center" wrapText="1"/>
    </xf>
    <xf numFmtId="0" fontId="14" fillId="0" borderId="0" xfId="5126" applyFont="1" applyFill="1" applyBorder="1" applyAlignment="1">
      <alignment horizontal="left" wrapText="1"/>
    </xf>
    <xf numFmtId="164" fontId="82" fillId="0" borderId="0" xfId="3950" applyNumberFormat="1" applyFont="1" applyFill="1" applyBorder="1" applyAlignment="1">
      <alignment horizontal="right" wrapText="1"/>
    </xf>
    <xf numFmtId="173" fontId="82" fillId="0" borderId="0" xfId="5126" applyNumberFormat="1" applyFont="1" applyFill="1" applyBorder="1" applyAlignment="1">
      <alignment horizontal="center" wrapText="1"/>
    </xf>
    <xf numFmtId="0" fontId="14" fillId="0" borderId="0" xfId="5126" applyFont="1" applyFill="1" applyBorder="1" applyAlignment="1">
      <alignment horizontal="center" wrapText="1"/>
    </xf>
    <xf numFmtId="0" fontId="14" fillId="0" borderId="0" xfId="5126" applyFont="1" applyFill="1" applyBorder="1" applyAlignment="1">
      <alignment horizontal="left" vertical="center" wrapText="1"/>
    </xf>
    <xf numFmtId="164" fontId="82" fillId="0" borderId="0" xfId="3950" applyNumberFormat="1" applyFont="1" applyFill="1" applyBorder="1" applyAlignment="1">
      <alignment horizontal="center" vertical="center" wrapText="1"/>
    </xf>
    <xf numFmtId="0" fontId="14" fillId="0" borderId="26" xfId="5126" applyFont="1" applyFill="1" applyBorder="1" applyAlignment="1">
      <alignment horizontal="center" wrapText="1"/>
    </xf>
    <xf numFmtId="164" fontId="82" fillId="0" borderId="2" xfId="3950" applyNumberFormat="1" applyFont="1" applyFill="1" applyBorder="1" applyAlignment="1">
      <alignment horizontal="right" wrapText="1"/>
    </xf>
    <xf numFmtId="164" fontId="82" fillId="0" borderId="27" xfId="3950" applyNumberFormat="1" applyFont="1" applyFill="1" applyBorder="1" applyAlignment="1">
      <alignment horizontal="right" wrapText="1"/>
    </xf>
    <xf numFmtId="0" fontId="13" fillId="0" borderId="0" xfId="5126" applyFont="1" applyFill="1" applyBorder="1" applyAlignment="1">
      <alignment horizontal="left" wrapText="1"/>
    </xf>
    <xf numFmtId="0" fontId="14" fillId="0" borderId="0" xfId="0" applyFont="1" applyBorder="1"/>
    <xf numFmtId="10" fontId="82" fillId="0" borderId="0" xfId="1" applyNumberFormat="1" applyFont="1" applyFill="1" applyBorder="1" applyAlignment="1">
      <alignment horizontal="right" wrapText="1"/>
    </xf>
    <xf numFmtId="174" fontId="82" fillId="0" borderId="0" xfId="3950" applyNumberFormat="1" applyFont="1" applyFill="1" applyBorder="1" applyAlignment="1">
      <alignment horizontal="right" wrapText="1"/>
    </xf>
    <xf numFmtId="0" fontId="82" fillId="0" borderId="1" xfId="5126" applyFont="1" applyFill="1" applyBorder="1" applyAlignment="1">
      <alignment horizontal="left"/>
    </xf>
    <xf numFmtId="0" fontId="14" fillId="0" borderId="2" xfId="5126" applyFont="1" applyFill="1" applyBorder="1" applyAlignment="1">
      <alignment horizontal="center" wrapText="1"/>
    </xf>
    <xf numFmtId="0" fontId="14" fillId="0" borderId="0" xfId="5126" applyFont="1" applyFill="1" applyBorder="1" applyAlignment="1"/>
    <xf numFmtId="0" fontId="14" fillId="0" borderId="0" xfId="5126" applyFont="1" applyFill="1" applyBorder="1" applyAlignment="1">
      <alignment horizontal="center" vertical="center" wrapText="1"/>
    </xf>
    <xf numFmtId="10" fontId="82" fillId="0" borderId="0" xfId="12089" applyNumberFormat="1" applyFont="1" applyFill="1" applyBorder="1" applyAlignment="1">
      <alignment horizontal="right" wrapText="1"/>
    </xf>
    <xf numFmtId="9" fontId="82" fillId="0" borderId="0" xfId="12089" applyFont="1" applyFill="1" applyBorder="1" applyAlignment="1">
      <alignment horizontal="right" wrapText="1"/>
    </xf>
    <xf numFmtId="10" fontId="82" fillId="0" borderId="0" xfId="12089" applyNumberFormat="1" applyFont="1" applyFill="1" applyBorder="1" applyAlignment="1">
      <alignment horizontal="right"/>
    </xf>
    <xf numFmtId="9" fontId="82" fillId="0" borderId="0" xfId="6764" applyFont="1" applyFill="1" applyBorder="1" applyAlignment="1">
      <alignment horizontal="left" vertical="top"/>
    </xf>
    <xf numFmtId="10" fontId="82" fillId="0" borderId="0" xfId="12089" applyNumberFormat="1" applyFont="1" applyFill="1" applyBorder="1" applyAlignment="1">
      <alignment horizontal="left" vertical="top"/>
    </xf>
    <xf numFmtId="9" fontId="82" fillId="0" borderId="0" xfId="12089" applyFont="1" applyFill="1" applyBorder="1" applyAlignment="1">
      <alignment horizontal="left" vertical="top"/>
    </xf>
    <xf numFmtId="10" fontId="82" fillId="0" borderId="2" xfId="12089" applyNumberFormat="1" applyFont="1" applyFill="1" applyBorder="1" applyAlignment="1">
      <alignment horizontal="right" wrapText="1"/>
    </xf>
    <xf numFmtId="10" fontId="82" fillId="0" borderId="27" xfId="12089" applyNumberFormat="1" applyFont="1" applyFill="1" applyBorder="1" applyAlignment="1">
      <alignment horizontal="right" wrapText="1"/>
    </xf>
    <xf numFmtId="164" fontId="82" fillId="0" borderId="0" xfId="5126" applyNumberFormat="1" applyFont="1" applyFill="1" applyBorder="1" applyAlignment="1">
      <alignment horizontal="left"/>
    </xf>
    <xf numFmtId="0" fontId="82" fillId="0" borderId="0" xfId="5126" applyFont="1" applyFill="1" applyBorder="1" applyAlignment="1">
      <alignment horizontal="center"/>
    </xf>
    <xf numFmtId="43" fontId="82" fillId="0" borderId="0" xfId="3950" applyNumberFormat="1" applyFont="1" applyFill="1" applyBorder="1" applyAlignment="1">
      <alignment horizontal="right" wrapText="1"/>
    </xf>
    <xf numFmtId="49" fontId="14" fillId="0" borderId="0" xfId="5126" applyNumberFormat="1" applyFont="1" applyFill="1" applyBorder="1" applyAlignment="1">
      <alignment horizontal="center"/>
    </xf>
    <xf numFmtId="164" fontId="82" fillId="0" borderId="0" xfId="1" applyNumberFormat="1" applyFont="1" applyFill="1" applyBorder="1" applyAlignment="1">
      <alignment horizontal="right" wrapText="1"/>
    </xf>
    <xf numFmtId="49" fontId="14" fillId="0" borderId="0" xfId="5126" applyNumberFormat="1" applyFont="1" applyFill="1" applyBorder="1" applyAlignment="1">
      <alignment horizontal="center"/>
    </xf>
    <xf numFmtId="164" fontId="82" fillId="0" borderId="47" xfId="3950" applyNumberFormat="1" applyFont="1" applyFill="1" applyBorder="1" applyAlignment="1">
      <alignment horizontal="right" wrapText="1"/>
    </xf>
    <xf numFmtId="10" fontId="14" fillId="0" borderId="0" xfId="5126" applyNumberFormat="1" applyFont="1" applyFill="1" applyBorder="1" applyAlignment="1">
      <alignment horizontal="center" vertical="center" wrapText="1"/>
    </xf>
    <xf numFmtId="0" fontId="8" fillId="0" borderId="0" xfId="14643"/>
    <xf numFmtId="43" fontId="82" fillId="0" borderId="0" xfId="1" applyNumberFormat="1" applyFont="1" applyFill="1" applyBorder="1" applyAlignment="1">
      <alignment horizontal="right" wrapText="1"/>
    </xf>
    <xf numFmtId="0" fontId="157" fillId="0" borderId="0" xfId="14643" applyFont="1" applyFill="1"/>
    <xf numFmtId="0" fontId="158" fillId="0" borderId="0" xfId="14643" applyFont="1" applyFill="1"/>
    <xf numFmtId="0" fontId="159" fillId="0" borderId="0" xfId="14643" applyFont="1"/>
    <xf numFmtId="0" fontId="160" fillId="0" borderId="0" xfId="14643" applyFont="1" applyFill="1"/>
    <xf numFmtId="0" fontId="8" fillId="0" borderId="0" xfId="14643" applyFont="1"/>
    <xf numFmtId="17" fontId="161" fillId="86" borderId="0" xfId="14643" applyNumberFormat="1" applyFont="1" applyFill="1" applyAlignment="1">
      <alignment horizontal="center" wrapText="1"/>
    </xf>
    <xf numFmtId="17" fontId="162" fillId="0" borderId="0" xfId="14643" applyNumberFormat="1" applyFont="1" applyAlignment="1">
      <alignment horizontal="center" wrapText="1"/>
    </xf>
    <xf numFmtId="187" fontId="0" fillId="0" borderId="0" xfId="14645" applyNumberFormat="1" applyFont="1" applyFill="1"/>
    <xf numFmtId="187" fontId="163" fillId="0" borderId="0" xfId="14645" applyNumberFormat="1" applyFont="1"/>
    <xf numFmtId="164" fontId="163" fillId="0" borderId="0" xfId="14644" applyNumberFormat="1" applyFont="1"/>
    <xf numFmtId="189" fontId="163" fillId="0" borderId="0" xfId="14645" applyNumberFormat="1" applyFont="1"/>
    <xf numFmtId="0" fontId="8" fillId="0" borderId="0" xfId="14643" applyFill="1"/>
    <xf numFmtId="0" fontId="156" fillId="85" borderId="0" xfId="14643" applyFont="1" applyFill="1"/>
    <xf numFmtId="187" fontId="162" fillId="0" borderId="0" xfId="14645" applyNumberFormat="1" applyFont="1" applyFill="1"/>
    <xf numFmtId="0" fontId="8" fillId="0" borderId="0" xfId="14643" applyFill="1" applyAlignment="1">
      <alignment horizontal="left" indent="2"/>
    </xf>
    <xf numFmtId="187" fontId="163" fillId="0" borderId="0" xfId="14645" applyNumberFormat="1" applyFont="1" applyFill="1"/>
    <xf numFmtId="164" fontId="163" fillId="0" borderId="0" xfId="14644" applyNumberFormat="1" applyFont="1" applyFill="1"/>
    <xf numFmtId="164" fontId="82" fillId="0" borderId="2" xfId="4" applyNumberFormat="1" applyFont="1" applyFill="1" applyBorder="1" applyAlignment="1">
      <alignment horizontal="right" wrapText="1"/>
    </xf>
    <xf numFmtId="49" fontId="14" fillId="0" borderId="0" xfId="5126" applyNumberFormat="1" applyFont="1" applyFill="1" applyBorder="1" applyAlignment="1">
      <alignment horizontal="center"/>
    </xf>
    <xf numFmtId="173" fontId="164" fillId="0" borderId="0" xfId="5126" applyNumberFormat="1" applyFont="1" applyFill="1" applyBorder="1" applyAlignment="1">
      <alignment horizontal="center" wrapText="1"/>
    </xf>
    <xf numFmtId="10" fontId="164" fillId="0" borderId="0" xfId="1" applyNumberFormat="1" applyFont="1" applyFill="1" applyBorder="1" applyAlignment="1">
      <alignment horizontal="right" wrapText="1"/>
    </xf>
    <xf numFmtId="164" fontId="164" fillId="0" borderId="0" xfId="3950" applyNumberFormat="1" applyFont="1" applyFill="1" applyBorder="1" applyAlignment="1">
      <alignment horizontal="right" wrapText="1"/>
    </xf>
    <xf numFmtId="188" fontId="164" fillId="0" borderId="0" xfId="3950" applyNumberFormat="1" applyFont="1" applyFill="1" applyBorder="1" applyAlignment="1">
      <alignment horizontal="right" wrapText="1"/>
    </xf>
    <xf numFmtId="10" fontId="164" fillId="0" borderId="27" xfId="12089" applyNumberFormat="1" applyFont="1" applyFill="1" applyBorder="1" applyAlignment="1">
      <alignment horizontal="right" wrapText="1"/>
    </xf>
    <xf numFmtId="173" fontId="82" fillId="0" borderId="0" xfId="5126" applyNumberFormat="1" applyFont="1" applyFill="1" applyBorder="1" applyAlignment="1">
      <alignment horizontal="left" wrapText="1"/>
    </xf>
    <xf numFmtId="49" fontId="14" fillId="0" borderId="0" xfId="5126" applyNumberFormat="1" applyFont="1" applyFill="1" applyBorder="1" applyAlignment="1">
      <alignment horizontal="center"/>
    </xf>
    <xf numFmtId="175" fontId="14" fillId="0" borderId="0" xfId="5126" applyNumberFormat="1" applyFont="1" applyFill="1" applyBorder="1" applyAlignment="1">
      <alignment horizontal="left" wrapText="1"/>
    </xf>
    <xf numFmtId="190" fontId="82" fillId="0" borderId="0" xfId="6764" applyNumberFormat="1" applyFont="1" applyFill="1" applyBorder="1" applyAlignment="1">
      <alignment horizontal="right" wrapText="1"/>
    </xf>
    <xf numFmtId="17" fontId="14" fillId="0" borderId="0" xfId="5126" applyNumberFormat="1" applyFont="1" applyFill="1" applyBorder="1" applyAlignment="1">
      <alignment horizontal="left" wrapText="1"/>
    </xf>
    <xf numFmtId="0" fontId="14" fillId="0" borderId="0" xfId="11004" applyFont="1" applyBorder="1"/>
    <xf numFmtId="190" fontId="82" fillId="0" borderId="27" xfId="6764" applyNumberFormat="1" applyFont="1" applyFill="1" applyBorder="1" applyAlignment="1">
      <alignment horizontal="right" wrapText="1"/>
    </xf>
    <xf numFmtId="10" fontId="82" fillId="0" borderId="0" xfId="6764" applyNumberFormat="1" applyFont="1" applyFill="1" applyBorder="1" applyAlignment="1">
      <alignment horizontal="right" wrapText="1"/>
    </xf>
    <xf numFmtId="164" fontId="82" fillId="0" borderId="0" xfId="6764" applyNumberFormat="1" applyFont="1" applyFill="1" applyBorder="1" applyAlignment="1">
      <alignment horizontal="right" wrapText="1"/>
    </xf>
    <xf numFmtId="0" fontId="6" fillId="0" borderId="0" xfId="14647"/>
    <xf numFmtId="0" fontId="166" fillId="0" borderId="0" xfId="14647" applyFont="1" applyAlignment="1">
      <alignment horizontal="center"/>
    </xf>
    <xf numFmtId="10" fontId="82" fillId="0" borderId="0" xfId="14648" applyNumberFormat="1" applyFont="1" applyFill="1" applyBorder="1" applyAlignment="1">
      <alignment horizontal="center" wrapText="1"/>
    </xf>
    <xf numFmtId="15" fontId="14" fillId="0" borderId="0" xfId="5126" applyNumberFormat="1" applyFont="1" applyFill="1" applyBorder="1" applyAlignment="1">
      <alignment horizontal="center" wrapText="1"/>
    </xf>
    <xf numFmtId="164" fontId="82" fillId="0" borderId="0" xfId="14649" applyNumberFormat="1" applyFont="1" applyFill="1" applyBorder="1" applyAlignment="1">
      <alignment horizontal="center" wrapText="1"/>
    </xf>
    <xf numFmtId="164" fontId="82" fillId="0" borderId="0" xfId="14649" applyNumberFormat="1" applyFont="1" applyFill="1" applyBorder="1" applyAlignment="1">
      <alignment horizontal="right" wrapText="1"/>
    </xf>
    <xf numFmtId="164" fontId="82" fillId="0" borderId="0" xfId="14649" applyNumberFormat="1" applyFont="1" applyFill="1" applyBorder="1" applyAlignment="1">
      <alignment horizontal="center" vertical="top"/>
    </xf>
    <xf numFmtId="164" fontId="82" fillId="0" borderId="0" xfId="14649" applyNumberFormat="1" applyFont="1" applyFill="1" applyBorder="1" applyAlignment="1">
      <alignment horizontal="left" vertical="top"/>
    </xf>
    <xf numFmtId="166" fontId="14" fillId="0" borderId="0" xfId="5126" applyNumberFormat="1" applyFont="1" applyFill="1" applyBorder="1" applyAlignment="1">
      <alignment horizontal="center"/>
    </xf>
    <xf numFmtId="10" fontId="82" fillId="0" borderId="0" xfId="14648" applyNumberFormat="1" applyFont="1" applyFill="1" applyBorder="1" applyAlignment="1">
      <alignment horizontal="center" vertical="top"/>
    </xf>
    <xf numFmtId="10" fontId="82" fillId="0" borderId="0" xfId="14648" applyNumberFormat="1" applyFont="1" applyFill="1" applyBorder="1" applyAlignment="1">
      <alignment horizontal="left" vertical="top"/>
    </xf>
    <xf numFmtId="0" fontId="14" fillId="0" borderId="0" xfId="14647" applyFont="1" applyBorder="1"/>
    <xf numFmtId="10" fontId="82" fillId="0" borderId="27" xfId="14648" applyNumberFormat="1" applyFont="1" applyFill="1" applyBorder="1" applyAlignment="1">
      <alignment horizontal="right" wrapText="1"/>
    </xf>
    <xf numFmtId="0" fontId="167" fillId="0" borderId="0" xfId="14647" applyFont="1"/>
    <xf numFmtId="190" fontId="82" fillId="0" borderId="0" xfId="12089" applyNumberFormat="1" applyFont="1" applyFill="1" applyBorder="1" applyAlignment="1">
      <alignment horizontal="right" wrapText="1"/>
    </xf>
    <xf numFmtId="0" fontId="14" fillId="0" borderId="0" xfId="4614" applyFont="1" applyBorder="1"/>
    <xf numFmtId="49" fontId="14" fillId="0" borderId="0" xfId="5126" applyNumberFormat="1" applyFont="1" applyFill="1" applyBorder="1" applyAlignment="1">
      <alignment horizontal="center"/>
    </xf>
    <xf numFmtId="49" fontId="14" fillId="0" borderId="0" xfId="5126" applyNumberFormat="1" applyFont="1" applyFill="1" applyBorder="1" applyAlignment="1">
      <alignment horizontal="center"/>
    </xf>
    <xf numFmtId="164" fontId="5" fillId="0" borderId="0" xfId="14644" applyNumberFormat="1" applyFont="1" applyFill="1" applyBorder="1"/>
    <xf numFmtId="0" fontId="5" fillId="0" borderId="0" xfId="14643" applyFont="1"/>
    <xf numFmtId="164" fontId="8" fillId="0" borderId="0" xfId="14643" applyNumberFormat="1"/>
    <xf numFmtId="0" fontId="4" fillId="0" borderId="0" xfId="14643" applyFont="1"/>
    <xf numFmtId="0" fontId="155" fillId="0" borderId="0" xfId="0" applyFont="1" applyFill="1" applyAlignment="1">
      <alignment horizontal="center"/>
    </xf>
    <xf numFmtId="164" fontId="155" fillId="0" borderId="0" xfId="4" applyNumberFormat="1" applyFont="1" applyFill="1" applyAlignment="1">
      <alignment horizontal="center"/>
    </xf>
    <xf numFmtId="164" fontId="155" fillId="0" borderId="55" xfId="4" applyNumberFormat="1" applyFont="1" applyFill="1" applyBorder="1" applyAlignment="1">
      <alignment horizontal="center"/>
    </xf>
    <xf numFmtId="164" fontId="155" fillId="0" borderId="0" xfId="4" applyNumberFormat="1" applyFont="1" applyFill="1" applyBorder="1" applyAlignment="1">
      <alignment horizontal="center"/>
    </xf>
    <xf numFmtId="164" fontId="155" fillId="0" borderId="10" xfId="4" applyNumberFormat="1" applyFont="1" applyFill="1" applyBorder="1" applyAlignment="1">
      <alignment horizontal="center"/>
    </xf>
    <xf numFmtId="0" fontId="165" fillId="0" borderId="0" xfId="0" applyFont="1" applyFill="1"/>
    <xf numFmtId="43" fontId="162" fillId="0" borderId="0" xfId="4" applyFont="1" applyFill="1" applyAlignment="1">
      <alignment horizontal="left" wrapText="1"/>
    </xf>
    <xf numFmtId="164" fontId="162" fillId="0" borderId="0" xfId="4" applyNumberFormat="1" applyFont="1" applyFill="1" applyAlignment="1">
      <alignment horizontal="center" wrapText="1"/>
    </xf>
    <xf numFmtId="43" fontId="162" fillId="0" borderId="0" xfId="14646" applyFont="1" applyFill="1" applyAlignment="1">
      <alignment horizontal="left" wrapText="1"/>
    </xf>
    <xf numFmtId="164" fontId="162" fillId="0" borderId="0" xfId="14646" applyNumberFormat="1" applyFont="1" applyFill="1" applyAlignment="1">
      <alignment horizontal="center" wrapText="1"/>
    </xf>
    <xf numFmtId="0" fontId="4" fillId="0" borderId="0" xfId="0" applyFont="1" applyFill="1"/>
    <xf numFmtId="0" fontId="14" fillId="0" borderId="0" xfId="0" applyFont="1" applyFill="1"/>
    <xf numFmtId="164" fontId="14" fillId="0" borderId="0" xfId="4" applyNumberFormat="1" applyFont="1" applyFill="1"/>
    <xf numFmtId="164" fontId="14" fillId="0" borderId="0" xfId="4" applyNumberFormat="1" applyFont="1" applyFill="1" applyBorder="1" applyAlignment="1">
      <alignment horizontal="center"/>
    </xf>
    <xf numFmtId="0" fontId="14" fillId="0" borderId="0" xfId="0" quotePrefix="1" applyFont="1" applyFill="1" applyAlignment="1">
      <alignment horizontal="right"/>
    </xf>
    <xf numFmtId="164" fontId="4" fillId="0" borderId="55" xfId="4" applyNumberFormat="1" applyFont="1" applyFill="1" applyBorder="1"/>
    <xf numFmtId="164" fontId="4" fillId="0" borderId="0" xfId="4" applyNumberFormat="1" applyFont="1" applyFill="1" applyBorder="1"/>
    <xf numFmtId="164" fontId="14" fillId="0" borderId="55" xfId="4" applyNumberFormat="1" applyFont="1" applyFill="1" applyBorder="1"/>
    <xf numFmtId="164" fontId="14" fillId="0" borderId="0" xfId="4" applyNumberFormat="1" applyFont="1" applyFill="1" applyBorder="1"/>
    <xf numFmtId="0" fontId="14" fillId="0" borderId="0" xfId="0" applyFont="1" applyFill="1" applyBorder="1"/>
    <xf numFmtId="164" fontId="14" fillId="0" borderId="0" xfId="4" quotePrefix="1" applyNumberFormat="1" applyFont="1" applyFill="1" applyBorder="1" applyAlignment="1">
      <alignment horizontal="right"/>
    </xf>
    <xf numFmtId="164" fontId="14" fillId="0" borderId="10" xfId="4" applyNumberFormat="1" applyFont="1" applyFill="1" applyBorder="1"/>
    <xf numFmtId="43" fontId="14" fillId="0" borderId="0" xfId="4" applyNumberFormat="1" applyFont="1" applyFill="1" applyBorder="1"/>
    <xf numFmtId="0" fontId="14" fillId="0" borderId="0" xfId="0" applyFont="1" applyFill="1" applyAlignment="1">
      <alignment horizontal="right"/>
    </xf>
    <xf numFmtId="164" fontId="14" fillId="0" borderId="51" xfId="0" applyNumberFormat="1" applyFont="1" applyFill="1" applyBorder="1"/>
    <xf numFmtId="164" fontId="14" fillId="0" borderId="56" xfId="0" applyNumberFormat="1" applyFont="1" applyFill="1" applyBorder="1"/>
    <xf numFmtId="164" fontId="14" fillId="0" borderId="57" xfId="0" applyNumberFormat="1" applyFont="1" applyFill="1" applyBorder="1"/>
    <xf numFmtId="164" fontId="14" fillId="0" borderId="0" xfId="0" applyNumberFormat="1" applyFont="1" applyFill="1"/>
    <xf numFmtId="0" fontId="155" fillId="0" borderId="0" xfId="0" applyFont="1" applyFill="1"/>
    <xf numFmtId="164" fontId="14" fillId="0" borderId="51" xfId="4" applyNumberFormat="1" applyFont="1" applyFill="1" applyBorder="1"/>
    <xf numFmtId="164" fontId="4" fillId="0" borderId="51" xfId="4" applyNumberFormat="1" applyFont="1" applyFill="1" applyBorder="1"/>
    <xf numFmtId="43" fontId="162" fillId="0" borderId="0" xfId="4" applyFont="1" applyFill="1"/>
    <xf numFmtId="43" fontId="14" fillId="0" borderId="0" xfId="4" applyFont="1" applyFill="1"/>
    <xf numFmtId="43" fontId="4" fillId="0" borderId="0" xfId="4" applyFont="1" applyFill="1" applyAlignment="1">
      <alignment horizontal="left"/>
    </xf>
    <xf numFmtId="43" fontId="4" fillId="0" borderId="0" xfId="14646" applyFont="1" applyFill="1" applyAlignment="1">
      <alignment horizontal="left"/>
    </xf>
    <xf numFmtId="164" fontId="14" fillId="0" borderId="0" xfId="14646" applyNumberFormat="1" applyFont="1" applyFill="1"/>
    <xf numFmtId="43" fontId="14" fillId="0" borderId="0" xfId="4" applyFont="1" applyFill="1" applyAlignment="1">
      <alignment horizontal="left"/>
    </xf>
    <xf numFmtId="43" fontId="14" fillId="0" borderId="0" xfId="14646" applyFont="1" applyFill="1" applyAlignment="1">
      <alignment horizontal="left"/>
    </xf>
    <xf numFmtId="43" fontId="160" fillId="0" borderId="0" xfId="4" applyFont="1" applyFill="1" applyAlignment="1">
      <alignment horizontal="left"/>
    </xf>
    <xf numFmtId="164" fontId="4" fillId="0" borderId="0" xfId="4" applyNumberFormat="1" applyFont="1" applyFill="1"/>
    <xf numFmtId="43" fontId="14" fillId="0" borderId="0" xfId="14646" applyFont="1" applyFill="1"/>
    <xf numFmtId="164" fontId="4" fillId="0" borderId="0" xfId="14646" applyNumberFormat="1" applyFont="1" applyFill="1"/>
    <xf numFmtId="43" fontId="4" fillId="0" borderId="0" xfId="14646" applyFont="1" applyFill="1"/>
    <xf numFmtId="164" fontId="4" fillId="0" borderId="0" xfId="0" applyNumberFormat="1" applyFont="1" applyFill="1"/>
    <xf numFmtId="43" fontId="4" fillId="0" borderId="0" xfId="4" applyFont="1" applyFill="1"/>
    <xf numFmtId="164" fontId="4" fillId="0" borderId="2" xfId="14646" applyNumberFormat="1" applyFont="1" applyFill="1" applyBorder="1"/>
    <xf numFmtId="164" fontId="14" fillId="0" borderId="2" xfId="0" applyNumberFormat="1" applyFont="1" applyFill="1" applyBorder="1"/>
    <xf numFmtId="164" fontId="4" fillId="0" borderId="2" xfId="4" applyNumberFormat="1" applyFont="1" applyFill="1" applyBorder="1"/>
    <xf numFmtId="164" fontId="14" fillId="0" borderId="2" xfId="4" applyNumberFormat="1" applyFont="1" applyFill="1" applyBorder="1"/>
    <xf numFmtId="0" fontId="164" fillId="0" borderId="0" xfId="5126" applyFont="1" applyFill="1" applyBorder="1" applyAlignment="1">
      <alignment horizontal="right"/>
    </xf>
    <xf numFmtId="43" fontId="168" fillId="0" borderId="0" xfId="14655" applyFont="1" applyBorder="1" applyAlignment="1">
      <alignment horizontal="left"/>
    </xf>
    <xf numFmtId="41" fontId="38" fillId="0" borderId="0" xfId="11003" applyFont="1" applyBorder="1"/>
    <xf numFmtId="0" fontId="169" fillId="0" borderId="0" xfId="14661" applyFont="1"/>
    <xf numFmtId="41" fontId="168" fillId="0" borderId="0" xfId="11003" quotePrefix="1" applyFont="1" applyBorder="1" applyAlignment="1">
      <alignment horizontal="right"/>
    </xf>
    <xf numFmtId="0" fontId="169" fillId="0" borderId="0" xfId="14661" applyFont="1" applyBorder="1"/>
    <xf numFmtId="41" fontId="38" fillId="0" borderId="0" xfId="11003" applyFont="1"/>
    <xf numFmtId="41" fontId="168" fillId="0" borderId="0" xfId="11003" applyFont="1" applyBorder="1" applyAlignment="1">
      <alignment horizontal="left"/>
    </xf>
    <xf numFmtId="41" fontId="168" fillId="0" borderId="0" xfId="11003" applyFont="1" applyBorder="1" applyAlignment="1">
      <alignment horizontal="right"/>
    </xf>
    <xf numFmtId="41" fontId="38" fillId="0" borderId="0" xfId="11003" applyFont="1" applyBorder="1" applyAlignment="1">
      <alignment horizontal="left"/>
    </xf>
    <xf numFmtId="0" fontId="169" fillId="0" borderId="2" xfId="14661" applyFont="1" applyBorder="1" applyAlignment="1">
      <alignment horizontal="right"/>
    </xf>
    <xf numFmtId="0" fontId="169" fillId="0" borderId="0" xfId="14661" applyFont="1" applyAlignment="1">
      <alignment horizontal="right"/>
    </xf>
    <xf numFmtId="0" fontId="169" fillId="0" borderId="0" xfId="14661" applyFont="1" applyBorder="1" applyAlignment="1">
      <alignment horizontal="right"/>
    </xf>
    <xf numFmtId="0" fontId="169" fillId="0" borderId="0" xfId="14661" applyFont="1" applyFill="1" applyBorder="1" applyAlignment="1">
      <alignment horizontal="right"/>
    </xf>
    <xf numFmtId="0" fontId="170" fillId="0" borderId="0" xfId="14661" applyFont="1" applyBorder="1" applyAlignment="1">
      <alignment horizontal="right"/>
    </xf>
    <xf numFmtId="0" fontId="170" fillId="0" borderId="0" xfId="14661" applyFont="1" applyBorder="1" applyAlignment="1">
      <alignment horizontal="center"/>
    </xf>
    <xf numFmtId="0" fontId="169" fillId="0" borderId="2" xfId="14661" applyFont="1" applyBorder="1" applyAlignment="1">
      <alignment horizontal="centerContinuous"/>
    </xf>
    <xf numFmtId="0" fontId="170" fillId="0" borderId="3" xfId="14661" applyFont="1" applyBorder="1" applyAlignment="1">
      <alignment horizontal="left"/>
    </xf>
    <xf numFmtId="0" fontId="170" fillId="0" borderId="3" xfId="14661" applyFont="1" applyBorder="1" applyAlignment="1">
      <alignment horizontal="center"/>
    </xf>
    <xf numFmtId="0" fontId="170" fillId="0" borderId="0" xfId="14661" applyFont="1" applyFill="1" applyBorder="1" applyAlignment="1">
      <alignment horizontal="center"/>
    </xf>
    <xf numFmtId="0" fontId="169" fillId="0" borderId="0" xfId="14661" applyFont="1" applyAlignment="1">
      <alignment horizontal="center"/>
    </xf>
    <xf numFmtId="187" fontId="169" fillId="0" borderId="0" xfId="14657" applyNumberFormat="1" applyFont="1" applyAlignment="1">
      <alignment horizontal="center"/>
    </xf>
    <xf numFmtId="0" fontId="2" fillId="0" borderId="0" xfId="14661"/>
    <xf numFmtId="187" fontId="169" fillId="0" borderId="0" xfId="14662" applyNumberFormat="1" applyFont="1" applyAlignment="1">
      <alignment horizontal="center"/>
    </xf>
    <xf numFmtId="10" fontId="169" fillId="0" borderId="0" xfId="14661" applyNumberFormat="1" applyFont="1" applyAlignment="1">
      <alignment horizontal="center"/>
    </xf>
    <xf numFmtId="37" fontId="169" fillId="0" borderId="0" xfId="14661" applyNumberFormat="1" applyFont="1" applyAlignment="1">
      <alignment horizontal="center"/>
    </xf>
    <xf numFmtId="10" fontId="169" fillId="0" borderId="0" xfId="14663" applyNumberFormat="1" applyFont="1" applyAlignment="1">
      <alignment horizontal="center"/>
    </xf>
    <xf numFmtId="187" fontId="169" fillId="0" borderId="0" xfId="14662" applyNumberFormat="1" applyFont="1" applyFill="1" applyAlignment="1">
      <alignment horizontal="center"/>
    </xf>
    <xf numFmtId="10" fontId="169" fillId="0" borderId="0" xfId="14663" applyNumberFormat="1" applyFont="1" applyFill="1" applyAlignment="1">
      <alignment horizontal="center"/>
    </xf>
    <xf numFmtId="42" fontId="169" fillId="0" borderId="0" xfId="14661" applyNumberFormat="1" applyFont="1" applyAlignment="1">
      <alignment horizontal="center"/>
    </xf>
    <xf numFmtId="0" fontId="169" fillId="0" borderId="0" xfId="14661" applyFont="1" applyFill="1" applyAlignment="1">
      <alignment horizontal="center"/>
    </xf>
    <xf numFmtId="187" fontId="169" fillId="0" borderId="26" xfId="14657" applyNumberFormat="1" applyFont="1" applyFill="1" applyBorder="1" applyAlignment="1">
      <alignment horizontal="center"/>
    </xf>
    <xf numFmtId="10" fontId="169" fillId="0" borderId="26" xfId="14663" applyNumberFormat="1" applyFont="1" applyFill="1" applyBorder="1" applyAlignment="1">
      <alignment horizontal="center"/>
    </xf>
    <xf numFmtId="164" fontId="169" fillId="0" borderId="0" xfId="14660" applyNumberFormat="1" applyFont="1" applyFill="1" applyAlignment="1">
      <alignment horizontal="center"/>
    </xf>
    <xf numFmtId="0" fontId="169" fillId="0" borderId="0" xfId="14661" applyFont="1" applyFill="1"/>
    <xf numFmtId="187" fontId="169" fillId="0" borderId="0" xfId="14660" applyNumberFormat="1" applyFont="1" applyFill="1" applyAlignment="1">
      <alignment horizontal="center"/>
    </xf>
    <xf numFmtId="10" fontId="169" fillId="0" borderId="0" xfId="14663" applyNumberFormat="1" applyFont="1" applyFill="1" applyBorder="1" applyAlignment="1">
      <alignment horizontal="center"/>
    </xf>
    <xf numFmtId="164" fontId="169" fillId="0" borderId="0" xfId="14661" applyNumberFormat="1" applyFont="1"/>
    <xf numFmtId="0" fontId="169" fillId="0" borderId="0" xfId="14661" applyFont="1" applyAlignment="1">
      <alignment horizontal="center" wrapText="1"/>
    </xf>
    <xf numFmtId="9" fontId="169" fillId="0" borderId="0" xfId="1" applyFont="1" applyAlignment="1">
      <alignment horizontal="center" wrapText="1"/>
    </xf>
    <xf numFmtId="187" fontId="169" fillId="0" borderId="0" xfId="14661" applyNumberFormat="1" applyFont="1"/>
    <xf numFmtId="191" fontId="169" fillId="0" borderId="0" xfId="1" applyNumberFormat="1" applyFont="1"/>
    <xf numFmtId="191" fontId="169" fillId="0" borderId="0" xfId="14663" applyNumberFormat="1" applyFont="1"/>
    <xf numFmtId="10" fontId="169" fillId="0" borderId="0" xfId="14663" applyNumberFormat="1" applyFont="1"/>
    <xf numFmtId="49" fontId="14" fillId="0" borderId="0" xfId="5126" applyNumberFormat="1" applyFont="1" applyFill="1" applyBorder="1" applyAlignment="1">
      <alignment horizontal="center"/>
    </xf>
    <xf numFmtId="0" fontId="14" fillId="0" borderId="0" xfId="5126" applyFont="1" applyFill="1" applyBorder="1" applyAlignment="1">
      <alignment horizontal="center"/>
    </xf>
    <xf numFmtId="0" fontId="169" fillId="0" borderId="0" xfId="14661" applyFont="1" applyBorder="1" applyAlignment="1">
      <alignment horizontal="left"/>
    </xf>
    <xf numFmtId="49" fontId="14" fillId="0" borderId="0" xfId="5126" applyNumberFormat="1" applyFont="1" applyFill="1" applyBorder="1" applyAlignment="1">
      <alignment horizontal="center"/>
    </xf>
    <xf numFmtId="0" fontId="14" fillId="0" borderId="0" xfId="5126" applyFont="1" applyFill="1" applyBorder="1" applyAlignment="1">
      <alignment horizontal="center"/>
    </xf>
    <xf numFmtId="183" fontId="82" fillId="0" borderId="0" xfId="12089" applyNumberFormat="1" applyFont="1" applyFill="1" applyBorder="1" applyAlignment="1">
      <alignment horizontal="right" wrapText="1"/>
    </xf>
    <xf numFmtId="183" fontId="82" fillId="0" borderId="2" xfId="12089" applyNumberFormat="1" applyFont="1" applyFill="1" applyBorder="1" applyAlignment="1">
      <alignment horizontal="right" wrapText="1"/>
    </xf>
    <xf numFmtId="0" fontId="14" fillId="0" borderId="0" xfId="4614" applyFont="1"/>
    <xf numFmtId="0" fontId="13" fillId="0" borderId="0" xfId="4614" applyFont="1"/>
    <xf numFmtId="192" fontId="82" fillId="0" borderId="0" xfId="12089" applyNumberFormat="1" applyFont="1" applyFill="1" applyBorder="1" applyAlignment="1">
      <alignment horizontal="left" vertical="top"/>
    </xf>
    <xf numFmtId="183" fontId="82" fillId="0" borderId="27" xfId="12089" applyNumberFormat="1" applyFont="1" applyFill="1" applyBorder="1" applyAlignment="1">
      <alignment horizontal="right" wrapText="1"/>
    </xf>
    <xf numFmtId="193" fontId="82" fillId="0" borderId="0" xfId="12089" applyNumberFormat="1" applyFont="1" applyFill="1" applyBorder="1" applyAlignment="1">
      <alignment horizontal="right" wrapText="1"/>
    </xf>
    <xf numFmtId="49" fontId="14" fillId="0" borderId="0" xfId="5126" applyNumberFormat="1" applyFont="1" applyFill="1" applyBorder="1" applyAlignment="1">
      <alignment horizontal="center"/>
    </xf>
    <xf numFmtId="0" fontId="14" fillId="0" borderId="0" xfId="8" applyFont="1"/>
    <xf numFmtId="183" fontId="82" fillId="0" borderId="0" xfId="1" applyNumberFormat="1" applyFont="1" applyFill="1" applyBorder="1" applyAlignment="1">
      <alignment horizontal="right" wrapText="1"/>
    </xf>
    <xf numFmtId="183" fontId="82" fillId="0" borderId="2" xfId="1" applyNumberFormat="1" applyFont="1" applyFill="1" applyBorder="1" applyAlignment="1">
      <alignment horizontal="right" wrapText="1"/>
    </xf>
    <xf numFmtId="0" fontId="75" fillId="0" borderId="0" xfId="5126" applyFont="1" applyFill="1" applyBorder="1" applyAlignment="1">
      <alignment horizontal="left" wrapText="1"/>
    </xf>
    <xf numFmtId="0" fontId="14" fillId="0" borderId="0" xfId="0" applyFont="1"/>
    <xf numFmtId="0" fontId="13" fillId="0" borderId="0" xfId="0" applyFont="1"/>
    <xf numFmtId="183" fontId="82" fillId="0" borderId="0" xfId="1" applyNumberFormat="1" applyFont="1" applyFill="1" applyBorder="1" applyAlignment="1">
      <alignment horizontal="left" vertical="top"/>
    </xf>
    <xf numFmtId="183" fontId="82" fillId="0" borderId="27" xfId="1" applyNumberFormat="1" applyFont="1" applyFill="1" applyBorder="1" applyAlignment="1">
      <alignment horizontal="right" wrapText="1"/>
    </xf>
    <xf numFmtId="174" fontId="14" fillId="0" borderId="27" xfId="4" applyNumberFormat="1" applyFont="1" applyBorder="1" applyProtection="1"/>
    <xf numFmtId="0" fontId="18" fillId="0" borderId="0" xfId="14664" applyFont="1"/>
    <xf numFmtId="0" fontId="1" fillId="0" borderId="0" xfId="14664"/>
    <xf numFmtId="0" fontId="165" fillId="0" borderId="0" xfId="14664" applyFont="1"/>
    <xf numFmtId="0" fontId="1" fillId="0" borderId="0" xfId="14664" applyBorder="1" applyAlignment="1">
      <alignment horizontal="center"/>
    </xf>
    <xf numFmtId="0" fontId="172" fillId="0" borderId="0" xfId="14664" applyFont="1" applyAlignment="1">
      <alignment horizontal="left" vertical="center" indent="2"/>
    </xf>
    <xf numFmtId="0" fontId="172" fillId="0" borderId="0" xfId="14664" applyFont="1" applyAlignment="1">
      <alignment horizontal="left" vertical="center" indent="3"/>
    </xf>
    <xf numFmtId="0" fontId="172" fillId="0" borderId="0" xfId="14664" applyFont="1" applyAlignment="1">
      <alignment horizontal="left" vertical="center" indent="5"/>
    </xf>
    <xf numFmtId="0" fontId="172" fillId="0" borderId="0" xfId="14664" applyFont="1" applyAlignment="1">
      <alignment horizontal="left" vertical="center" indent="6"/>
    </xf>
    <xf numFmtId="0" fontId="172" fillId="0" borderId="0" xfId="14664" applyFont="1" applyAlignment="1">
      <alignment horizontal="center"/>
    </xf>
    <xf numFmtId="5" fontId="1" fillId="0" borderId="0" xfId="14664" applyNumberFormat="1"/>
    <xf numFmtId="37" fontId="1" fillId="0" borderId="0" xfId="14664" applyNumberFormat="1"/>
    <xf numFmtId="0" fontId="1" fillId="0" borderId="0" xfId="14664" applyAlignment="1">
      <alignment horizontal="left" indent="1"/>
    </xf>
    <xf numFmtId="5" fontId="1" fillId="0" borderId="1" xfId="14664" applyNumberFormat="1" applyBorder="1"/>
    <xf numFmtId="5" fontId="1" fillId="0" borderId="0" xfId="14664" applyNumberFormat="1" applyBorder="1"/>
    <xf numFmtId="9" fontId="0" fillId="0" borderId="0" xfId="14665" applyFont="1"/>
    <xf numFmtId="5" fontId="1" fillId="0" borderId="58" xfId="14664" applyNumberFormat="1" applyBorder="1"/>
    <xf numFmtId="0" fontId="173" fillId="0" borderId="0" xfId="14664" applyFont="1"/>
    <xf numFmtId="0" fontId="155" fillId="0" borderId="0" xfId="14664" applyFont="1" applyAlignment="1">
      <alignment horizontal="left" vertical="center" indent="2"/>
    </xf>
    <xf numFmtId="0" fontId="155" fillId="0" borderId="0" xfId="14664" applyFont="1" applyAlignment="1">
      <alignment horizontal="left" vertical="center" indent="3"/>
    </xf>
    <xf numFmtId="0" fontId="155" fillId="0" borderId="0" xfId="14664" applyFont="1" applyAlignment="1">
      <alignment horizontal="left" vertical="center" indent="5"/>
    </xf>
    <xf numFmtId="0" fontId="155" fillId="0" borderId="0" xfId="14664" applyFont="1" applyAlignment="1">
      <alignment horizontal="left" vertical="center" indent="6"/>
    </xf>
    <xf numFmtId="5" fontId="1" fillId="0" borderId="47" xfId="14664" applyNumberFormat="1" applyBorder="1"/>
    <xf numFmtId="37" fontId="14" fillId="0" borderId="0" xfId="14666" applyFont="1"/>
    <xf numFmtId="37" fontId="19" fillId="0" borderId="0" xfId="14666" applyFont="1"/>
    <xf numFmtId="194" fontId="14" fillId="0" borderId="0" xfId="14666" applyNumberFormat="1" applyFont="1"/>
    <xf numFmtId="0" fontId="174" fillId="0" borderId="0" xfId="5126" applyFont="1" applyFill="1" applyBorder="1" applyAlignment="1">
      <alignment horizontal="right"/>
    </xf>
    <xf numFmtId="0" fontId="20" fillId="0" borderId="0" xfId="5126" applyFont="1" applyFill="1" applyBorder="1" applyAlignment="1">
      <alignment horizontal="right"/>
    </xf>
    <xf numFmtId="0" fontId="20" fillId="0" borderId="0" xfId="4614" quotePrefix="1" applyFont="1" applyAlignment="1" applyProtection="1">
      <alignment horizontal="left"/>
    </xf>
    <xf numFmtId="37" fontId="20" fillId="0" borderId="0" xfId="14666" applyFont="1" applyAlignment="1"/>
    <xf numFmtId="37" fontId="19" fillId="0" borderId="0" xfId="14666" applyFont="1" applyBorder="1"/>
    <xf numFmtId="164" fontId="19" fillId="0" borderId="0" xfId="4" applyNumberFormat="1" applyFont="1" applyBorder="1" applyAlignment="1">
      <alignment horizontal="centerContinuous"/>
    </xf>
    <xf numFmtId="164" fontId="175" fillId="0" borderId="0" xfId="4" applyNumberFormat="1" applyFont="1" applyBorder="1" applyAlignment="1">
      <alignment horizontal="centerContinuous"/>
    </xf>
    <xf numFmtId="164" fontId="19" fillId="0" borderId="0" xfId="4" applyNumberFormat="1" applyFont="1" applyBorder="1"/>
    <xf numFmtId="194" fontId="19" fillId="0" borderId="0" xfId="14666" applyNumberFormat="1" applyFont="1"/>
    <xf numFmtId="187" fontId="19" fillId="0" borderId="0" xfId="2" applyNumberFormat="1" applyFont="1" applyBorder="1" applyAlignment="1">
      <alignment horizontal="left"/>
    </xf>
    <xf numFmtId="187" fontId="19" fillId="0" borderId="0" xfId="2" applyNumberFormat="1" applyFont="1" applyBorder="1" applyAlignment="1">
      <alignment horizontal="fill"/>
    </xf>
    <xf numFmtId="187" fontId="19" fillId="0" borderId="0" xfId="2" applyNumberFormat="1" applyFont="1" applyBorder="1"/>
    <xf numFmtId="195" fontId="19" fillId="0" borderId="0" xfId="1" applyNumberFormat="1" applyFont="1"/>
    <xf numFmtId="37" fontId="19" fillId="0" borderId="0" xfId="14666" applyFont="1" applyBorder="1" applyAlignment="1">
      <alignment horizontal="left"/>
    </xf>
    <xf numFmtId="164" fontId="19" fillId="0" borderId="0" xfId="4" applyNumberFormat="1" applyFont="1" applyBorder="1" applyProtection="1">
      <protection locked="0"/>
    </xf>
    <xf numFmtId="196" fontId="19" fillId="0" borderId="0" xfId="14666" applyNumberFormat="1" applyFont="1" applyProtection="1"/>
    <xf numFmtId="195" fontId="19" fillId="0" borderId="2" xfId="1" applyNumberFormat="1" applyFont="1" applyBorder="1" applyProtection="1"/>
    <xf numFmtId="197" fontId="19" fillId="0" borderId="0" xfId="4" applyNumberFormat="1" applyFont="1" applyProtection="1"/>
    <xf numFmtId="37" fontId="19" fillId="0" borderId="0" xfId="14666" quotePrefix="1" applyFont="1" applyBorder="1" applyAlignment="1">
      <alignment horizontal="left"/>
    </xf>
    <xf numFmtId="187" fontId="19" fillId="0" borderId="0" xfId="2" applyNumberFormat="1" applyFont="1" applyBorder="1" applyProtection="1"/>
    <xf numFmtId="195" fontId="19" fillId="0" borderId="0" xfId="1" applyNumberFormat="1" applyFont="1" applyBorder="1" applyProtection="1"/>
    <xf numFmtId="37" fontId="19" fillId="0" borderId="0" xfId="14667" quotePrefix="1" applyFont="1" applyAlignment="1">
      <alignment horizontal="left"/>
    </xf>
    <xf numFmtId="9" fontId="19" fillId="0" borderId="0" xfId="4" applyNumberFormat="1" applyFont="1" applyBorder="1" applyProtection="1"/>
    <xf numFmtId="10" fontId="19" fillId="0" borderId="0" xfId="1" applyNumberFormat="1" applyFont="1" applyBorder="1" applyProtection="1"/>
    <xf numFmtId="37" fontId="19" fillId="0" borderId="0" xfId="14667" quotePrefix="1" applyFont="1" applyBorder="1" applyAlignment="1">
      <alignment horizontal="left"/>
    </xf>
    <xf numFmtId="195" fontId="19" fillId="0" borderId="0" xfId="1" applyNumberFormat="1" applyFont="1" applyFill="1" applyBorder="1" applyProtection="1"/>
    <xf numFmtId="197" fontId="19" fillId="0" borderId="0" xfId="4" applyNumberFormat="1" applyFont="1" applyBorder="1" applyProtection="1"/>
    <xf numFmtId="195" fontId="19" fillId="0" borderId="27" xfId="1" applyNumberFormat="1" applyFont="1" applyBorder="1"/>
    <xf numFmtId="164" fontId="19" fillId="0" borderId="0" xfId="4" applyNumberFormat="1" applyFont="1" applyBorder="1" applyAlignment="1">
      <alignment horizontal="right"/>
    </xf>
    <xf numFmtId="194" fontId="19" fillId="0" borderId="0" xfId="14666" applyNumberFormat="1" applyFont="1" applyProtection="1"/>
    <xf numFmtId="37" fontId="175" fillId="0" borderId="0" xfId="14667" applyFont="1"/>
    <xf numFmtId="37" fontId="19" fillId="0" borderId="0" xfId="14667" applyFont="1" applyBorder="1" applyAlignment="1">
      <alignment horizontal="left"/>
    </xf>
    <xf numFmtId="196" fontId="19" fillId="0" borderId="0" xfId="14667" applyNumberFormat="1" applyFont="1" applyProtection="1"/>
    <xf numFmtId="37" fontId="19" fillId="0" borderId="0" xfId="14667" applyFont="1" applyBorder="1"/>
    <xf numFmtId="195" fontId="19" fillId="0" borderId="27" xfId="1" applyNumberFormat="1" applyFont="1" applyBorder="1" applyProtection="1"/>
    <xf numFmtId="37" fontId="147" fillId="0" borderId="0" xfId="14667" quotePrefix="1" applyFont="1" applyBorder="1" applyAlignment="1">
      <alignment horizontal="left"/>
    </xf>
    <xf numFmtId="49" fontId="14" fillId="0" borderId="0" xfId="5126" applyNumberFormat="1" applyFont="1" applyFill="1" applyBorder="1" applyAlignment="1">
      <alignment horizontal="center"/>
    </xf>
    <xf numFmtId="0" fontId="14" fillId="0" borderId="0" xfId="5126" applyFont="1" applyFill="1" applyBorder="1" applyAlignment="1">
      <alignment horizontal="center"/>
    </xf>
    <xf numFmtId="0" fontId="1" fillId="0" borderId="0" xfId="14664" applyBorder="1" applyAlignment="1">
      <alignment horizontal="center"/>
    </xf>
    <xf numFmtId="0" fontId="82" fillId="0" borderId="26" xfId="5126" applyFont="1" applyFill="1" applyBorder="1" applyAlignment="1">
      <alignment horizontal="center"/>
    </xf>
    <xf numFmtId="164" fontId="14" fillId="0" borderId="48" xfId="4" applyNumberFormat="1" applyFont="1" applyFill="1" applyBorder="1" applyAlignment="1">
      <alignment horizontal="center"/>
    </xf>
    <xf numFmtId="164" fontId="14" fillId="0" borderId="49" xfId="4" applyNumberFormat="1" applyFont="1" applyFill="1" applyBorder="1" applyAlignment="1">
      <alignment horizontal="center"/>
    </xf>
    <xf numFmtId="164" fontId="14" fillId="0" borderId="50" xfId="4" applyNumberFormat="1" applyFont="1" applyFill="1" applyBorder="1" applyAlignment="1">
      <alignment horizontal="center"/>
    </xf>
    <xf numFmtId="164" fontId="4" fillId="0" borderId="52" xfId="4" applyNumberFormat="1" applyFont="1" applyFill="1" applyBorder="1" applyAlignment="1">
      <alignment horizontal="center"/>
    </xf>
    <xf numFmtId="164" fontId="4" fillId="0" borderId="53" xfId="4" applyNumberFormat="1" applyFont="1" applyFill="1" applyBorder="1" applyAlignment="1">
      <alignment horizontal="center"/>
    </xf>
    <xf numFmtId="164" fontId="4" fillId="0" borderId="54" xfId="4" applyNumberFormat="1" applyFont="1" applyFill="1" applyBorder="1" applyAlignment="1">
      <alignment horizontal="center"/>
    </xf>
    <xf numFmtId="164" fontId="14" fillId="0" borderId="52" xfId="4" applyNumberFormat="1" applyFont="1" applyFill="1" applyBorder="1" applyAlignment="1">
      <alignment horizontal="center"/>
    </xf>
    <xf numFmtId="164" fontId="14" fillId="0" borderId="53" xfId="4" applyNumberFormat="1" applyFont="1" applyFill="1" applyBorder="1" applyAlignment="1">
      <alignment horizontal="center"/>
    </xf>
    <xf numFmtId="164" fontId="14" fillId="0" borderId="54" xfId="4" applyNumberFormat="1" applyFont="1" applyFill="1" applyBorder="1" applyAlignment="1">
      <alignment horizontal="center"/>
    </xf>
    <xf numFmtId="0" fontId="82" fillId="0" borderId="26" xfId="5126" applyFont="1" applyFill="1" applyBorder="1" applyAlignment="1">
      <alignment horizontal="center" wrapText="1"/>
    </xf>
    <xf numFmtId="37" fontId="19" fillId="0" borderId="0" xfId="14666" applyFont="1" applyAlignment="1">
      <alignment horizontal="center"/>
    </xf>
    <xf numFmtId="37" fontId="175" fillId="0" borderId="0" xfId="14666" quotePrefix="1" applyFont="1" applyAlignment="1">
      <alignment horizontal="center"/>
    </xf>
  </cellXfs>
  <cellStyles count="14668">
    <cellStyle name="%" xfId="14316"/>
    <cellStyle name="_Ebill Paper Bill ARC Recovery" xfId="14317"/>
    <cellStyle name="_MTC Resource Unit Baseline by state 050920 v2" xfId="14318"/>
    <cellStyle name="_Row1" xfId="10"/>
    <cellStyle name="_Row1 2" xfId="11"/>
    <cellStyle name="_Term for Change of Control" xfId="14319"/>
    <cellStyle name="_Term for Convenience" xfId="14320"/>
    <cellStyle name="_Transformation Projects Cap vs Exp Master" xfId="14321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2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3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4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5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6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7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8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5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0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1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2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3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4"/>
    <cellStyle name="20% - Accent4 2 3 2 2 3" xfId="722"/>
    <cellStyle name="20% - Accent4 2 3 2 2 4" xfId="723"/>
    <cellStyle name="20% - Accent4 2 3 2 2 5" xfId="14465"/>
    <cellStyle name="20% - Accent4 2 3 2 3" xfId="724"/>
    <cellStyle name="20% - Accent4 2 3 2 3 2" xfId="725"/>
    <cellStyle name="20% - Accent4 2 3 2 3 3" xfId="14466"/>
    <cellStyle name="20% - Accent4 2 3 2 4" xfId="726"/>
    <cellStyle name="20% - Accent4 2 3 2 5" xfId="727"/>
    <cellStyle name="20% - Accent4 2 3 2 6" xfId="14467"/>
    <cellStyle name="20% - Accent4 2 3 3" xfId="728"/>
    <cellStyle name="20% - Accent4 2 3 3 2" xfId="729"/>
    <cellStyle name="20% - Accent4 2 3 3 2 2" xfId="730"/>
    <cellStyle name="20% - Accent4 2 3 3 2 3" xfId="14468"/>
    <cellStyle name="20% - Accent4 2 3 3 3" xfId="731"/>
    <cellStyle name="20% - Accent4 2 3 3 4" xfId="732"/>
    <cellStyle name="20% - Accent4 2 3 3 5" xfId="14469"/>
    <cellStyle name="20% - Accent4 2 3 4" xfId="733"/>
    <cellStyle name="20% - Accent4 2 3 4 2" xfId="734"/>
    <cellStyle name="20% - Accent4 2 3 4 3" xfId="14470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1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2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3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4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5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6"/>
    <cellStyle name="20% - Accent4 3 3 2 2 3" xfId="802"/>
    <cellStyle name="20% - Accent4 3 3 2 2 4" xfId="803"/>
    <cellStyle name="20% - Accent4 3 3 2 2 5" xfId="14477"/>
    <cellStyle name="20% - Accent4 3 3 2 3" xfId="804"/>
    <cellStyle name="20% - Accent4 3 3 2 3 2" xfId="805"/>
    <cellStyle name="20% - Accent4 3 3 2 3 3" xfId="14478"/>
    <cellStyle name="20% - Accent4 3 3 2 4" xfId="806"/>
    <cellStyle name="20% - Accent4 3 3 2 5" xfId="807"/>
    <cellStyle name="20% - Accent4 3 3 2 6" xfId="14479"/>
    <cellStyle name="20% - Accent4 3 3 3" xfId="808"/>
    <cellStyle name="20% - Accent4 3 3 3 2" xfId="809"/>
    <cellStyle name="20% - Accent4 3 3 3 2 2" xfId="810"/>
    <cellStyle name="20% - Accent4 3 3 3 2 3" xfId="14480"/>
    <cellStyle name="20% - Accent4 3 3 3 3" xfId="811"/>
    <cellStyle name="20% - Accent4 3 3 3 4" xfId="812"/>
    <cellStyle name="20% - Accent4 3 3 3 5" xfId="14481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2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3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4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5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6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7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8"/>
    <cellStyle name="20% - Accent4 4 3 2 2 3" xfId="882"/>
    <cellStyle name="20% - Accent4 4 3 2 2 4" xfId="883"/>
    <cellStyle name="20% - Accent4 4 3 2 2 5" xfId="14489"/>
    <cellStyle name="20% - Accent4 4 3 2 3" xfId="884"/>
    <cellStyle name="20% - Accent4 4 3 2 3 2" xfId="885"/>
    <cellStyle name="20% - Accent4 4 3 2 3 3" xfId="14490"/>
    <cellStyle name="20% - Accent4 4 3 2 4" xfId="886"/>
    <cellStyle name="20% - Accent4 4 3 2 5" xfId="887"/>
    <cellStyle name="20% - Accent4 4 3 2 6" xfId="14491"/>
    <cellStyle name="20% - Accent4 4 3 3" xfId="888"/>
    <cellStyle name="20% - Accent4 4 3 3 2" xfId="889"/>
    <cellStyle name="20% - Accent4 4 3 3 2 2" xfId="890"/>
    <cellStyle name="20% - Accent4 4 3 3 2 3" xfId="14492"/>
    <cellStyle name="20% - Accent4 4 3 3 3" xfId="891"/>
    <cellStyle name="20% - Accent4 4 3 3 4" xfId="892"/>
    <cellStyle name="20% - Accent4 4 3 3 5" xfId="14493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4"/>
    <cellStyle name="20% - Accent4 6 2 2 3" xfId="958"/>
    <cellStyle name="20% - Accent4 6 2 2 4" xfId="14495"/>
    <cellStyle name="20% - Accent4 6 2 3" xfId="959"/>
    <cellStyle name="20% - Accent4 6 2 3 2" xfId="960"/>
    <cellStyle name="20% - Accent4 6 2 3 3" xfId="14496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7"/>
    <cellStyle name="20% - Accent4 6 3 3" xfId="965"/>
    <cellStyle name="20% - Accent4 6 3 4" xfId="14498"/>
    <cellStyle name="20% - Accent4 6 4" xfId="966"/>
    <cellStyle name="20% - Accent4 6 4 2" xfId="967"/>
    <cellStyle name="20% - Accent4 6 4 3" xfId="14499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0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1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2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3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4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5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6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7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8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09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0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2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3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4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5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6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7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8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19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0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1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2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3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2"/>
    <cellStyle name="C00B" xfId="14323"/>
    <cellStyle name="C00L" xfId="14324"/>
    <cellStyle name="C01A" xfId="14325"/>
    <cellStyle name="C01B" xfId="14326"/>
    <cellStyle name="C01H" xfId="14327"/>
    <cellStyle name="C01L" xfId="14328"/>
    <cellStyle name="C02A" xfId="14329"/>
    <cellStyle name="C02B" xfId="14330"/>
    <cellStyle name="C02H" xfId="14331"/>
    <cellStyle name="C02L" xfId="14332"/>
    <cellStyle name="C03A" xfId="14333"/>
    <cellStyle name="C03B" xfId="14334"/>
    <cellStyle name="C03H" xfId="14335"/>
    <cellStyle name="C03L" xfId="14336"/>
    <cellStyle name="C04A" xfId="14337"/>
    <cellStyle name="C04B" xfId="14338"/>
    <cellStyle name="C04H" xfId="14339"/>
    <cellStyle name="C04L" xfId="14340"/>
    <cellStyle name="C05A" xfId="14341"/>
    <cellStyle name="C05B" xfId="14342"/>
    <cellStyle name="C05H" xfId="14343"/>
    <cellStyle name="C05L" xfId="14344"/>
    <cellStyle name="C06A" xfId="14345"/>
    <cellStyle name="C06B" xfId="14346"/>
    <cellStyle name="C06H" xfId="14347"/>
    <cellStyle name="C06L" xfId="14348"/>
    <cellStyle name="C07A" xfId="14349"/>
    <cellStyle name="C07B" xfId="14350"/>
    <cellStyle name="C07H" xfId="14351"/>
    <cellStyle name="C07L" xfId="14352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4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5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6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7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8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29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0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3"/>
    <cellStyle name="Comma 101" xfId="14354"/>
    <cellStyle name="Comma 102" xfId="14355"/>
    <cellStyle name="Comma 103" xfId="14356"/>
    <cellStyle name="Comma 104" xfId="14357"/>
    <cellStyle name="Comma 105" xfId="14358"/>
    <cellStyle name="Comma 106" xfId="14359"/>
    <cellStyle name="Comma 107" xfId="14402"/>
    <cellStyle name="Comma 108" xfId="14403"/>
    <cellStyle name="Comma 109" xfId="14404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5"/>
    <cellStyle name="Comma 111" xfId="14406"/>
    <cellStyle name="Comma 112" xfId="14407"/>
    <cellStyle name="Comma 113" xfId="14408"/>
    <cellStyle name="Comma 114" xfId="14409"/>
    <cellStyle name="Comma 115" xfId="14410"/>
    <cellStyle name="Comma 116" xfId="14630"/>
    <cellStyle name="Comma 117" xfId="14644"/>
    <cellStyle name="Comma 118" xfId="14646"/>
    <cellStyle name="Comma 119" xfId="14649"/>
    <cellStyle name="Comma 119 2" xfId="14653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1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2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3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4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5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6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7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8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39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0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1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2"/>
    <cellStyle name="Comma 3 4 2 2 3" xfId="3681"/>
    <cellStyle name="Comma 3 4 2 2 4" xfId="3682"/>
    <cellStyle name="Comma 3 4 2 2 5" xfId="14543"/>
    <cellStyle name="Comma 3 4 2 3" xfId="3683"/>
    <cellStyle name="Comma 3 4 2 3 2" xfId="3684"/>
    <cellStyle name="Comma 3 4 2 3 3" xfId="14544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5"/>
    <cellStyle name="Comma 3 4 3 3" xfId="3690"/>
    <cellStyle name="Comma 3 4 3 4" xfId="3691"/>
    <cellStyle name="Comma 3 4 3 5" xfId="14546"/>
    <cellStyle name="Comma 3 4 4" xfId="3692"/>
    <cellStyle name="Comma 3 4 4 2" xfId="3693"/>
    <cellStyle name="Comma 3 4 4 3" xfId="14547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8"/>
    <cellStyle name="Comma 3 5 2 3" xfId="3702"/>
    <cellStyle name="Comma 3 5 2 3 2" xfId="3703"/>
    <cellStyle name="Comma 3 5 2 4" xfId="3704"/>
    <cellStyle name="Comma 3 5 2 5" xfId="3705"/>
    <cellStyle name="Comma 3 5 2 6" xfId="14549"/>
    <cellStyle name="Comma 3 5 3" xfId="3706"/>
    <cellStyle name="Comma 3 5 3 2" xfId="3707"/>
    <cellStyle name="Comma 3 5 3 2 2" xfId="3708"/>
    <cellStyle name="Comma 3 5 3 3" xfId="3709"/>
    <cellStyle name="Comma 3 5 3 4" xfId="14550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1"/>
    <cellStyle name="Comma 3 6 3" xfId="3720"/>
    <cellStyle name="Comma 3 6 3 2" xfId="3721"/>
    <cellStyle name="Comma 3 6 4" xfId="3722"/>
    <cellStyle name="Comma 3 6 5" xfId="3723"/>
    <cellStyle name="Comma 3 6 6" xfId="14552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3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1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14" xfId="14655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4"/>
    <cellStyle name="Comma 7 11" xfId="14660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5"/>
    <cellStyle name="Comma 7 8 3" xfId="14556"/>
    <cellStyle name="Comma 7 9" xfId="14557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0"/>
    <cellStyle name="Comma 89" xfId="14361"/>
    <cellStyle name="Comma 9" xfId="3951"/>
    <cellStyle name="Comma 9 10" xfId="14558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1"/>
    <cellStyle name="Comma 91" xfId="14362"/>
    <cellStyle name="Comma 92" xfId="14363"/>
    <cellStyle name="Comma 93" xfId="14364"/>
    <cellStyle name="Comma 94" xfId="14365"/>
    <cellStyle name="Comma 95" xfId="14366"/>
    <cellStyle name="Comma 96" xfId="14367"/>
    <cellStyle name="Comma 97" xfId="14412"/>
    <cellStyle name="Comma 98" xfId="14368"/>
    <cellStyle name="Comma 99" xfId="14369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59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3"/>
    <cellStyle name="Currency 165" xfId="14414"/>
    <cellStyle name="Currency 166" xfId="14415"/>
    <cellStyle name="Currency 167" xfId="14416"/>
    <cellStyle name="Currency 168" xfId="14417"/>
    <cellStyle name="Currency 169" xfId="14418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19"/>
    <cellStyle name="Currency 171" xfId="14420"/>
    <cellStyle name="Currency 172" xfId="14421"/>
    <cellStyle name="Currency 173" xfId="14422"/>
    <cellStyle name="Currency 174" xfId="14423"/>
    <cellStyle name="Currency 175" xfId="14632"/>
    <cellStyle name="Currency 176" xfId="14645"/>
    <cellStyle name="Currency 177" xfId="14652"/>
    <cellStyle name="Currency 178" xfId="14658"/>
    <cellStyle name="Currency 178 2" xfId="14662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0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 9" xfId="14657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1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2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3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4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5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6"/>
    <cellStyle name="Normal 13 2 3" xfId="10867"/>
    <cellStyle name="Normal 13 2 4" xfId="14567"/>
    <cellStyle name="Normal 13 3" xfId="10868"/>
    <cellStyle name="Normal 13 3 2" xfId="14568"/>
    <cellStyle name="Normal 13 4" xfId="14569"/>
    <cellStyle name="Normal 13 5" xfId="14570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3"/>
    <cellStyle name="Normal 16" xfId="4728"/>
    <cellStyle name="Normal 16 2" xfId="4729"/>
    <cellStyle name="Normal 16 2 2" xfId="10947"/>
    <cellStyle name="Normal 16 2 2 2" xfId="14571"/>
    <cellStyle name="Normal 16 2 3" xfId="14572"/>
    <cellStyle name="Normal 16 2 4" xfId="14573"/>
    <cellStyle name="Normal 16 3" xfId="14424"/>
    <cellStyle name="Normal 16 3 2" xfId="14574"/>
    <cellStyle name="Normal 16 4" xfId="14575"/>
    <cellStyle name="Normal 16 5" xfId="14576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7"/>
    <cellStyle name="Normal 19 2 3" xfId="14578"/>
    <cellStyle name="Normal 19 2 4" xfId="14579"/>
    <cellStyle name="Normal 19 3" xfId="14425"/>
    <cellStyle name="Normal 19 3 2" xfId="14580"/>
    <cellStyle name="Normal 19 4" xfId="14581"/>
    <cellStyle name="Normal 19 5" xfId="14582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3"/>
    <cellStyle name="Normal 2 6 3" xfId="11095"/>
    <cellStyle name="Normal 2 6 4" xfId="14584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4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5"/>
    <cellStyle name="Normal 21 3" xfId="14586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7"/>
    <cellStyle name="Normal 23" xfId="4808"/>
    <cellStyle name="Normal 23 2" xfId="4809"/>
    <cellStyle name="Normal 23 2 2" xfId="11133"/>
    <cellStyle name="Normal 23 2 2 2" xfId="14588"/>
    <cellStyle name="Normal 23 2 3" xfId="11134"/>
    <cellStyle name="Normal 23 2 4" xfId="11135"/>
    <cellStyle name="Normal 23 2 5" xfId="11136"/>
    <cellStyle name="Normal 23 3" xfId="4810"/>
    <cellStyle name="Normal 23 3 2" xfId="14589"/>
    <cellStyle name="Normal 23 3 3" xfId="14590"/>
    <cellStyle name="Normal 23 4" xfId="14591"/>
    <cellStyle name="Normal 23 5" xfId="14592"/>
    <cellStyle name="Normal 24" xfId="4811"/>
    <cellStyle name="Normal 24 2" xfId="4812"/>
    <cellStyle name="Normal 24 2 2" xfId="14593"/>
    <cellStyle name="Normal 24 3" xfId="4813"/>
    <cellStyle name="Normal 24 4" xfId="14594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2 3" xfId="14650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5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5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6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7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6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8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39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0"/>
    <cellStyle name="Normal 70" xfId="11633"/>
    <cellStyle name="Normal 71" xfId="13499"/>
    <cellStyle name="Normal 72" xfId="14315"/>
    <cellStyle name="Normal 73" xfId="14426"/>
    <cellStyle name="Normal 74" xfId="14427"/>
    <cellStyle name="Normal 75" xfId="14428"/>
    <cellStyle name="Normal 76" xfId="14429"/>
    <cellStyle name="Normal 77" xfId="14430"/>
    <cellStyle name="Normal 78" xfId="14431"/>
    <cellStyle name="Normal 79" xfId="14432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1"/>
    <cellStyle name="Normal 80" xfId="14433"/>
    <cellStyle name="Normal 81" xfId="14434"/>
    <cellStyle name="Normal 82" xfId="14435"/>
    <cellStyle name="Normal 83" xfId="14436"/>
    <cellStyle name="Normal 84" xfId="14643"/>
    <cellStyle name="Normal 85" xfId="14647"/>
    <cellStyle name="Normal 86" xfId="14651"/>
    <cellStyle name="Normal 87" xfId="14656"/>
    <cellStyle name="Normal 87 2" xfId="14661"/>
    <cellStyle name="Normal 87 3" xfId="14664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7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8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599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0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1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Composite Tax Rates" xfId="14667"/>
    <cellStyle name="Normal_KU RR Exhibits 12mosAPR 2008 SETTLEMENT JAN09 (Working File)" xfId="14666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2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3"/>
    <cellStyle name="Note 3" xfId="6422"/>
    <cellStyle name="Note 3 10" xfId="6423"/>
    <cellStyle name="Note 3 10 2" xfId="11887"/>
    <cellStyle name="Note 3 11" xfId="6424"/>
    <cellStyle name="Note 3 12" xfId="6425"/>
    <cellStyle name="Note 3 13" xfId="14604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5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6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7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8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09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0"/>
    <cellStyle name="Note 5 2 2 3" xfId="6599"/>
    <cellStyle name="Note 5 2 2 4" xfId="14611"/>
    <cellStyle name="Note 5 2 3" xfId="6600"/>
    <cellStyle name="Note 5 2 3 2" xfId="6601"/>
    <cellStyle name="Note 5 2 3 3" xfId="14612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3"/>
    <cellStyle name="Note 5 3 3" xfId="6610"/>
    <cellStyle name="Note 5 3 4" xfId="13790"/>
    <cellStyle name="Note 5 4" xfId="6611"/>
    <cellStyle name="Note 5 4 2" xfId="6612"/>
    <cellStyle name="Note 5 4 3" xfId="14614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5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6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7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8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7"/>
    <cellStyle name="Percent 17" xfId="14642"/>
    <cellStyle name="Percent 18" xfId="14648"/>
    <cellStyle name="Percent 18 2" xfId="14654"/>
    <cellStyle name="Percent 19" xfId="14659"/>
    <cellStyle name="Percent 19 2" xfId="14663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20" xfId="14665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8"/>
    <cellStyle name="PSDate" xfId="7024"/>
    <cellStyle name="PSDec" xfId="7025"/>
    <cellStyle name="PSHeading" xfId="7026"/>
    <cellStyle name="PSInt" xfId="7027"/>
    <cellStyle name="PSSpacer" xfId="7028"/>
    <cellStyle name="R00A" xfId="14370"/>
    <cellStyle name="R00B" xfId="14371"/>
    <cellStyle name="R00L" xfId="14372"/>
    <cellStyle name="R01A" xfId="14373"/>
    <cellStyle name="R01B" xfId="14374"/>
    <cellStyle name="R01H" xfId="14375"/>
    <cellStyle name="R01L" xfId="14376"/>
    <cellStyle name="R02A" xfId="14377"/>
    <cellStyle name="R02B" xfId="14378"/>
    <cellStyle name="R02H" xfId="14379"/>
    <cellStyle name="R02L" xfId="14380"/>
    <cellStyle name="R03A" xfId="14381"/>
    <cellStyle name="R03B" xfId="14382"/>
    <cellStyle name="R03H" xfId="14383"/>
    <cellStyle name="R03L" xfId="14384"/>
    <cellStyle name="R04A" xfId="14385"/>
    <cellStyle name="R04B" xfId="14386"/>
    <cellStyle name="R04H" xfId="14387"/>
    <cellStyle name="R04L" xfId="14388"/>
    <cellStyle name="R05A" xfId="14389"/>
    <cellStyle name="R05B" xfId="14390"/>
    <cellStyle name="R05H" xfId="14391"/>
    <cellStyle name="R05L" xfId="14392"/>
    <cellStyle name="R06A" xfId="14393"/>
    <cellStyle name="R06B" xfId="14394"/>
    <cellStyle name="R06H" xfId="14395"/>
    <cellStyle name="R06L" xfId="14396"/>
    <cellStyle name="R07A" xfId="14397"/>
    <cellStyle name="R07B" xfId="14398"/>
    <cellStyle name="R07H" xfId="14399"/>
    <cellStyle name="R07L" xfId="14400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19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0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1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2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3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4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5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6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7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8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39"/>
    <cellStyle name="SAPDataTotalCell" xfId="14440"/>
    <cellStyle name="SAPDimensionCell" xfId="14441"/>
    <cellStyle name="SAPEmphasized" xfId="14442"/>
    <cellStyle name="SAPHierarchyCell0" xfId="14443"/>
    <cellStyle name="SAPHierarchyCell1" xfId="14444"/>
    <cellStyle name="SAPHierarchyCell2" xfId="14445"/>
    <cellStyle name="SAPHierarchyCell3" xfId="14446"/>
    <cellStyle name="SAPHierarchyCell4" xfId="14447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8"/>
    <cellStyle name="SAPMemberTotalCell" xfId="14449"/>
    <cellStyle name="Shade" xfId="14450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1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29"/>
    <cellStyle name="Währung_KURSE3Q" xfId="14451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venue%20Volume%20Analysis%20Reports\2016\Revenue%20Volume%20Analysis%202016-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M29">
            <v>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abSelected="1" zoomScale="85" zoomScaleNormal="85" workbookViewId="0">
      <selection activeCell="K16" sqref="K16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16384" width="9.140625" style="5"/>
  </cols>
  <sheetData>
    <row r="1" spans="1:7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7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7" s="1" customFormat="1" ht="20.100000000000001" customHeight="1" x14ac:dyDescent="0.2">
      <c r="C3" s="3"/>
      <c r="D3" s="3"/>
      <c r="E3" s="3"/>
      <c r="F3" s="146"/>
      <c r="G3" s="3"/>
    </row>
    <row r="4" spans="1:7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7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7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7" s="1" customFormat="1" ht="20.100000000000001" customHeight="1" x14ac:dyDescent="0.2">
      <c r="C7" s="3"/>
      <c r="D7" s="3"/>
      <c r="E7" s="3"/>
    </row>
    <row r="8" spans="1:7" s="1" customFormat="1" ht="20.100000000000001" customHeight="1" x14ac:dyDescent="0.2"/>
    <row r="9" spans="1:7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7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7" ht="18.95" customHeight="1" x14ac:dyDescent="0.2">
      <c r="A11" s="6"/>
      <c r="B11" s="7"/>
      <c r="C11" s="8"/>
      <c r="D11" s="8"/>
      <c r="E11" s="8"/>
      <c r="F11" s="8"/>
      <c r="G11" s="8"/>
    </row>
    <row r="12" spans="1:7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v>688523750.12038875</v>
      </c>
      <c r="E12" s="8">
        <f>D12-C12</f>
        <v>-7028326.466783762</v>
      </c>
      <c r="F12" s="8"/>
      <c r="G12" s="8"/>
    </row>
    <row r="13" spans="1:7" ht="18.95" customHeight="1" x14ac:dyDescent="0.2">
      <c r="A13" s="9"/>
      <c r="B13" s="7"/>
      <c r="C13" s="8"/>
      <c r="D13" s="8"/>
      <c r="E13" s="8"/>
      <c r="F13" s="8"/>
      <c r="G13" s="8"/>
    </row>
    <row r="14" spans="1:7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f>'Cost of Capital (21%) (FILED)'!M21</f>
        <v>8.8639499574656291E-2</v>
      </c>
      <c r="E14" s="18">
        <f>D14-C14</f>
        <v>-1.3522164457191135E-2</v>
      </c>
      <c r="F14" s="18"/>
      <c r="G14" s="18"/>
    </row>
    <row r="15" spans="1:7" ht="18.95" customHeight="1" x14ac:dyDescent="0.2">
      <c r="A15" s="9"/>
      <c r="B15" s="7"/>
      <c r="C15" s="8"/>
      <c r="D15" s="8"/>
      <c r="E15" s="8"/>
      <c r="F15" s="8"/>
      <c r="G15" s="8"/>
    </row>
    <row r="16" spans="1:7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61030400.655936956</v>
      </c>
      <c r="E16" s="8">
        <f>D16-C16</f>
        <v>-10028356.909015566</v>
      </c>
      <c r="F16" s="8"/>
      <c r="G16" s="8"/>
    </row>
    <row r="17" spans="1:7" ht="18.95" customHeight="1" x14ac:dyDescent="0.2">
      <c r="A17" s="9"/>
      <c r="B17" s="17"/>
      <c r="C17" s="8"/>
      <c r="D17" s="8"/>
      <c r="E17" s="8"/>
      <c r="F17" s="8"/>
      <c r="G17" s="8"/>
    </row>
    <row r="18" spans="1:7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</row>
    <row r="19" spans="1:7" ht="18.95" customHeight="1" x14ac:dyDescent="0.2">
      <c r="A19" s="9"/>
      <c r="B19" s="17"/>
      <c r="C19" s="8"/>
      <c r="D19" s="8"/>
      <c r="E19" s="8"/>
      <c r="F19" s="8"/>
      <c r="G19" s="8"/>
    </row>
    <row r="20" spans="1:7" ht="18.95" customHeight="1" x14ac:dyDescent="0.2">
      <c r="A20" s="9">
        <v>5</v>
      </c>
      <c r="B20" s="17" t="s">
        <v>290</v>
      </c>
      <c r="C20" s="19"/>
      <c r="D20" s="19"/>
      <c r="E20" s="8">
        <f>E16*E18</f>
        <v>-13371142.545354087</v>
      </c>
      <c r="F20" s="8"/>
      <c r="G20" s="8"/>
    </row>
    <row r="21" spans="1:7" ht="18.95" customHeight="1" x14ac:dyDescent="0.2">
      <c r="B21" s="17"/>
    </row>
    <row r="22" spans="1:7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</row>
    <row r="23" spans="1:7" ht="18.95" customHeight="1" x14ac:dyDescent="0.2">
      <c r="A23" s="9"/>
      <c r="B23" s="17"/>
      <c r="C23" s="8"/>
      <c r="D23" s="8"/>
      <c r="E23" s="8"/>
      <c r="F23" s="8"/>
      <c r="G23" s="8"/>
    </row>
    <row r="24" spans="1:7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</row>
    <row r="25" spans="1:7" ht="18.95" customHeight="1" x14ac:dyDescent="0.2">
      <c r="A25" s="9"/>
      <c r="B25" s="17"/>
      <c r="C25" s="8"/>
      <c r="D25" s="8"/>
      <c r="E25" s="8"/>
      <c r="F25" s="8"/>
      <c r="G25" s="8"/>
    </row>
    <row r="26" spans="1:7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</row>
    <row r="27" spans="1:7" ht="18.95" customHeight="1" x14ac:dyDescent="0.2">
      <c r="B27" s="17"/>
    </row>
    <row r="28" spans="1:7" ht="18.95" customHeight="1" x14ac:dyDescent="0.2">
      <c r="A28" s="9">
        <v>9</v>
      </c>
      <c r="B28" s="17" t="str">
        <f>CONCATENATE("GROSS-UP FACTOR USING ",TEXT('Effective Tax Rate'!F23,"0.00%")," EFFECTIVE TAX RATE")</f>
        <v>GROSS-UP FACTOR USING 25.74% EFFECTIVE TAX RATE</v>
      </c>
      <c r="C28" s="36"/>
      <c r="D28" s="41">
        <f>1/(1-'Effective Tax Rate'!F23)</f>
        <v>1.3466199838405604</v>
      </c>
      <c r="E28" s="36"/>
      <c r="F28" s="36"/>
      <c r="G28" s="36"/>
    </row>
    <row r="29" spans="1:7" ht="18.95" customHeight="1" x14ac:dyDescent="0.2">
      <c r="A29" s="9"/>
      <c r="B29" s="7"/>
    </row>
    <row r="30" spans="1:7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-2928178.7230210402</v>
      </c>
      <c r="F30" s="8"/>
      <c r="G30" s="8"/>
    </row>
    <row r="31" spans="1:7" ht="18.95" customHeight="1" x14ac:dyDescent="0.2">
      <c r="B31" s="17"/>
    </row>
    <row r="32" spans="1:7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-16299321.268375127</v>
      </c>
      <c r="F32" s="63">
        <f>E32*'TY TARIFF BILLING'!H38</f>
        <v>-10659756.109517334</v>
      </c>
      <c r="G32" s="63">
        <f>E32-F32</f>
        <v>-5639565.1588577926</v>
      </c>
    </row>
    <row r="33" spans="1:7" ht="18.95" customHeight="1" x14ac:dyDescent="0.2"/>
    <row r="34" spans="1:7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</row>
    <row r="35" spans="1:7" ht="18.95" customHeight="1" x14ac:dyDescent="0.2"/>
    <row r="36" spans="1:7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-5.0418182870280097E-2</v>
      </c>
      <c r="G36" s="64">
        <f>G32/G34</f>
        <v>-2.0873748860881038E-2</v>
      </c>
    </row>
    <row r="37" spans="1:7" ht="18.95" customHeight="1" x14ac:dyDescent="0.2">
      <c r="E37" s="10"/>
      <c r="F37" s="64"/>
      <c r="G37" s="64"/>
    </row>
    <row r="38" spans="1:7" ht="18.95" customHeight="1" x14ac:dyDescent="0.2">
      <c r="B38" s="7" t="s">
        <v>222</v>
      </c>
      <c r="F38" s="64"/>
      <c r="G38" s="64"/>
    </row>
    <row r="39" spans="1:7" ht="18.95" customHeight="1" x14ac:dyDescent="0.2">
      <c r="A39" s="61">
        <v>14</v>
      </c>
      <c r="B39" s="16" t="s">
        <v>288</v>
      </c>
      <c r="E39" s="63">
        <f>E32/16</f>
        <v>-1018707.5792734454</v>
      </c>
      <c r="F39" s="63">
        <f>F32/16</f>
        <v>-666234.75684483338</v>
      </c>
      <c r="G39" s="63">
        <f>G32/16</f>
        <v>-352472.82242861204</v>
      </c>
    </row>
    <row r="40" spans="1:7" ht="18.95" customHeight="1" x14ac:dyDescent="0.2"/>
    <row r="41" spans="1:7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</row>
    <row r="42" spans="1:7" ht="18.95" customHeight="1" x14ac:dyDescent="0.2"/>
    <row r="43" spans="1:7" ht="18.95" customHeight="1" x14ac:dyDescent="0.2">
      <c r="A43" s="9">
        <v>16</v>
      </c>
      <c r="B43" s="7" t="s">
        <v>286</v>
      </c>
      <c r="E43" s="64">
        <f>E39/E41</f>
        <v>-2.7498231696666899E-2</v>
      </c>
      <c r="F43" s="64">
        <f>F39/F41</f>
        <v>-4.0964773582102577E-2</v>
      </c>
      <c r="G43" s="64">
        <f>G39/G41</f>
        <v>-1.6959920949465843E-2</v>
      </c>
    </row>
    <row r="44" spans="1:7" ht="18.95" customHeight="1" x14ac:dyDescent="0.2"/>
    <row r="45" spans="1:7" ht="18.95" customHeight="1" x14ac:dyDescent="0.2">
      <c r="F45" s="8"/>
      <c r="G45" s="8"/>
    </row>
    <row r="46" spans="1:7" ht="18.95" customHeight="1" x14ac:dyDescent="0.2"/>
    <row r="47" spans="1:7" ht="18.95" customHeight="1" x14ac:dyDescent="0.2">
      <c r="F47" s="64"/>
      <c r="G47" s="64"/>
    </row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7"/>
  <sheetViews>
    <sheetView zoomScale="85" zoomScaleNormal="85" workbookViewId="0">
      <selection activeCell="G21" sqref="G21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v>688523750.12038875</v>
      </c>
      <c r="E12" s="8">
        <f>D12-C12</f>
        <v>-7028326.466783762</v>
      </c>
      <c r="F12" s="8"/>
      <c r="G12" s="8"/>
    </row>
    <row r="13" spans="1:8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8.8546028082073694E-2</v>
      </c>
      <c r="E14" s="18">
        <f>D14-C14</f>
        <v>-1.3615635949773733E-2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7"/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60966043.313334636</v>
      </c>
      <c r="E16" s="8">
        <f>D16-C16</f>
        <v>-10092714.251617886</v>
      </c>
      <c r="F16" s="8"/>
      <c r="G16" s="8"/>
      <c r="H16" s="7"/>
    </row>
    <row r="17" spans="1:11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1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11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1" ht="18.95" customHeight="1" x14ac:dyDescent="0.2">
      <c r="A20" s="9">
        <v>5</v>
      </c>
      <c r="B20" s="17" t="s">
        <v>290</v>
      </c>
      <c r="C20" s="19"/>
      <c r="D20" s="19"/>
      <c r="E20" s="8">
        <f>E16*E18</f>
        <v>-13456952.335490514</v>
      </c>
      <c r="F20" s="8"/>
      <c r="G20" s="8"/>
      <c r="H20" s="7"/>
    </row>
    <row r="21" spans="1:11" ht="18.95" customHeight="1" x14ac:dyDescent="0.2">
      <c r="B21" s="17"/>
      <c r="H21" s="7"/>
    </row>
    <row r="22" spans="1:11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11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1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11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1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11" ht="18.95" customHeight="1" x14ac:dyDescent="0.2">
      <c r="B27" s="17"/>
      <c r="H27" s="7"/>
    </row>
    <row r="28" spans="1:11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11" ht="18.95" customHeight="1" x14ac:dyDescent="0.2">
      <c r="A29" s="9"/>
      <c r="B29" s="7"/>
      <c r="H29" s="7"/>
    </row>
    <row r="30" spans="1:11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  <c r="H30" s="7"/>
    </row>
    <row r="31" spans="1:11" ht="18.95" customHeight="1" x14ac:dyDescent="0.2">
      <c r="B31" s="17"/>
      <c r="H31" s="7"/>
      <c r="I31" s="10" t="s">
        <v>347</v>
      </c>
      <c r="J31" s="10" t="s">
        <v>376</v>
      </c>
      <c r="K31" s="10" t="s">
        <v>348</v>
      </c>
    </row>
    <row r="32" spans="1:11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-16381197.270189617</v>
      </c>
      <c r="F32" s="63">
        <f>E32*'TY TARIFF BILLING'!H38</f>
        <v>-10713303.01470401</v>
      </c>
      <c r="G32" s="63">
        <f>E32-F32</f>
        <v>-5667894.2554856073</v>
      </c>
      <c r="H32" s="7" t="s">
        <v>349</v>
      </c>
      <c r="I32" s="8">
        <f>E32</f>
        <v>-16381197.270189617</v>
      </c>
      <c r="J32" s="8">
        <f>'1-SUMMARY (AS FILED)'!E32</f>
        <v>-16299321.268375127</v>
      </c>
      <c r="K32" s="8">
        <f>I32-J32</f>
        <v>-81876.001814490184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-5.0671447356831434E-2</v>
      </c>
      <c r="G36" s="64">
        <f>G32/G34</f>
        <v>-2.0978603478534644E-2</v>
      </c>
      <c r="H36" s="7"/>
    </row>
    <row r="37" spans="1:8" ht="18.95" customHeight="1" x14ac:dyDescent="0.2">
      <c r="E37" s="10"/>
      <c r="F37" s="64"/>
      <c r="G37" s="64"/>
      <c r="H37" s="7"/>
    </row>
    <row r="38" spans="1:8" ht="18.95" customHeight="1" x14ac:dyDescent="0.2">
      <c r="B38" s="7" t="s">
        <v>222</v>
      </c>
      <c r="F38" s="64"/>
      <c r="G38" s="64"/>
      <c r="H38" s="7"/>
    </row>
    <row r="39" spans="1:8" ht="18.95" customHeight="1" x14ac:dyDescent="0.2">
      <c r="A39" s="61">
        <v>14</v>
      </c>
      <c r="B39" s="16" t="s">
        <v>288</v>
      </c>
      <c r="E39" s="63">
        <f>E32/16</f>
        <v>-1023824.8293868511</v>
      </c>
      <c r="F39" s="63">
        <f>F32/16</f>
        <v>-669581.43841900059</v>
      </c>
      <c r="G39" s="63">
        <f>G32/16</f>
        <v>-354243.39096785046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286</v>
      </c>
      <c r="E43" s="64">
        <f>E39/E41</f>
        <v>-2.7636362925030373E-2</v>
      </c>
      <c r="F43" s="64">
        <f>F39/F41</f>
        <v>-4.1170550977425537E-2</v>
      </c>
      <c r="G43" s="64">
        <f>G39/G41</f>
        <v>-1.7045115326309396E-2</v>
      </c>
      <c r="H43" s="7"/>
    </row>
    <row r="44" spans="1:8" ht="18.95" customHeight="1" x14ac:dyDescent="0.2">
      <c r="H44" s="7"/>
    </row>
    <row r="45" spans="1:8" ht="18.95" customHeight="1" x14ac:dyDescent="0.2">
      <c r="F45" s="8"/>
      <c r="G45" s="8"/>
      <c r="H45" s="7"/>
    </row>
    <row r="46" spans="1:8" ht="18.95" customHeight="1" x14ac:dyDescent="0.2">
      <c r="H46" s="7"/>
    </row>
    <row r="47" spans="1:8" ht="18.95" customHeight="1" x14ac:dyDescent="0.2">
      <c r="F47" s="64"/>
      <c r="G47" s="64"/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zoomScale="85" zoomScaleNormal="85" workbookViewId="0">
      <selection activeCell="H14" sqref="H14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v>688523750.12038875</v>
      </c>
      <c r="E12" s="8">
        <f>D12-C12</f>
        <v>-7028326.466783762</v>
      </c>
      <c r="F12" s="8"/>
      <c r="G12" s="8"/>
      <c r="H12" s="2"/>
    </row>
    <row r="13" spans="1:8" ht="18.95" customHeight="1" x14ac:dyDescent="0.2">
      <c r="A13" s="9"/>
      <c r="B13" s="7"/>
      <c r="C13" s="8"/>
      <c r="D13" s="8"/>
      <c r="E13" s="8"/>
      <c r="F13" s="8"/>
      <c r="G13" s="8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8.8169603008134423E-2</v>
      </c>
      <c r="E14" s="18">
        <f>D14-C14</f>
        <v>-1.3992061023713004E-2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378</v>
      </c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60706865.709786624</v>
      </c>
      <c r="E16" s="8">
        <f>D16-C16</f>
        <v>-10351891.855165899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290</v>
      </c>
      <c r="C20" s="19"/>
      <c r="D20" s="19"/>
      <c r="E20" s="8">
        <f>E16*E18</f>
        <v>-13802522.473554531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  <c r="H30" s="7"/>
    </row>
    <row r="31" spans="1:13" ht="18.95" customHeight="1" x14ac:dyDescent="0.2">
      <c r="B31" s="17"/>
      <c r="H31" s="7"/>
      <c r="I31" s="10" t="s">
        <v>347</v>
      </c>
      <c r="J31" s="10" t="s">
        <v>376</v>
      </c>
      <c r="K31" s="10" t="s">
        <v>348</v>
      </c>
      <c r="L31" s="10" t="s">
        <v>377</v>
      </c>
      <c r="M31" s="10" t="s">
        <v>352</v>
      </c>
    </row>
    <row r="32" spans="1:13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-16726767.408253634</v>
      </c>
      <c r="F32" s="63">
        <f>E32*'TY TARIFF BILLING'!H38</f>
        <v>-10939305.884997878</v>
      </c>
      <c r="G32" s="63">
        <f>E32-F32</f>
        <v>-5787461.5232557561</v>
      </c>
      <c r="H32" s="7" t="s">
        <v>349</v>
      </c>
      <c r="I32" s="8">
        <f>E32</f>
        <v>-16726767.408253634</v>
      </c>
      <c r="J32" s="8">
        <f>'1-SUMMARY (AS FILED)'!E32</f>
        <v>-16299321.268375127</v>
      </c>
      <c r="K32" s="8">
        <f>I32-J32</f>
        <v>-427446.1398785077</v>
      </c>
      <c r="L32" s="8">
        <f>'2-UPDATED TAX RATE IMPACT'!K32</f>
        <v>-81876.001814490184</v>
      </c>
      <c r="M32" s="8">
        <f>K32-L32</f>
        <v>-345570.13806401752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-5.1740388702826302E-2</v>
      </c>
      <c r="G36" s="64">
        <f>G32/G34</f>
        <v>-2.1421158365146024E-2</v>
      </c>
      <c r="H36" s="7"/>
    </row>
    <row r="37" spans="1:8" ht="18.95" customHeight="1" x14ac:dyDescent="0.2">
      <c r="E37" s="10"/>
      <c r="F37" s="64"/>
      <c r="G37" s="64"/>
      <c r="H37" s="7"/>
    </row>
    <row r="38" spans="1:8" ht="18.95" customHeight="1" x14ac:dyDescent="0.2">
      <c r="B38" s="7" t="s">
        <v>222</v>
      </c>
      <c r="F38" s="64"/>
      <c r="G38" s="64"/>
      <c r="H38" s="7"/>
    </row>
    <row r="39" spans="1:8" ht="18.95" customHeight="1" x14ac:dyDescent="0.2">
      <c r="A39" s="61">
        <v>14</v>
      </c>
      <c r="B39" s="16" t="s">
        <v>288</v>
      </c>
      <c r="E39" s="63">
        <f>E32/16</f>
        <v>-1045422.9630158521</v>
      </c>
      <c r="F39" s="63">
        <f>F32/16</f>
        <v>-683706.61781236739</v>
      </c>
      <c r="G39" s="63">
        <f>G32/16</f>
        <v>-361716.34520348476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286</v>
      </c>
      <c r="E43" s="64">
        <f>E39/E41</f>
        <v>-2.8219366816264236E-2</v>
      </c>
      <c r="F43" s="64">
        <f>F39/F41</f>
        <v>-4.2039065821046363E-2</v>
      </c>
      <c r="G43" s="64">
        <f>G39/G41</f>
        <v>-1.7404691171681145E-2</v>
      </c>
      <c r="H43" s="7"/>
    </row>
    <row r="44" spans="1:8" ht="18.95" customHeight="1" x14ac:dyDescent="0.2">
      <c r="H44" s="7"/>
    </row>
    <row r="45" spans="1:8" ht="18.95" customHeight="1" x14ac:dyDescent="0.2">
      <c r="F45" s="8"/>
      <c r="G45" s="8"/>
      <c r="H45" s="7"/>
    </row>
    <row r="46" spans="1:8" ht="18.95" customHeight="1" x14ac:dyDescent="0.2">
      <c r="H46" s="7"/>
    </row>
    <row r="47" spans="1:8" ht="18.95" customHeight="1" x14ac:dyDescent="0.2">
      <c r="F47" s="64"/>
      <c r="G47" s="64"/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="85" zoomScaleNormal="85" workbookViewId="0">
      <selection activeCell="H28" sqref="H28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v>688523750.12038875</v>
      </c>
      <c r="E12" s="8">
        <f>D12-C12</f>
        <v>-7028326.466783762</v>
      </c>
      <c r="F12" s="8"/>
      <c r="G12" s="8"/>
    </row>
    <row r="13" spans="1:8" ht="18.95" customHeight="1" x14ac:dyDescent="0.2">
      <c r="A13" s="9"/>
      <c r="B13" s="7"/>
      <c r="C13" s="8"/>
      <c r="D13" s="8"/>
      <c r="E13" s="8"/>
      <c r="F13" s="8"/>
      <c r="G13" s="8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8.8169603008134423E-2</v>
      </c>
      <c r="E14" s="18">
        <f>D14-C14</f>
        <v>-1.3992061023713004E-2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378</v>
      </c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60706865.709786624</v>
      </c>
      <c r="E16" s="8">
        <f>D16-C16</f>
        <v>-10351891.855165899</v>
      </c>
      <c r="F16" s="8"/>
      <c r="G16" s="8"/>
      <c r="H16" s="7"/>
    </row>
    <row r="17" spans="1:8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8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8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8" ht="18.95" customHeight="1" x14ac:dyDescent="0.2">
      <c r="A20" s="9">
        <v>5</v>
      </c>
      <c r="B20" s="17" t="s">
        <v>290</v>
      </c>
      <c r="C20" s="19"/>
      <c r="D20" s="19"/>
      <c r="E20" s="8">
        <f>E16*E18</f>
        <v>-13802522.473554531</v>
      </c>
      <c r="F20" s="8"/>
      <c r="G20" s="8"/>
      <c r="H20" s="7"/>
    </row>
    <row r="21" spans="1:8" ht="18.95" customHeight="1" x14ac:dyDescent="0.2">
      <c r="B21" s="17"/>
      <c r="H21" s="7"/>
    </row>
    <row r="22" spans="1:8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8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8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8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8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8" ht="18.95" customHeight="1" x14ac:dyDescent="0.2">
      <c r="B27" s="17"/>
      <c r="H27" s="7"/>
    </row>
    <row r="28" spans="1:8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8" ht="18.95" customHeight="1" x14ac:dyDescent="0.2">
      <c r="A29" s="9"/>
      <c r="B29" s="7"/>
    </row>
    <row r="30" spans="1:8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</row>
    <row r="31" spans="1:8" ht="18.95" customHeight="1" x14ac:dyDescent="0.2">
      <c r="B31" s="17"/>
    </row>
    <row r="32" spans="1:8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-16726767.408253634</v>
      </c>
      <c r="F32" s="63">
        <f>E32*'TY TARIFF BILLING'!H38</f>
        <v>-10939305.884997878</v>
      </c>
      <c r="G32" s="63">
        <f>E32-F32</f>
        <v>-5787461.5232557561</v>
      </c>
    </row>
    <row r="33" spans="1:7" ht="18.95" customHeight="1" x14ac:dyDescent="0.2"/>
    <row r="34" spans="1:7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</row>
    <row r="35" spans="1:7" ht="18.95" customHeight="1" x14ac:dyDescent="0.2"/>
    <row r="36" spans="1:7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-5.1740388702826302E-2</v>
      </c>
      <c r="G36" s="64">
        <f>G32/G34</f>
        <v>-2.1421158365146024E-2</v>
      </c>
    </row>
    <row r="37" spans="1:7" ht="18.95" customHeight="1" x14ac:dyDescent="0.2">
      <c r="E37" s="10"/>
      <c r="F37" s="64"/>
      <c r="G37" s="64"/>
    </row>
    <row r="38" spans="1:7" ht="18.95" customHeight="1" x14ac:dyDescent="0.2">
      <c r="B38" s="7" t="s">
        <v>222</v>
      </c>
      <c r="F38" s="64"/>
      <c r="G38" s="64"/>
    </row>
    <row r="39" spans="1:7" ht="18.95" customHeight="1" x14ac:dyDescent="0.2">
      <c r="A39" s="61">
        <v>14</v>
      </c>
      <c r="B39" s="16" t="s">
        <v>288</v>
      </c>
      <c r="E39" s="63">
        <f>E32/16</f>
        <v>-1045422.9630158521</v>
      </c>
      <c r="F39" s="63">
        <f>F32/16</f>
        <v>-683706.61781236739</v>
      </c>
      <c r="G39" s="63">
        <f>G32/16</f>
        <v>-361716.34520348476</v>
      </c>
    </row>
    <row r="40" spans="1:7" ht="18.95" customHeight="1" x14ac:dyDescent="0.2"/>
    <row r="41" spans="1:7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</row>
    <row r="42" spans="1:7" ht="18.95" customHeight="1" x14ac:dyDescent="0.2"/>
    <row r="43" spans="1:7" ht="18.95" customHeight="1" x14ac:dyDescent="0.2">
      <c r="A43" s="9">
        <v>16</v>
      </c>
      <c r="B43" s="7" t="s">
        <v>286</v>
      </c>
      <c r="E43" s="64">
        <f>E39/E41</f>
        <v>-2.8219366816264236E-2</v>
      </c>
      <c r="F43" s="64">
        <f>F39/F41</f>
        <v>-4.2039065821046363E-2</v>
      </c>
      <c r="G43" s="64">
        <f>G39/G41</f>
        <v>-1.7404691171681145E-2</v>
      </c>
    </row>
    <row r="44" spans="1:7" ht="18.95" customHeight="1" x14ac:dyDescent="0.2"/>
    <row r="45" spans="1:7" ht="18.95" customHeight="1" x14ac:dyDescent="0.2">
      <c r="F45" s="8"/>
      <c r="G45" s="8"/>
    </row>
    <row r="46" spans="1:7" ht="18.95" customHeight="1" x14ac:dyDescent="0.2"/>
    <row r="47" spans="1:7" ht="18.95" customHeight="1" x14ac:dyDescent="0.2">
      <c r="F47" s="64"/>
      <c r="G47" s="64"/>
    </row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7"/>
  <sheetViews>
    <sheetView zoomScale="85" zoomScaleNormal="85" workbookViewId="0">
      <selection activeCell="H28" sqref="H28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f>688523750.120389-CapTable!D12</f>
        <v>682675530.84683359</v>
      </c>
      <c r="E12" s="8">
        <f>D12-C12</f>
        <v>-12876545.740338922</v>
      </c>
      <c r="F12" s="8"/>
      <c r="G12" s="8"/>
      <c r="H12" s="2" t="s">
        <v>346</v>
      </c>
    </row>
    <row r="13" spans="1:8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8.8169603008134423E-2</v>
      </c>
      <c r="E14" s="18">
        <f>D14-C14</f>
        <v>-1.3992061023713004E-2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378</v>
      </c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60191230.538132742</v>
      </c>
      <c r="E16" s="8">
        <f>D16-C16</f>
        <v>-10867527.02681978</v>
      </c>
      <c r="F16" s="8"/>
      <c r="G16" s="8"/>
      <c r="H16" s="7"/>
    </row>
    <row r="17" spans="1:11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1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11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1" ht="18.95" customHeight="1" x14ac:dyDescent="0.2">
      <c r="A20" s="9">
        <v>5</v>
      </c>
      <c r="B20" s="17" t="s">
        <v>290</v>
      </c>
      <c r="C20" s="19"/>
      <c r="D20" s="19"/>
      <c r="E20" s="8">
        <f>E16*E18</f>
        <v>-14490036.035759706</v>
      </c>
      <c r="F20" s="8"/>
      <c r="G20" s="8"/>
      <c r="H20" s="7"/>
    </row>
    <row r="21" spans="1:11" ht="18.95" customHeight="1" x14ac:dyDescent="0.2">
      <c r="B21" s="17"/>
      <c r="H21" s="7"/>
    </row>
    <row r="22" spans="1:11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11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1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11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1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11" ht="18.95" customHeight="1" x14ac:dyDescent="0.2">
      <c r="B27" s="17"/>
      <c r="H27" s="7"/>
    </row>
    <row r="28" spans="1:11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11" ht="18.95" customHeight="1" x14ac:dyDescent="0.2">
      <c r="A29" s="9"/>
      <c r="B29" s="7"/>
      <c r="H29" s="7"/>
    </row>
    <row r="30" spans="1:11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  <c r="H30" s="7"/>
    </row>
    <row r="31" spans="1:11" ht="18.95" customHeight="1" x14ac:dyDescent="0.2">
      <c r="B31" s="17"/>
      <c r="H31" s="7"/>
      <c r="I31" s="10" t="s">
        <v>347</v>
      </c>
      <c r="J31" s="10" t="s">
        <v>379</v>
      </c>
      <c r="K31" s="10" t="s">
        <v>348</v>
      </c>
    </row>
    <row r="32" spans="1:11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-17414280.970458809</v>
      </c>
      <c r="F32" s="63">
        <f>E32*'TY TARIFF BILLING'!H38</f>
        <v>-11388939.754680062</v>
      </c>
      <c r="G32" s="63">
        <f>E32-F32</f>
        <v>-6025341.2157787476</v>
      </c>
      <c r="H32" s="7" t="s">
        <v>349</v>
      </c>
      <c r="I32" s="8">
        <f>E32</f>
        <v>-17414280.970458809</v>
      </c>
      <c r="J32" s="8">
        <f>'4-SUMMARY (UPDATED)'!E32</f>
        <v>-16726767.408253634</v>
      </c>
      <c r="K32" s="8">
        <f>I32-J32</f>
        <v>-687513.56220517494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-5.386705299358506E-2</v>
      </c>
      <c r="G36" s="64">
        <f>G32/G34</f>
        <v>-2.230162358204835E-2</v>
      </c>
      <c r="H36" s="7"/>
    </row>
    <row r="37" spans="1:8" ht="18.95" customHeight="1" x14ac:dyDescent="0.2">
      <c r="E37" s="10"/>
      <c r="F37" s="64"/>
      <c r="G37" s="64"/>
      <c r="H37" s="7"/>
    </row>
    <row r="38" spans="1:8" ht="18.95" customHeight="1" x14ac:dyDescent="0.2">
      <c r="B38" s="7" t="s">
        <v>222</v>
      </c>
      <c r="F38" s="64"/>
      <c r="G38" s="64"/>
      <c r="H38" s="7"/>
    </row>
    <row r="39" spans="1:8" ht="18.95" customHeight="1" x14ac:dyDescent="0.2">
      <c r="A39" s="61">
        <v>14</v>
      </c>
      <c r="B39" s="16" t="s">
        <v>288</v>
      </c>
      <c r="E39" s="63">
        <f>E32/16</f>
        <v>-1088392.5606536756</v>
      </c>
      <c r="F39" s="63">
        <f>F32/16</f>
        <v>-711808.73466750386</v>
      </c>
      <c r="G39" s="63">
        <f>G32/16</f>
        <v>-376583.82598617172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286</v>
      </c>
      <c r="E43" s="64">
        <f>E39/E41</f>
        <v>-2.9379256048265572E-2</v>
      </c>
      <c r="F43" s="64">
        <f>F39/F41</f>
        <v>-4.3766980557287859E-2</v>
      </c>
      <c r="G43" s="64">
        <f>G39/G41</f>
        <v>-1.8120069160414282E-2</v>
      </c>
      <c r="H43" s="7"/>
    </row>
    <row r="44" spans="1:8" ht="18.95" customHeight="1" x14ac:dyDescent="0.2">
      <c r="H44" s="7"/>
    </row>
    <row r="45" spans="1:8" ht="18.95" customHeight="1" x14ac:dyDescent="0.2">
      <c r="F45" s="8"/>
      <c r="G45" s="8"/>
      <c r="H45" s="7"/>
    </row>
    <row r="46" spans="1:8" ht="18.95" customHeight="1" x14ac:dyDescent="0.2">
      <c r="H46" s="7"/>
    </row>
    <row r="47" spans="1:8" ht="18.95" customHeight="1" x14ac:dyDescent="0.2">
      <c r="F47" s="64"/>
      <c r="G47" s="64"/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zoomScale="85" zoomScaleNormal="85" workbookViewId="0">
      <selection activeCell="H14" sqref="H14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f>688523750.120389-CapTable!D14</f>
        <v>695552077.00000024</v>
      </c>
      <c r="E12" s="8">
        <f>D12-C12</f>
        <v>0.41282773017883301</v>
      </c>
      <c r="F12" s="8"/>
      <c r="G12" s="8"/>
      <c r="H12" s="2" t="s">
        <v>350</v>
      </c>
    </row>
    <row r="13" spans="1:8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8.8169603008134423E-2</v>
      </c>
      <c r="E14" s="18">
        <f>D14-C14</f>
        <v>-1.3992061023713004E-2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378</v>
      </c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61326550.500573367</v>
      </c>
      <c r="E16" s="8">
        <f>D16-C16</f>
        <v>-9732207.0643791556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290</v>
      </c>
      <c r="C20" s="19"/>
      <c r="D20" s="19"/>
      <c r="E20" s="8">
        <f>E16*E18</f>
        <v>-12976276.085838873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  <c r="H30" s="7"/>
    </row>
    <row r="31" spans="1:13" ht="18.95" customHeight="1" x14ac:dyDescent="0.2">
      <c r="B31" s="17"/>
      <c r="H31" s="7"/>
      <c r="I31" s="10" t="s">
        <v>347</v>
      </c>
      <c r="J31" s="10" t="s">
        <v>379</v>
      </c>
      <c r="K31" s="10" t="s">
        <v>348</v>
      </c>
      <c r="L31" s="10" t="s">
        <v>351</v>
      </c>
      <c r="M31" s="10" t="s">
        <v>352</v>
      </c>
    </row>
    <row r="32" spans="1:13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-15900521.020537976</v>
      </c>
      <c r="F32" s="63">
        <f>E32*'TY TARIFF BILLING'!H38</f>
        <v>-10398940.747431837</v>
      </c>
      <c r="G32" s="63">
        <f>E32-F32</f>
        <v>-5501580.2731061392</v>
      </c>
      <c r="H32" s="7" t="s">
        <v>349</v>
      </c>
      <c r="I32" s="8">
        <f>E32</f>
        <v>-15900521.020537976</v>
      </c>
      <c r="J32" s="8">
        <f>'4-SUMMARY (UPDATED)'!E32</f>
        <v>-16726767.408253634</v>
      </c>
      <c r="K32" s="8">
        <f>I32-J32</f>
        <v>826246.38771565817</v>
      </c>
      <c r="L32" s="8">
        <f>'5-TCJA CAP IMPACT'!K32</f>
        <v>-687513.56220517494</v>
      </c>
      <c r="M32" s="8">
        <f>K32-L32</f>
        <v>1513759.9499208331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-4.9184586483467428E-2</v>
      </c>
      <c r="G36" s="64">
        <f>G32/G34</f>
        <v>-2.0363024758819109E-2</v>
      </c>
      <c r="H36" s="7"/>
    </row>
    <row r="37" spans="1:8" ht="18.95" customHeight="1" x14ac:dyDescent="0.2">
      <c r="E37" s="10"/>
      <c r="F37" s="64"/>
      <c r="G37" s="64"/>
      <c r="H37" s="7"/>
    </row>
    <row r="38" spans="1:8" ht="18.95" customHeight="1" x14ac:dyDescent="0.2">
      <c r="B38" s="7" t="s">
        <v>222</v>
      </c>
      <c r="F38" s="64"/>
      <c r="G38" s="64"/>
      <c r="H38" s="7"/>
    </row>
    <row r="39" spans="1:8" ht="18.95" customHeight="1" x14ac:dyDescent="0.2">
      <c r="A39" s="61">
        <v>14</v>
      </c>
      <c r="B39" s="16" t="s">
        <v>288</v>
      </c>
      <c r="E39" s="63">
        <f>E32/16</f>
        <v>-993782.56378362351</v>
      </c>
      <c r="F39" s="63">
        <f>F32/16</f>
        <v>-649933.79671448981</v>
      </c>
      <c r="G39" s="63">
        <f>G32/16</f>
        <v>-343848.7670691337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286</v>
      </c>
      <c r="E43" s="64">
        <f>E39/E41</f>
        <v>-2.6825424440760384E-2</v>
      </c>
      <c r="F43" s="64">
        <f>F39/F41</f>
        <v>-3.9962476517817279E-2</v>
      </c>
      <c r="G43" s="64">
        <f>G39/G41</f>
        <v>-1.6544957616540526E-2</v>
      </c>
      <c r="H43" s="7"/>
    </row>
    <row r="44" spans="1:8" ht="18.95" customHeight="1" x14ac:dyDescent="0.2">
      <c r="H44" s="7"/>
    </row>
    <row r="45" spans="1:8" ht="18.95" customHeight="1" x14ac:dyDescent="0.2">
      <c r="F45" s="8"/>
      <c r="G45" s="8"/>
      <c r="H45" s="7"/>
    </row>
    <row r="46" spans="1:8" ht="18.95" customHeight="1" x14ac:dyDescent="0.2">
      <c r="H46" s="7"/>
    </row>
    <row r="47" spans="1:8" ht="18.95" customHeight="1" x14ac:dyDescent="0.2">
      <c r="F47" s="64"/>
      <c r="G47" s="64"/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zoomScale="85" zoomScaleNormal="85" workbookViewId="0">
      <selection activeCell="H28" sqref="H28"/>
    </sheetView>
  </sheetViews>
  <sheetFormatPr defaultColWidth="9.140625" defaultRowHeight="12.75" x14ac:dyDescent="0.2"/>
  <cols>
    <col min="1" max="1" width="6.85546875" style="5" customWidth="1"/>
    <col min="2" max="2" width="73.7109375" style="5" customWidth="1"/>
    <col min="3" max="4" width="21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8" s="1" customFormat="1" ht="20.100000000000001" customHeight="1" x14ac:dyDescent="0.2">
      <c r="C1" s="3"/>
      <c r="D1" s="3"/>
      <c r="E1" s="3"/>
      <c r="F1" s="146"/>
      <c r="G1" s="3" t="s">
        <v>354</v>
      </c>
    </row>
    <row r="2" spans="1:8" s="1" customFormat="1" ht="20.100000000000001" customHeight="1" x14ac:dyDescent="0.2">
      <c r="C2" s="3"/>
      <c r="D2" s="3"/>
      <c r="E2" s="3"/>
      <c r="F2" s="146"/>
      <c r="G2" s="3" t="s">
        <v>256</v>
      </c>
    </row>
    <row r="3" spans="1:8" s="1" customFormat="1" ht="20.100000000000001" customHeight="1" x14ac:dyDescent="0.2">
      <c r="C3" s="3"/>
      <c r="D3" s="3"/>
      <c r="E3" s="3"/>
      <c r="F3" s="146"/>
      <c r="G3" s="3"/>
    </row>
    <row r="4" spans="1:8" s="1" customFormat="1" ht="20.100000000000001" customHeight="1" x14ac:dyDescent="0.2">
      <c r="A4" s="273" t="s">
        <v>63</v>
      </c>
      <c r="B4" s="273"/>
      <c r="C4" s="273"/>
      <c r="D4" s="273"/>
      <c r="E4" s="273"/>
      <c r="F4" s="273"/>
      <c r="G4" s="273"/>
    </row>
    <row r="5" spans="1:8" s="1" customFormat="1" ht="20.100000000000001" customHeight="1" x14ac:dyDescent="0.2">
      <c r="A5" s="273" t="s">
        <v>212</v>
      </c>
      <c r="B5" s="273"/>
      <c r="C5" s="273"/>
      <c r="D5" s="273"/>
      <c r="E5" s="273"/>
      <c r="F5" s="273"/>
      <c r="G5" s="273"/>
    </row>
    <row r="6" spans="1:8" s="1" customFormat="1" ht="20.100000000000001" customHeight="1" x14ac:dyDescent="0.2">
      <c r="A6" s="274" t="s">
        <v>4</v>
      </c>
      <c r="B6" s="274"/>
      <c r="C6" s="274"/>
      <c r="D6" s="274"/>
      <c r="E6" s="274"/>
      <c r="F6" s="274"/>
      <c r="G6" s="274"/>
    </row>
    <row r="7" spans="1:8" s="1" customFormat="1" ht="20.100000000000001" customHeight="1" x14ac:dyDescent="0.2">
      <c r="C7" s="3"/>
      <c r="D7" s="3"/>
      <c r="E7" s="3"/>
    </row>
    <row r="8" spans="1:8" s="1" customFormat="1" ht="20.100000000000001" customHeight="1" x14ac:dyDescent="0.2"/>
    <row r="9" spans="1:8" ht="71.25" customHeight="1" x14ac:dyDescent="0.2">
      <c r="A9" s="13" t="s">
        <v>2</v>
      </c>
      <c r="B9" s="13" t="s">
        <v>0</v>
      </c>
      <c r="C9" s="13" t="s">
        <v>330</v>
      </c>
      <c r="D9" s="13" t="s">
        <v>254</v>
      </c>
      <c r="E9" s="13" t="s">
        <v>37</v>
      </c>
      <c r="F9" s="13" t="s">
        <v>224</v>
      </c>
      <c r="G9" s="13" t="s">
        <v>255</v>
      </c>
    </row>
    <row r="10" spans="1:8" ht="18.95" customHeight="1" x14ac:dyDescent="0.2">
      <c r="A10" s="6"/>
      <c r="B10" s="11"/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75</v>
      </c>
      <c r="C12" s="8">
        <f>'SCH J-1 (ORDER)'!H45</f>
        <v>695552076.58717251</v>
      </c>
      <c r="D12" s="8">
        <f>688523750.120389-CapTable!D14</f>
        <v>695552077.00000024</v>
      </c>
      <c r="E12" s="8">
        <f>D12-C12</f>
        <v>0.41282773017883301</v>
      </c>
      <c r="F12" s="8"/>
      <c r="G12" s="8"/>
      <c r="H12" s="2" t="s">
        <v>350</v>
      </c>
    </row>
    <row r="13" spans="1:8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8" ht="18.95" customHeight="1" x14ac:dyDescent="0.2">
      <c r="A14" s="9">
        <v>2</v>
      </c>
      <c r="B14" s="7" t="s">
        <v>33</v>
      </c>
      <c r="C14" s="18">
        <f>'SCH J-1 (ORDER)'!M45</f>
        <v>0.10216166403184743</v>
      </c>
      <c r="D14" s="18">
        <v>8.7423560939333511E-2</v>
      </c>
      <c r="E14" s="18">
        <f>D14-C14</f>
        <v>-1.4738103092513916E-2</v>
      </c>
      <c r="F14" s="18"/>
      <c r="G14" s="18"/>
      <c r="H14" s="2" t="s">
        <v>381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380</v>
      </c>
    </row>
    <row r="16" spans="1:8" ht="18.95" customHeight="1" x14ac:dyDescent="0.2">
      <c r="A16" s="9">
        <v>3</v>
      </c>
      <c r="B16" s="17" t="s">
        <v>289</v>
      </c>
      <c r="C16" s="8">
        <f>C12*C14</f>
        <v>71058757.564952523</v>
      </c>
      <c r="D16" s="8">
        <f>D12*D14</f>
        <v>60807639.390089512</v>
      </c>
      <c r="E16" s="8">
        <f>D16-C16</f>
        <v>-10251118.174863011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38</v>
      </c>
      <c r="C18" s="8"/>
      <c r="D18" s="8"/>
      <c r="E18" s="34">
        <f>16/12</f>
        <v>1.3333333333333333</v>
      </c>
      <c r="F18" s="34"/>
      <c r="G18" s="34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290</v>
      </c>
      <c r="C20" s="19"/>
      <c r="D20" s="19"/>
      <c r="E20" s="8">
        <f>E16*E18</f>
        <v>-13668157.566484014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141</v>
      </c>
      <c r="C22" s="8"/>
      <c r="D22" s="8">
        <f>-'Excess DIT'!E22</f>
        <v>-1950880.4503820906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105</v>
      </c>
      <c r="C24" s="8"/>
      <c r="D24" s="8">
        <f>-'Excess DIT'!E23</f>
        <v>-223585.06933333332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291</v>
      </c>
      <c r="C26" s="8"/>
      <c r="D26" s="8">
        <f>SUM(D22:D24)</f>
        <v>-2174465.5197154242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25.64% EFFECTIVE TAX RATE</v>
      </c>
      <c r="C28" s="36"/>
      <c r="D28" s="41">
        <f>1/(1-'Composite Tax Rate (21%)'!E27)</f>
        <v>1.344810900971106</v>
      </c>
      <c r="E28" s="36"/>
      <c r="F28" s="36"/>
      <c r="G28" s="36"/>
      <c r="H28" s="2" t="s">
        <v>381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292</v>
      </c>
      <c r="C30" s="18"/>
      <c r="D30" s="18"/>
      <c r="E30" s="8">
        <f>D26*D28</f>
        <v>-2924244.9346991037</v>
      </c>
      <c r="F30" s="8"/>
      <c r="G30" s="8"/>
      <c r="H30" s="7"/>
    </row>
    <row r="31" spans="1:13" ht="18.95" customHeight="1" x14ac:dyDescent="0.2">
      <c r="B31" s="17"/>
      <c r="H31" s="7"/>
      <c r="I31" s="10" t="s">
        <v>347</v>
      </c>
      <c r="J31" s="10" t="s">
        <v>379</v>
      </c>
      <c r="K31" s="10" t="s">
        <v>348</v>
      </c>
      <c r="L31" s="10" t="s">
        <v>353</v>
      </c>
      <c r="M31" s="10" t="s">
        <v>352</v>
      </c>
    </row>
    <row r="32" spans="1:13" ht="18.95" customHeight="1" x14ac:dyDescent="0.2">
      <c r="A32" s="61">
        <v>11</v>
      </c>
      <c r="B32" s="16" t="s">
        <v>293</v>
      </c>
      <c r="C32" s="62"/>
      <c r="D32" s="62"/>
      <c r="E32" s="63">
        <f>E20+E30</f>
        <v>-16592402.501183117</v>
      </c>
      <c r="F32" s="63">
        <f>E32*'TY TARIFF BILLING'!H38</f>
        <v>-10851431.235773759</v>
      </c>
      <c r="G32" s="63">
        <f>E32-F32</f>
        <v>-5740971.2654093578</v>
      </c>
      <c r="H32" s="7" t="s">
        <v>349</v>
      </c>
      <c r="I32" s="8">
        <f>E32</f>
        <v>-16592402.501183117</v>
      </c>
      <c r="J32" s="8">
        <f>'4-SUMMARY (UPDATED)'!E32</f>
        <v>-16726767.408253634</v>
      </c>
      <c r="K32" s="8">
        <f>I32-J32</f>
        <v>134364.90707051754</v>
      </c>
      <c r="L32" s="8">
        <f>'6-OTHER CAP IMPACT'!K32</f>
        <v>826246.38771565817</v>
      </c>
      <c r="M32" s="8">
        <f>K32-L32</f>
        <v>-691881.48064514063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104</v>
      </c>
      <c r="C34" s="18"/>
      <c r="D34" s="18"/>
      <c r="E34" s="8"/>
      <c r="F34" s="8">
        <f>('TY BILLING'!N$16/12*13)*10</f>
        <v>211426820.69569227</v>
      </c>
      <c r="G34" s="8">
        <f>('TY BILLING'!N$17/12*13)*10</f>
        <v>270175002.89211386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287</v>
      </c>
      <c r="C36" s="18"/>
      <c r="D36" s="18"/>
      <c r="E36" s="64"/>
      <c r="F36" s="64">
        <f>F32/F34</f>
        <v>-5.1324761920306605E-2</v>
      </c>
      <c r="G36" s="64">
        <f>G32/G34</f>
        <v>-2.1249083756656198E-2</v>
      </c>
      <c r="H36" s="7"/>
    </row>
    <row r="37" spans="1:8" ht="18.95" customHeight="1" x14ac:dyDescent="0.2">
      <c r="E37" s="10"/>
      <c r="F37" s="64"/>
      <c r="G37" s="64"/>
      <c r="H37" s="7"/>
    </row>
    <row r="38" spans="1:8" ht="18.95" customHeight="1" x14ac:dyDescent="0.2">
      <c r="B38" s="7" t="s">
        <v>222</v>
      </c>
      <c r="F38" s="64"/>
      <c r="G38" s="64"/>
      <c r="H38" s="7"/>
    </row>
    <row r="39" spans="1:8" ht="18.95" customHeight="1" x14ac:dyDescent="0.2">
      <c r="A39" s="61">
        <v>14</v>
      </c>
      <c r="B39" s="16" t="s">
        <v>288</v>
      </c>
      <c r="E39" s="63">
        <f>E32/16</f>
        <v>-1037025.1563239448</v>
      </c>
      <c r="F39" s="63">
        <f>F32/16</f>
        <v>-678214.45223585994</v>
      </c>
      <c r="G39" s="63">
        <f>G32/16</f>
        <v>-358810.70408808487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223</v>
      </c>
      <c r="E41" s="8">
        <f>('TY BILLING'!N$10/12)*10</f>
        <v>37046294.122138932</v>
      </c>
      <c r="F41" s="8">
        <f>('TY BILLING'!N$16/12)*10</f>
        <v>16263601.59197633</v>
      </c>
      <c r="G41" s="8">
        <f>('TY BILLING'!N$17/12)*10</f>
        <v>20782692.530162606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286</v>
      </c>
      <c r="E43" s="64">
        <f>E39/E41</f>
        <v>-2.7992682693306608E-2</v>
      </c>
      <c r="F43" s="64">
        <f>F39/F41</f>
        <v>-4.1701369060249113E-2</v>
      </c>
      <c r="G43" s="64">
        <f>G39/G41</f>
        <v>-1.726488055228316E-2</v>
      </c>
      <c r="H43" s="7"/>
    </row>
    <row r="44" spans="1:8" ht="18.95" customHeight="1" x14ac:dyDescent="0.2">
      <c r="H44" s="7"/>
    </row>
    <row r="45" spans="1:8" ht="18.95" customHeight="1" x14ac:dyDescent="0.2">
      <c r="F45" s="8"/>
      <c r="G45" s="8"/>
      <c r="H45" s="7"/>
    </row>
    <row r="46" spans="1:8" ht="18.95" customHeight="1" x14ac:dyDescent="0.2">
      <c r="H46" s="7"/>
    </row>
    <row r="47" spans="1:8" ht="18.95" customHeight="1" x14ac:dyDescent="0.2">
      <c r="F47" s="64"/>
      <c r="G47" s="64"/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>
      <selection activeCell="O48" sqref="O4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zoomScaleNormal="100" workbookViewId="0">
      <selection activeCell="R19" sqref="R19"/>
    </sheetView>
  </sheetViews>
  <sheetFormatPr defaultColWidth="9.140625"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6.140625" style="5" customWidth="1"/>
    <col min="6" max="6" width="16.42578125" style="5" customWidth="1"/>
    <col min="7" max="7" width="19.5703125" style="5" customWidth="1"/>
    <col min="8" max="8" width="17.140625" style="5" customWidth="1"/>
    <col min="9" max="9" width="12.5703125" style="5" customWidth="1"/>
    <col min="10" max="10" width="10.85546875" style="5" customWidth="1"/>
    <col min="11" max="11" width="12.85546875" style="5" customWidth="1"/>
    <col min="12" max="13" width="15.7109375" style="5" customWidth="1"/>
    <col min="14" max="14" width="14" style="5" customWidth="1"/>
    <col min="15" max="15" width="1.85546875" style="5" customWidth="1"/>
    <col min="16" max="16" width="11.5703125" style="5" bestFit="1" customWidth="1"/>
    <col min="17" max="17" width="16.28515625" style="5" customWidth="1"/>
    <col min="18" max="16384" width="9.140625" style="5"/>
  </cols>
  <sheetData>
    <row r="1" spans="1:18" s="1" customFormat="1" ht="20.100000000000001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146"/>
      <c r="M1" s="3" t="s">
        <v>354</v>
      </c>
      <c r="N1" s="92"/>
    </row>
    <row r="2" spans="1:18" s="1" customFormat="1" ht="20.100000000000001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46"/>
      <c r="M2" s="3" t="s">
        <v>256</v>
      </c>
      <c r="N2" s="190"/>
    </row>
    <row r="3" spans="1:18" s="1" customFormat="1" ht="20.100000000000001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146"/>
      <c r="M3" s="3"/>
      <c r="N3" s="60"/>
    </row>
    <row r="4" spans="1:18" s="1" customFormat="1" ht="20.100000000000001" customHeight="1" x14ac:dyDescent="0.2">
      <c r="A4" s="273" t="s">
        <v>63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2"/>
    </row>
    <row r="5" spans="1:18" s="1" customFormat="1" ht="20.100000000000001" customHeight="1" x14ac:dyDescent="0.2">
      <c r="A5" s="273" t="s">
        <v>213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2"/>
    </row>
    <row r="6" spans="1:18" s="1" customFormat="1" ht="20.100000000000001" customHeight="1" x14ac:dyDescent="0.2">
      <c r="A6" s="274" t="s">
        <v>266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2"/>
    </row>
    <row r="7" spans="1:18" s="1" customFormat="1" ht="20.100000000000001" customHeight="1" x14ac:dyDescent="0.2">
      <c r="A7" s="274" t="s">
        <v>34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2"/>
    </row>
    <row r="8" spans="1:18" s="1" customFormat="1" ht="20.100000000000001" customHeight="1" x14ac:dyDescent="0.2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2"/>
    </row>
    <row r="9" spans="1:18" s="1" customFormat="1" ht="20.100000000000001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7"/>
      <c r="L9" s="37"/>
      <c r="M9" s="35"/>
      <c r="N9" s="35"/>
    </row>
    <row r="10" spans="1:18" s="1" customFormat="1" ht="20.100000000000001" customHeight="1" x14ac:dyDescent="0.2"/>
    <row r="11" spans="1:18" ht="66" customHeight="1" x14ac:dyDescent="0.2">
      <c r="A11" s="13" t="s">
        <v>2</v>
      </c>
      <c r="B11" s="13" t="s">
        <v>10</v>
      </c>
      <c r="C11" s="13" t="s">
        <v>142</v>
      </c>
      <c r="D11" s="13" t="s">
        <v>35</v>
      </c>
      <c r="E11" s="13" t="s">
        <v>24</v>
      </c>
      <c r="F11" s="13" t="s">
        <v>27</v>
      </c>
      <c r="G11" s="13" t="s">
        <v>28</v>
      </c>
      <c r="H11" s="13" t="s">
        <v>25</v>
      </c>
      <c r="I11" s="13" t="s">
        <v>12</v>
      </c>
      <c r="J11" s="13" t="s">
        <v>13</v>
      </c>
      <c r="K11" s="13" t="s">
        <v>36</v>
      </c>
      <c r="L11" s="13" t="s">
        <v>31</v>
      </c>
      <c r="M11" s="13" t="s">
        <v>32</v>
      </c>
      <c r="N11" s="10"/>
    </row>
    <row r="12" spans="1:18" ht="18.95" customHeight="1" x14ac:dyDescent="0.2">
      <c r="A12" s="6"/>
      <c r="B12" s="23" t="s">
        <v>14</v>
      </c>
      <c r="C12" s="23" t="s">
        <v>15</v>
      </c>
      <c r="D12" s="23" t="s">
        <v>16</v>
      </c>
      <c r="E12" s="23" t="s">
        <v>17</v>
      </c>
      <c r="F12" s="23" t="s">
        <v>58</v>
      </c>
      <c r="G12" s="23" t="s">
        <v>18</v>
      </c>
      <c r="H12" s="23" t="s">
        <v>59</v>
      </c>
      <c r="I12" s="23" t="s">
        <v>26</v>
      </c>
      <c r="J12" s="23" t="s">
        <v>60</v>
      </c>
      <c r="K12" s="23" t="s">
        <v>61</v>
      </c>
      <c r="L12" s="39" t="str">
        <f>CONCATENATE("(K) AT ",TEXT('Composite Tax Rate (21%)'!E27,"0.00%"),)</f>
        <v>(K) AT 25.64%</v>
      </c>
      <c r="M12" s="39" t="s">
        <v>62</v>
      </c>
      <c r="N12" s="23"/>
    </row>
    <row r="13" spans="1:18" ht="18.95" customHeight="1" x14ac:dyDescent="0.2">
      <c r="A13" s="6"/>
      <c r="B13" s="11"/>
      <c r="C13" s="11"/>
      <c r="D13" s="12" t="s">
        <v>3</v>
      </c>
      <c r="E13" s="12" t="s">
        <v>19</v>
      </c>
      <c r="F13" s="12" t="s">
        <v>3</v>
      </c>
      <c r="G13" s="12" t="s">
        <v>3</v>
      </c>
      <c r="H13" s="12" t="s">
        <v>3</v>
      </c>
      <c r="I13" s="12"/>
      <c r="J13" s="12" t="s">
        <v>19</v>
      </c>
      <c r="K13" s="12" t="s">
        <v>19</v>
      </c>
      <c r="L13" s="12" t="s">
        <v>19</v>
      </c>
      <c r="M13" s="12" t="s">
        <v>19</v>
      </c>
      <c r="N13" s="12"/>
    </row>
    <row r="14" spans="1:18" ht="18.95" customHeight="1" x14ac:dyDescent="0.2">
      <c r="A14" s="6"/>
      <c r="B14" s="11" t="s">
        <v>74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33" t="s">
        <v>373</v>
      </c>
      <c r="Q14" s="33" t="s">
        <v>374</v>
      </c>
      <c r="R14" s="33" t="s">
        <v>375</v>
      </c>
    </row>
    <row r="15" spans="1:18" ht="18.95" customHeight="1" x14ac:dyDescent="0.2">
      <c r="A15" s="9">
        <v>1</v>
      </c>
      <c r="B15" s="7" t="s">
        <v>20</v>
      </c>
      <c r="C15" s="10"/>
      <c r="D15" s="8">
        <f>'Cost of Capital Adj'!D15</f>
        <v>164253636.76010498</v>
      </c>
      <c r="E15" s="24">
        <v>0.17319999999999999</v>
      </c>
      <c r="F15" s="8">
        <f>D15*E15</f>
        <v>28448729.886850182</v>
      </c>
      <c r="G15" s="8">
        <f>'Cost of Capital Adj'!L15</f>
        <v>-2133819.6884625265</v>
      </c>
      <c r="H15" s="8">
        <f>SUM(F15:G15)</f>
        <v>26314910.198387656</v>
      </c>
      <c r="I15" s="24">
        <f>F15/F$21</f>
        <v>3.8219320965742258E-2</v>
      </c>
      <c r="J15" s="24">
        <v>7.1687229005509669E-3</v>
      </c>
      <c r="K15" s="24">
        <f>I15*J15</f>
        <v>2.7398372145062423E-4</v>
      </c>
      <c r="L15" s="24"/>
      <c r="M15" s="24">
        <f>SUM(K15:L15)</f>
        <v>2.7398372145062423E-4</v>
      </c>
      <c r="N15" s="8"/>
      <c r="P15" s="24">
        <v>7.1687229005509669E-3</v>
      </c>
      <c r="Q15" s="24">
        <v>2.8985466479654654E-2</v>
      </c>
      <c r="R15" s="24">
        <f>'ST Debt'!C39</f>
        <v>2.592914435137892E-2</v>
      </c>
    </row>
    <row r="16" spans="1:18" ht="18.95" customHeight="1" x14ac:dyDescent="0.2">
      <c r="A16" s="9"/>
      <c r="B16" s="7"/>
      <c r="C16" s="10"/>
      <c r="D16" s="8"/>
      <c r="E16" s="25"/>
      <c r="F16" s="8"/>
      <c r="G16" s="8"/>
      <c r="H16" s="8"/>
      <c r="I16" s="24"/>
      <c r="J16" s="25"/>
      <c r="K16" s="25"/>
      <c r="L16" s="25"/>
      <c r="M16" s="25"/>
      <c r="N16" s="8"/>
      <c r="P16" s="25"/>
      <c r="Q16" s="25"/>
      <c r="R16" s="25"/>
    </row>
    <row r="17" spans="1:18" ht="18.95" customHeight="1" x14ac:dyDescent="0.2">
      <c r="A17" s="9">
        <v>2</v>
      </c>
      <c r="B17" s="7" t="s">
        <v>21</v>
      </c>
      <c r="C17" s="10"/>
      <c r="D17" s="8">
        <f>'Cost of Capital Adj'!D17</f>
        <v>1844220474.7447608</v>
      </c>
      <c r="E17" s="26">
        <f>E$15</f>
        <v>0.17319999999999999</v>
      </c>
      <c r="F17" s="8">
        <f>D17*E17</f>
        <v>319418986.22579253</v>
      </c>
      <c r="G17" s="8">
        <f>'Cost of Capital Adj'!L17</f>
        <v>-23958275.971834641</v>
      </c>
      <c r="H17" s="8">
        <f>SUM(F17:G17)</f>
        <v>295460710.25395787</v>
      </c>
      <c r="I17" s="24">
        <f>F17/F$21</f>
        <v>0.429122031305814</v>
      </c>
      <c r="J17" s="26">
        <v>4.1167863220251344E-2</v>
      </c>
      <c r="K17" s="24">
        <f>I17*J17</f>
        <v>1.7666037089594164E-2</v>
      </c>
      <c r="L17" s="24"/>
      <c r="M17" s="24">
        <f>SUM(K17:L17)</f>
        <v>1.7666037089594164E-2</v>
      </c>
      <c r="P17" s="26">
        <v>4.1167863220251344E-2</v>
      </c>
      <c r="Q17" s="26">
        <v>4.1840506422896467E-2</v>
      </c>
      <c r="R17" s="26">
        <f>'LT Debt '!P44</f>
        <v>4.1235516469912706E-2</v>
      </c>
    </row>
    <row r="18" spans="1:18" ht="18.95" customHeight="1" x14ac:dyDescent="0.2">
      <c r="A18" s="9"/>
      <c r="B18" s="7"/>
      <c r="C18" s="10"/>
      <c r="D18" s="27"/>
      <c r="E18" s="29"/>
      <c r="F18" s="27"/>
      <c r="G18" s="27"/>
      <c r="H18" s="27"/>
      <c r="I18" s="28"/>
      <c r="J18" s="29"/>
      <c r="K18" s="28"/>
      <c r="L18" s="28"/>
      <c r="M18" s="28"/>
      <c r="N18" s="27"/>
      <c r="P18" s="28"/>
      <c r="Q18" s="27"/>
    </row>
    <row r="19" spans="1:18" ht="18.95" customHeight="1" x14ac:dyDescent="0.2">
      <c r="A19" s="9">
        <v>3</v>
      </c>
      <c r="B19" s="7" t="s">
        <v>22</v>
      </c>
      <c r="C19" s="10"/>
      <c r="D19" s="14">
        <f>'Cost of Capital Adj'!D19</f>
        <v>2289185622.0977564</v>
      </c>
      <c r="E19" s="26">
        <f>E$15</f>
        <v>0.17319999999999999</v>
      </c>
      <c r="F19" s="14">
        <f>D19*E19</f>
        <v>396486949.74733138</v>
      </c>
      <c r="G19" s="14">
        <f>'Cost of Capital Adj'!L19</f>
        <v>-29738820.079288255</v>
      </c>
      <c r="H19" s="14">
        <f>SUM(F19:G19)</f>
        <v>366748129.66804314</v>
      </c>
      <c r="I19" s="30">
        <f>F19/F$21</f>
        <v>0.53265864772844373</v>
      </c>
      <c r="J19" s="24">
        <v>9.7000000000000003E-2</v>
      </c>
      <c r="K19" s="30">
        <f>I19*J19</f>
        <v>5.1667888829659045E-2</v>
      </c>
      <c r="L19" s="30">
        <f>K19*('Composite Tax Rate (21%)'!E27/(1-'Composite Tax Rate (21%)'!E27))</f>
        <v>1.7815651298629685E-2</v>
      </c>
      <c r="M19" s="30">
        <f>SUM(K19:L19)</f>
        <v>6.9483540128288723E-2</v>
      </c>
      <c r="N19" s="8"/>
      <c r="P19" s="24"/>
      <c r="Q19" s="8"/>
    </row>
    <row r="20" spans="1:18" ht="18.95" customHeight="1" x14ac:dyDescent="0.2">
      <c r="A20" s="9"/>
      <c r="B20" s="7"/>
      <c r="C20" s="10"/>
      <c r="D20" s="8"/>
      <c r="E20" s="25"/>
      <c r="F20" s="8"/>
      <c r="G20" s="8"/>
      <c r="H20" s="8"/>
      <c r="I20" s="25"/>
      <c r="J20" s="25"/>
      <c r="K20" s="24"/>
      <c r="L20" s="24"/>
      <c r="M20" s="24"/>
      <c r="N20" s="8"/>
      <c r="P20" s="25"/>
      <c r="Q20" s="8"/>
    </row>
    <row r="21" spans="1:18" ht="18.95" customHeight="1" thickBot="1" x14ac:dyDescent="0.25">
      <c r="A21" s="9">
        <v>4</v>
      </c>
      <c r="B21" s="7" t="s">
        <v>23</v>
      </c>
      <c r="C21" s="10"/>
      <c r="D21" s="15">
        <f>SUM(D15:D19)</f>
        <v>4297659733.602622</v>
      </c>
      <c r="E21" s="24"/>
      <c r="F21" s="15">
        <f>SUM(F15:F19)</f>
        <v>744354665.85997415</v>
      </c>
      <c r="G21" s="15">
        <f>SUM(G15:G19)</f>
        <v>-55830915.739585422</v>
      </c>
      <c r="H21" s="15">
        <f>SUM(H15:H19)</f>
        <v>688523750.12038875</v>
      </c>
      <c r="I21" s="31">
        <f>SUM(I15:I19)</f>
        <v>1</v>
      </c>
      <c r="J21" s="25"/>
      <c r="K21" s="31">
        <f t="shared" ref="K21:M21" si="0">SUM(K15:K19)</f>
        <v>6.9607909640703833E-2</v>
      </c>
      <c r="L21" s="31">
        <f t="shared" ref="L21" si="1">SUM(L15:L19)</f>
        <v>1.7815651298629685E-2</v>
      </c>
      <c r="M21" s="65">
        <f t="shared" si="0"/>
        <v>8.7423560939333511E-2</v>
      </c>
      <c r="N21" s="8"/>
      <c r="P21" s="24"/>
      <c r="Q21" s="8"/>
    </row>
    <row r="22" spans="1:18" ht="18.95" customHeight="1" thickTop="1" x14ac:dyDescent="0.2">
      <c r="A22" s="9"/>
      <c r="B22" s="7"/>
      <c r="C22" s="10"/>
      <c r="D22" s="8"/>
      <c r="E22" s="24"/>
      <c r="F22" s="8"/>
      <c r="G22" s="8"/>
      <c r="H22" s="8"/>
      <c r="I22" s="24"/>
      <c r="J22" s="25"/>
      <c r="K22" s="24"/>
      <c r="L22" s="24"/>
      <c r="M22" s="24"/>
      <c r="N22" s="8"/>
      <c r="P22" s="24"/>
      <c r="Q22" s="8"/>
    </row>
    <row r="23" spans="1:18" ht="18.95" customHeight="1" x14ac:dyDescent="0.2">
      <c r="A23" s="9"/>
      <c r="B23" s="66" t="s">
        <v>115</v>
      </c>
      <c r="C23" s="10"/>
      <c r="D23" s="8"/>
      <c r="E23" s="24"/>
      <c r="F23" s="8"/>
      <c r="G23" s="8"/>
      <c r="H23" s="8"/>
      <c r="I23" s="24"/>
      <c r="J23" s="25"/>
      <c r="K23" s="24"/>
      <c r="L23" s="24"/>
      <c r="M23" s="24"/>
      <c r="N23" s="8"/>
      <c r="P23" s="24"/>
      <c r="Q23" s="8"/>
    </row>
    <row r="24" spans="1:18" ht="18.95" customHeight="1" x14ac:dyDescent="0.2">
      <c r="A24" s="9"/>
      <c r="B24" s="2" t="s">
        <v>116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8" ht="18.95" customHeight="1" x14ac:dyDescent="0.2">
      <c r="B25" s="2" t="s">
        <v>258</v>
      </c>
    </row>
    <row r="26" spans="1:18" ht="18.95" customHeight="1" x14ac:dyDescent="0.2">
      <c r="B26" s="2" t="s">
        <v>257</v>
      </c>
    </row>
    <row r="27" spans="1:18" ht="18.95" customHeight="1" x14ac:dyDescent="0.2">
      <c r="B27" s="2" t="s">
        <v>267</v>
      </c>
    </row>
    <row r="28" spans="1:18" ht="18.95" customHeight="1" x14ac:dyDescent="0.2"/>
    <row r="29" spans="1:18" ht="18.95" customHeight="1" x14ac:dyDescent="0.2"/>
    <row r="30" spans="1:18" ht="18.95" customHeight="1" x14ac:dyDescent="0.2"/>
    <row r="31" spans="1:18" ht="18.95" customHeight="1" x14ac:dyDescent="0.2"/>
    <row r="32" spans="1:18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</sheetData>
  <mergeCells count="5">
    <mergeCell ref="A4:M4"/>
    <mergeCell ref="A5:M5"/>
    <mergeCell ref="A6:M6"/>
    <mergeCell ref="A7:M7"/>
    <mergeCell ref="A8:M8"/>
  </mergeCells>
  <pageMargins left="0.7" right="0.7" top="1" bottom="0.75" header="0.3" footer="0.3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zoomScaleNormal="100" workbookViewId="0">
      <selection activeCell="Q24" sqref="Q24"/>
    </sheetView>
  </sheetViews>
  <sheetFormatPr defaultColWidth="9.140625"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6.140625" style="5" customWidth="1"/>
    <col min="6" max="6" width="16.42578125" style="5" customWidth="1"/>
    <col min="7" max="7" width="19.5703125" style="5" customWidth="1"/>
    <col min="8" max="8" width="17.140625" style="5" customWidth="1"/>
    <col min="9" max="9" width="12.5703125" style="5" customWidth="1"/>
    <col min="10" max="10" width="10.85546875" style="5" customWidth="1"/>
    <col min="11" max="11" width="12.85546875" style="5" customWidth="1"/>
    <col min="12" max="13" width="15.7109375" style="5" customWidth="1"/>
    <col min="14" max="14" width="14" style="5" customWidth="1"/>
    <col min="15" max="15" width="1.85546875" style="5" customWidth="1"/>
    <col min="16" max="16" width="11.5703125" style="5" bestFit="1" customWidth="1"/>
    <col min="17" max="17" width="16.28515625" style="5" customWidth="1"/>
    <col min="18" max="16384" width="9.140625" style="5"/>
  </cols>
  <sheetData>
    <row r="1" spans="1:18" s="1" customFormat="1" ht="20.100000000000001" customHeight="1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146"/>
      <c r="M1" s="3" t="s">
        <v>354</v>
      </c>
      <c r="N1" s="202"/>
    </row>
    <row r="2" spans="1:18" s="1" customFormat="1" ht="20.100000000000001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146"/>
      <c r="M2" s="3" t="s">
        <v>256</v>
      </c>
      <c r="N2" s="202"/>
    </row>
    <row r="3" spans="1:18" s="1" customFormat="1" ht="20.100000000000001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146"/>
      <c r="M3" s="3"/>
      <c r="N3" s="202"/>
    </row>
    <row r="4" spans="1:18" s="1" customFormat="1" ht="20.100000000000001" customHeight="1" x14ac:dyDescent="0.2">
      <c r="A4" s="273" t="s">
        <v>63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2"/>
    </row>
    <row r="5" spans="1:18" s="1" customFormat="1" ht="20.100000000000001" customHeight="1" x14ac:dyDescent="0.2">
      <c r="A5" s="273" t="s">
        <v>213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2"/>
    </row>
    <row r="6" spans="1:18" s="1" customFormat="1" ht="20.100000000000001" customHeight="1" x14ac:dyDescent="0.2">
      <c r="A6" s="274" t="s">
        <v>266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2"/>
    </row>
    <row r="7" spans="1:18" s="1" customFormat="1" ht="20.100000000000001" customHeight="1" x14ac:dyDescent="0.2">
      <c r="A7" s="274" t="s">
        <v>34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2"/>
    </row>
    <row r="8" spans="1:18" s="1" customFormat="1" ht="20.100000000000001" customHeight="1" x14ac:dyDescent="0.2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2"/>
    </row>
    <row r="9" spans="1:18" s="1" customFormat="1" ht="20.100000000000001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</row>
    <row r="10" spans="1:18" s="1" customFormat="1" ht="20.100000000000001" customHeight="1" x14ac:dyDescent="0.2"/>
    <row r="11" spans="1:18" ht="66" customHeight="1" x14ac:dyDescent="0.2">
      <c r="A11" s="13" t="s">
        <v>2</v>
      </c>
      <c r="B11" s="13" t="s">
        <v>10</v>
      </c>
      <c r="C11" s="13" t="s">
        <v>142</v>
      </c>
      <c r="D11" s="13" t="s">
        <v>35</v>
      </c>
      <c r="E11" s="13" t="s">
        <v>24</v>
      </c>
      <c r="F11" s="13" t="s">
        <v>27</v>
      </c>
      <c r="G11" s="13" t="s">
        <v>28</v>
      </c>
      <c r="H11" s="13" t="s">
        <v>25</v>
      </c>
      <c r="I11" s="13" t="s">
        <v>12</v>
      </c>
      <c r="J11" s="13" t="s">
        <v>13</v>
      </c>
      <c r="K11" s="13" t="s">
        <v>36</v>
      </c>
      <c r="L11" s="13" t="s">
        <v>31</v>
      </c>
      <c r="M11" s="13" t="s">
        <v>32</v>
      </c>
      <c r="N11" s="10"/>
    </row>
    <row r="12" spans="1:18" ht="18.95" customHeight="1" x14ac:dyDescent="0.2">
      <c r="A12" s="6"/>
      <c r="B12" s="23" t="s">
        <v>14</v>
      </c>
      <c r="C12" s="23" t="s">
        <v>15</v>
      </c>
      <c r="D12" s="23" t="s">
        <v>16</v>
      </c>
      <c r="E12" s="23" t="s">
        <v>17</v>
      </c>
      <c r="F12" s="23" t="s">
        <v>58</v>
      </c>
      <c r="G12" s="23" t="s">
        <v>18</v>
      </c>
      <c r="H12" s="23" t="s">
        <v>59</v>
      </c>
      <c r="I12" s="23" t="s">
        <v>26</v>
      </c>
      <c r="J12" s="23" t="s">
        <v>60</v>
      </c>
      <c r="K12" s="23" t="s">
        <v>61</v>
      </c>
      <c r="L12" s="39" t="str">
        <f>CONCATENATE("(K) AT ",TEXT('Effective Tax Rate'!F23,"0.00%"),)</f>
        <v>(K) AT 25.74%</v>
      </c>
      <c r="M12" s="39" t="s">
        <v>62</v>
      </c>
      <c r="N12" s="23"/>
    </row>
    <row r="13" spans="1:18" ht="18.95" customHeight="1" x14ac:dyDescent="0.2">
      <c r="A13" s="6"/>
      <c r="B13" s="11"/>
      <c r="C13" s="11"/>
      <c r="D13" s="12" t="s">
        <v>3</v>
      </c>
      <c r="E13" s="12" t="s">
        <v>19</v>
      </c>
      <c r="F13" s="12" t="s">
        <v>3</v>
      </c>
      <c r="G13" s="12" t="s">
        <v>3</v>
      </c>
      <c r="H13" s="12" t="s">
        <v>3</v>
      </c>
      <c r="I13" s="12"/>
      <c r="J13" s="12" t="s">
        <v>19</v>
      </c>
      <c r="K13" s="12" t="s">
        <v>19</v>
      </c>
      <c r="L13" s="12" t="s">
        <v>19</v>
      </c>
      <c r="M13" s="12" t="s">
        <v>19</v>
      </c>
      <c r="N13" s="12"/>
    </row>
    <row r="14" spans="1:18" ht="18.95" customHeight="1" x14ac:dyDescent="0.2">
      <c r="A14" s="6"/>
      <c r="B14" s="11" t="s">
        <v>74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33" t="s">
        <v>373</v>
      </c>
      <c r="Q14" s="33" t="s">
        <v>374</v>
      </c>
      <c r="R14" s="33" t="s">
        <v>375</v>
      </c>
    </row>
    <row r="15" spans="1:18" ht="18.95" customHeight="1" x14ac:dyDescent="0.2">
      <c r="A15" s="9">
        <v>1</v>
      </c>
      <c r="B15" s="7" t="s">
        <v>20</v>
      </c>
      <c r="C15" s="10"/>
      <c r="D15" s="8">
        <f>'Cost of Capital Adj'!D15</f>
        <v>164253636.76010498</v>
      </c>
      <c r="E15" s="24">
        <v>0.17319999999999999</v>
      </c>
      <c r="F15" s="8">
        <f>D15*E15</f>
        <v>28448729.886850182</v>
      </c>
      <c r="G15" s="8">
        <f>'Cost of Capital Adj'!L15</f>
        <v>-2133819.6884625265</v>
      </c>
      <c r="H15" s="8">
        <f>SUM(F15:G15)</f>
        <v>26314910.198387656</v>
      </c>
      <c r="I15" s="24">
        <f>F15/F$21</f>
        <v>3.8219320965742258E-2</v>
      </c>
      <c r="J15" s="24">
        <v>2.8985466479654654E-2</v>
      </c>
      <c r="K15" s="24">
        <f>I15*J15</f>
        <v>1.1078048467276845E-3</v>
      </c>
      <c r="L15" s="24"/>
      <c r="M15" s="24">
        <f>SUM(K15:L15)</f>
        <v>1.1078048467276845E-3</v>
      </c>
      <c r="N15" s="8"/>
      <c r="P15" s="24">
        <v>7.1687229005509669E-3</v>
      </c>
      <c r="Q15" s="24">
        <v>2.8985466479654654E-2</v>
      </c>
      <c r="R15" s="24">
        <f>'ST Debt'!C39</f>
        <v>2.592914435137892E-2</v>
      </c>
    </row>
    <row r="16" spans="1:18" ht="18.95" customHeight="1" x14ac:dyDescent="0.2">
      <c r="A16" s="9"/>
      <c r="B16" s="7"/>
      <c r="C16" s="10"/>
      <c r="D16" s="8"/>
      <c r="E16" s="25"/>
      <c r="F16" s="8"/>
      <c r="G16" s="8"/>
      <c r="H16" s="8"/>
      <c r="I16" s="24"/>
      <c r="J16" s="25"/>
      <c r="K16" s="25"/>
      <c r="L16" s="25"/>
      <c r="M16" s="25"/>
      <c r="N16" s="8"/>
      <c r="P16" s="25"/>
      <c r="Q16" s="25"/>
      <c r="R16" s="25"/>
    </row>
    <row r="17" spans="1:18" ht="18.95" customHeight="1" x14ac:dyDescent="0.2">
      <c r="A17" s="9">
        <v>2</v>
      </c>
      <c r="B17" s="7" t="s">
        <v>21</v>
      </c>
      <c r="C17" s="10"/>
      <c r="D17" s="8">
        <f>'Cost of Capital Adj'!D17</f>
        <v>1844220474.7447608</v>
      </c>
      <c r="E17" s="26">
        <f>E$15</f>
        <v>0.17319999999999999</v>
      </c>
      <c r="F17" s="8">
        <f>D17*E17</f>
        <v>319418986.22579253</v>
      </c>
      <c r="G17" s="8">
        <f>'Cost of Capital Adj'!L17</f>
        <v>-23958275.971834641</v>
      </c>
      <c r="H17" s="8">
        <f>SUM(F17:G17)</f>
        <v>295460710.25395787</v>
      </c>
      <c r="I17" s="24">
        <f>F17/F$21</f>
        <v>0.429122031305814</v>
      </c>
      <c r="J17" s="26">
        <v>4.1840506422896467E-2</v>
      </c>
      <c r="K17" s="24">
        <f>I17*J17</f>
        <v>1.7954683107057289E-2</v>
      </c>
      <c r="L17" s="24"/>
      <c r="M17" s="24">
        <f>SUM(K17:L17)</f>
        <v>1.7954683107057289E-2</v>
      </c>
      <c r="P17" s="26">
        <v>4.1167863220251344E-2</v>
      </c>
      <c r="Q17" s="26">
        <v>4.1840506422896467E-2</v>
      </c>
      <c r="R17" s="26">
        <f>'LT Debt '!P44</f>
        <v>4.1235516469912706E-2</v>
      </c>
    </row>
    <row r="18" spans="1:18" ht="18.95" customHeight="1" x14ac:dyDescent="0.2">
      <c r="A18" s="9"/>
      <c r="B18" s="7"/>
      <c r="C18" s="10"/>
      <c r="D18" s="27"/>
      <c r="E18" s="29"/>
      <c r="F18" s="27"/>
      <c r="G18" s="27"/>
      <c r="H18" s="27"/>
      <c r="I18" s="28"/>
      <c r="J18" s="29"/>
      <c r="K18" s="28"/>
      <c r="L18" s="28"/>
      <c r="M18" s="28"/>
      <c r="N18" s="27"/>
      <c r="P18" s="28"/>
      <c r="Q18" s="27"/>
    </row>
    <row r="19" spans="1:18" ht="18.95" customHeight="1" x14ac:dyDescent="0.2">
      <c r="A19" s="9">
        <v>3</v>
      </c>
      <c r="B19" s="7" t="s">
        <v>22</v>
      </c>
      <c r="C19" s="10"/>
      <c r="D19" s="14">
        <f>'Cost of Capital Adj'!D19</f>
        <v>2289185622.0977564</v>
      </c>
      <c r="E19" s="26">
        <f>E$15</f>
        <v>0.17319999999999999</v>
      </c>
      <c r="F19" s="14">
        <f>D19*E19</f>
        <v>396486949.74733138</v>
      </c>
      <c r="G19" s="14">
        <f>'Cost of Capital Adj'!L19</f>
        <v>-29738820.079288255</v>
      </c>
      <c r="H19" s="14">
        <f>SUM(F19:G19)</f>
        <v>366748129.66804314</v>
      </c>
      <c r="I19" s="30">
        <f>F19/F$21</f>
        <v>0.53265864772844373</v>
      </c>
      <c r="J19" s="24">
        <v>9.7000000000000003E-2</v>
      </c>
      <c r="K19" s="30">
        <f>I19*J19</f>
        <v>5.1667888829659045E-2</v>
      </c>
      <c r="L19" s="30">
        <f>K19*('Effective Tax Rate'!F23/(1-'Effective Tax Rate'!F23))</f>
        <v>1.7909122791212283E-2</v>
      </c>
      <c r="M19" s="30">
        <f>SUM(K19:L19)</f>
        <v>6.9577011620871321E-2</v>
      </c>
      <c r="N19" s="8"/>
      <c r="P19" s="24"/>
      <c r="Q19" s="8"/>
    </row>
    <row r="20" spans="1:18" ht="18.95" customHeight="1" x14ac:dyDescent="0.2">
      <c r="A20" s="9"/>
      <c r="B20" s="7"/>
      <c r="C20" s="10"/>
      <c r="D20" s="8"/>
      <c r="E20" s="25"/>
      <c r="F20" s="8"/>
      <c r="G20" s="8"/>
      <c r="H20" s="8"/>
      <c r="I20" s="25"/>
      <c r="J20" s="25"/>
      <c r="K20" s="24"/>
      <c r="L20" s="24"/>
      <c r="M20" s="24"/>
      <c r="N20" s="8"/>
      <c r="P20" s="25"/>
      <c r="Q20" s="8"/>
    </row>
    <row r="21" spans="1:18" ht="18.95" customHeight="1" thickBot="1" x14ac:dyDescent="0.25">
      <c r="A21" s="9">
        <v>4</v>
      </c>
      <c r="B21" s="7" t="s">
        <v>23</v>
      </c>
      <c r="C21" s="10"/>
      <c r="D21" s="15">
        <f>SUM(D15:D19)</f>
        <v>4297659733.602622</v>
      </c>
      <c r="E21" s="24"/>
      <c r="F21" s="15">
        <f>SUM(F15:F19)</f>
        <v>744354665.85997415</v>
      </c>
      <c r="G21" s="15">
        <f>SUM(G15:G19)</f>
        <v>-55830915.739585422</v>
      </c>
      <c r="H21" s="15">
        <f>SUM(H15:H19)</f>
        <v>688523750.12038875</v>
      </c>
      <c r="I21" s="31">
        <f>SUM(I15:I19)</f>
        <v>1</v>
      </c>
      <c r="J21" s="25"/>
      <c r="K21" s="31">
        <f t="shared" ref="K21:M21" si="0">SUM(K15:K19)</f>
        <v>7.0730376783444016E-2</v>
      </c>
      <c r="L21" s="31">
        <f t="shared" si="0"/>
        <v>1.7909122791212283E-2</v>
      </c>
      <c r="M21" s="65">
        <f t="shared" si="0"/>
        <v>8.8639499574656291E-2</v>
      </c>
      <c r="N21" s="8"/>
      <c r="P21" s="24"/>
      <c r="Q21" s="8"/>
    </row>
    <row r="22" spans="1:18" ht="18.95" customHeight="1" thickTop="1" x14ac:dyDescent="0.2">
      <c r="A22" s="9"/>
      <c r="B22" s="7"/>
      <c r="C22" s="10"/>
      <c r="D22" s="8"/>
      <c r="E22" s="24"/>
      <c r="F22" s="8"/>
      <c r="G22" s="8"/>
      <c r="H22" s="8"/>
      <c r="I22" s="24"/>
      <c r="J22" s="25"/>
      <c r="K22" s="24"/>
      <c r="L22" s="24"/>
      <c r="M22" s="24"/>
      <c r="N22" s="8"/>
      <c r="P22" s="24"/>
      <c r="Q22" s="8"/>
    </row>
    <row r="23" spans="1:18" ht="18.95" customHeight="1" x14ac:dyDescent="0.2">
      <c r="A23" s="9"/>
      <c r="B23" s="66" t="s">
        <v>115</v>
      </c>
      <c r="C23" s="10"/>
      <c r="D23" s="8"/>
      <c r="E23" s="24"/>
      <c r="F23" s="8"/>
      <c r="G23" s="8"/>
      <c r="H23" s="8"/>
      <c r="I23" s="24"/>
      <c r="J23" s="25"/>
      <c r="K23" s="24"/>
      <c r="L23" s="24"/>
      <c r="M23" s="24"/>
      <c r="N23" s="8"/>
      <c r="P23" s="24"/>
      <c r="Q23" s="8"/>
    </row>
    <row r="24" spans="1:18" ht="18.95" customHeight="1" x14ac:dyDescent="0.2">
      <c r="A24" s="9"/>
      <c r="B24" s="2" t="s">
        <v>116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8" ht="18.95" customHeight="1" x14ac:dyDescent="0.2">
      <c r="B25" s="2" t="s">
        <v>258</v>
      </c>
    </row>
    <row r="26" spans="1:18" ht="18.95" customHeight="1" x14ac:dyDescent="0.2">
      <c r="B26" s="2" t="s">
        <v>257</v>
      </c>
    </row>
    <row r="27" spans="1:18" ht="18.95" customHeight="1" x14ac:dyDescent="0.2">
      <c r="B27" s="2" t="s">
        <v>267</v>
      </c>
    </row>
    <row r="28" spans="1:18" ht="18.95" customHeight="1" x14ac:dyDescent="0.2"/>
    <row r="29" spans="1:18" ht="18.95" customHeight="1" x14ac:dyDescent="0.2"/>
    <row r="30" spans="1:18" ht="18.95" customHeight="1" x14ac:dyDescent="0.2"/>
    <row r="31" spans="1:18" ht="18.95" customHeight="1" x14ac:dyDescent="0.2"/>
    <row r="32" spans="1:18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</sheetData>
  <mergeCells count="5">
    <mergeCell ref="A4:M4"/>
    <mergeCell ref="A5:M5"/>
    <mergeCell ref="A6:M6"/>
    <mergeCell ref="A7:M7"/>
    <mergeCell ref="A8:M8"/>
  </mergeCells>
  <pageMargins left="0.7" right="0.7" top="1" bottom="0.75" header="0.3" footer="0.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4"/>
  <sheetViews>
    <sheetView zoomScale="85" zoomScaleNormal="85" zoomScaleSheetLayoutView="85" workbookViewId="0">
      <selection activeCell="K29" sqref="K29"/>
    </sheetView>
  </sheetViews>
  <sheetFormatPr defaultColWidth="9.140625" defaultRowHeight="12.75" x14ac:dyDescent="0.2"/>
  <cols>
    <col min="1" max="1" width="6.85546875" style="5" customWidth="1"/>
    <col min="2" max="2" width="26.7109375" style="5" customWidth="1"/>
    <col min="3" max="3" width="16" style="5" customWidth="1"/>
    <col min="4" max="4" width="14.7109375" style="5" customWidth="1"/>
    <col min="5" max="5" width="12.140625" style="5" customWidth="1"/>
    <col min="6" max="6" width="15.140625" style="5" customWidth="1"/>
    <col min="7" max="7" width="13.85546875" style="5" customWidth="1"/>
    <col min="8" max="10" width="13" style="5" customWidth="1"/>
    <col min="11" max="11" width="12.5703125" style="5" customWidth="1"/>
    <col min="12" max="12" width="18.7109375" style="5" customWidth="1"/>
    <col min="13" max="13" width="14" style="5" customWidth="1"/>
    <col min="14" max="14" width="1.85546875" style="5" customWidth="1"/>
    <col min="15" max="15" width="9.140625" style="5"/>
    <col min="16" max="16" width="16.5703125" style="5" customWidth="1"/>
    <col min="17" max="17" width="14" style="5" customWidth="1"/>
    <col min="18" max="18" width="13" style="5" customWidth="1"/>
    <col min="19" max="19" width="11.5703125" style="5" customWidth="1"/>
    <col min="20" max="20" width="13.140625" style="5" customWidth="1"/>
    <col min="21" max="16384" width="9.140625" style="5"/>
  </cols>
  <sheetData>
    <row r="1" spans="1:20" ht="18.95" customHeight="1" x14ac:dyDescent="0.2">
      <c r="A1" s="9"/>
      <c r="B1" s="7"/>
      <c r="C1" s="10"/>
      <c r="D1" s="19"/>
      <c r="E1" s="19"/>
      <c r="F1" s="19"/>
      <c r="G1" s="19"/>
      <c r="H1" s="19"/>
      <c r="I1" s="19"/>
      <c r="J1" s="8"/>
      <c r="K1" s="146"/>
      <c r="L1" s="3" t="s">
        <v>354</v>
      </c>
      <c r="M1" s="19"/>
      <c r="P1" s="32"/>
      <c r="Q1" s="32"/>
      <c r="R1" s="32"/>
      <c r="S1" s="32"/>
      <c r="T1" s="32"/>
    </row>
    <row r="2" spans="1:20" ht="18.95" customHeight="1" x14ac:dyDescent="0.2">
      <c r="A2" s="9"/>
      <c r="B2" s="7"/>
      <c r="C2" s="10"/>
      <c r="D2" s="19"/>
      <c r="E2" s="19"/>
      <c r="F2" s="19"/>
      <c r="G2" s="19"/>
      <c r="H2" s="19"/>
      <c r="I2" s="19"/>
      <c r="J2" s="8"/>
      <c r="K2" s="146"/>
      <c r="L2" s="3" t="s">
        <v>256</v>
      </c>
      <c r="M2" s="19"/>
      <c r="P2" s="32"/>
      <c r="Q2" s="32"/>
      <c r="R2" s="32"/>
      <c r="S2" s="32"/>
      <c r="T2" s="32"/>
    </row>
    <row r="3" spans="1:20" ht="18.95" customHeight="1" x14ac:dyDescent="0.2">
      <c r="A3" s="9"/>
      <c r="B3" s="7"/>
      <c r="C3" s="10"/>
      <c r="D3" s="19"/>
      <c r="E3" s="19"/>
      <c r="F3" s="19"/>
      <c r="G3" s="19"/>
      <c r="H3" s="19"/>
      <c r="I3" s="19"/>
      <c r="J3" s="8"/>
      <c r="K3" s="146"/>
      <c r="L3" s="3"/>
      <c r="M3" s="19"/>
      <c r="P3" s="32"/>
      <c r="Q3" s="32"/>
      <c r="R3" s="32"/>
      <c r="S3" s="32"/>
      <c r="T3" s="32"/>
    </row>
    <row r="4" spans="1:20" s="1" customFormat="1" ht="20.100000000000001" customHeight="1" x14ac:dyDescent="0.2">
      <c r="A4" s="274" t="s">
        <v>63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2"/>
    </row>
    <row r="5" spans="1:20" s="1" customFormat="1" ht="20.100000000000001" customHeight="1" x14ac:dyDescent="0.2">
      <c r="A5" s="274" t="s">
        <v>213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2"/>
    </row>
    <row r="6" spans="1:20" s="1" customFormat="1" ht="20.100000000000001" customHeight="1" x14ac:dyDescent="0.2">
      <c r="A6" s="274" t="s">
        <v>106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2"/>
    </row>
    <row r="7" spans="1:20" s="1" customFormat="1" ht="20.100000000000001" customHeight="1" x14ac:dyDescent="0.2">
      <c r="A7" s="274" t="s">
        <v>34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2"/>
    </row>
    <row r="8" spans="1:20" s="1" customFormat="1" ht="20.100000000000001" customHeight="1" x14ac:dyDescent="0.2">
      <c r="A8" s="273" t="s">
        <v>30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2"/>
    </row>
    <row r="9" spans="1:20" s="1" customFormat="1" ht="20.10000000000000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20" s="1" customFormat="1" ht="20.100000000000001" customHeight="1" x14ac:dyDescent="0.2"/>
    <row r="11" spans="1:20" ht="66" customHeight="1" x14ac:dyDescent="0.2">
      <c r="A11" s="13" t="s">
        <v>2</v>
      </c>
      <c r="B11" s="13" t="s">
        <v>10</v>
      </c>
      <c r="C11" s="13" t="s">
        <v>142</v>
      </c>
      <c r="D11" s="13" t="s">
        <v>35</v>
      </c>
      <c r="E11" s="13" t="s">
        <v>12</v>
      </c>
      <c r="F11" s="13" t="s">
        <v>114</v>
      </c>
      <c r="G11" s="13" t="s">
        <v>107</v>
      </c>
      <c r="H11" s="13"/>
      <c r="I11" s="13" t="s">
        <v>108</v>
      </c>
      <c r="J11" s="13"/>
      <c r="K11" s="13"/>
      <c r="L11" s="13" t="s">
        <v>109</v>
      </c>
      <c r="M11" s="10"/>
    </row>
    <row r="12" spans="1:20" ht="18.95" customHeight="1" x14ac:dyDescent="0.2">
      <c r="A12" s="6"/>
      <c r="B12" s="23" t="s">
        <v>14</v>
      </c>
      <c r="C12" s="23" t="s">
        <v>15</v>
      </c>
      <c r="D12" s="23" t="s">
        <v>16</v>
      </c>
      <c r="E12" s="23" t="s">
        <v>17</v>
      </c>
      <c r="F12" s="23" t="s">
        <v>110</v>
      </c>
      <c r="G12" s="23" t="s">
        <v>18</v>
      </c>
      <c r="H12" s="23" t="s">
        <v>111</v>
      </c>
      <c r="I12" s="23" t="s">
        <v>26</v>
      </c>
      <c r="J12" s="23" t="s">
        <v>60</v>
      </c>
      <c r="K12" s="23" t="s">
        <v>112</v>
      </c>
      <c r="L12" s="23" t="s">
        <v>113</v>
      </c>
      <c r="M12" s="23"/>
    </row>
    <row r="13" spans="1:20" ht="18.95" customHeight="1" x14ac:dyDescent="0.2">
      <c r="A13" s="6"/>
      <c r="B13" s="11"/>
      <c r="C13" s="11"/>
      <c r="D13" s="12" t="s">
        <v>3</v>
      </c>
      <c r="E13" s="12"/>
      <c r="F13" s="12" t="s">
        <v>3</v>
      </c>
      <c r="G13" s="12" t="s">
        <v>3</v>
      </c>
      <c r="H13" s="12" t="s">
        <v>3</v>
      </c>
      <c r="I13" s="12" t="s">
        <v>3</v>
      </c>
      <c r="J13" s="12" t="s">
        <v>3</v>
      </c>
      <c r="K13" s="12" t="s">
        <v>3</v>
      </c>
      <c r="L13" s="12" t="s">
        <v>3</v>
      </c>
      <c r="M13" s="12"/>
    </row>
    <row r="14" spans="1:20" ht="18.95" customHeight="1" x14ac:dyDescent="0.2">
      <c r="A14" s="9"/>
      <c r="B14" s="7" t="s">
        <v>74</v>
      </c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P14" s="1"/>
      <c r="Q14" s="33"/>
      <c r="R14" s="33"/>
      <c r="S14" s="33"/>
      <c r="T14" s="33"/>
    </row>
    <row r="15" spans="1:20" ht="18.95" customHeight="1" x14ac:dyDescent="0.2">
      <c r="A15" s="9">
        <v>1</v>
      </c>
      <c r="B15" s="7" t="s">
        <v>20</v>
      </c>
      <c r="C15" s="10"/>
      <c r="D15" s="8">
        <f>'SCH J-1.1|J-1.2'!D31</f>
        <v>164253636.76010498</v>
      </c>
      <c r="E15" s="24">
        <f>D15/D$21</f>
        <v>3.8219320965742258E-2</v>
      </c>
      <c r="F15" s="8">
        <f>$E15*F$21</f>
        <v>-2134564.5575486016</v>
      </c>
      <c r="G15" s="8">
        <f>$E15*G$21</f>
        <v>0</v>
      </c>
      <c r="H15" s="8"/>
      <c r="I15" s="8">
        <f>$E15*I$21</f>
        <v>744.86908607500618</v>
      </c>
      <c r="J15" s="8"/>
      <c r="K15" s="8"/>
      <c r="L15" s="8">
        <f>SUM(F15:K15)</f>
        <v>-2133819.6884625265</v>
      </c>
      <c r="M15" s="8"/>
      <c r="O15" s="24"/>
      <c r="P15" s="8"/>
      <c r="Q15" s="8"/>
      <c r="R15" s="8"/>
      <c r="S15" s="8"/>
      <c r="T15" s="8"/>
    </row>
    <row r="16" spans="1:20" ht="18.95" customHeight="1" x14ac:dyDescent="0.2">
      <c r="A16" s="9"/>
      <c r="B16" s="7"/>
      <c r="C16" s="10"/>
      <c r="D16" s="8"/>
      <c r="E16" s="24"/>
      <c r="F16" s="8"/>
      <c r="G16" s="8"/>
      <c r="H16" s="8"/>
      <c r="I16" s="8"/>
      <c r="J16" s="8"/>
      <c r="K16" s="8"/>
      <c r="L16" s="8"/>
      <c r="M16" s="8"/>
      <c r="O16" s="24"/>
      <c r="P16" s="8"/>
      <c r="Q16" s="8"/>
      <c r="R16" s="8"/>
      <c r="S16" s="8"/>
      <c r="T16" s="8"/>
    </row>
    <row r="17" spans="1:20" ht="18.95" customHeight="1" x14ac:dyDescent="0.2">
      <c r="A17" s="9">
        <v>2</v>
      </c>
      <c r="B17" s="7" t="s">
        <v>21</v>
      </c>
      <c r="C17" s="10"/>
      <c r="D17" s="8">
        <f>'SCH J-1.1|J-1.2'!D33</f>
        <v>1844220474.7447608</v>
      </c>
      <c r="E17" s="24">
        <f>D17/D$21</f>
        <v>0.42912203130581406</v>
      </c>
      <c r="F17" s="8">
        <f>$E17*F$21</f>
        <v>-23966639.274143439</v>
      </c>
      <c r="G17" s="8">
        <f>$E17*G$21</f>
        <v>0</v>
      </c>
      <c r="H17" s="8"/>
      <c r="I17" s="8">
        <f>$E17*I$21</f>
        <v>8363.3023087961137</v>
      </c>
      <c r="J17" s="8"/>
      <c r="K17" s="8"/>
      <c r="L17" s="8">
        <f>SUM(F17:K17)</f>
        <v>-23958275.971834641</v>
      </c>
      <c r="O17" s="24"/>
      <c r="P17" s="8"/>
      <c r="Q17" s="8"/>
      <c r="R17" s="8"/>
      <c r="S17" s="8"/>
      <c r="T17" s="8"/>
    </row>
    <row r="18" spans="1:20" ht="18.95" customHeight="1" x14ac:dyDescent="0.2">
      <c r="A18" s="9"/>
      <c r="B18" s="7"/>
      <c r="C18" s="10"/>
      <c r="D18" s="27"/>
      <c r="E18" s="28"/>
      <c r="F18" s="27"/>
      <c r="G18" s="27"/>
      <c r="H18" s="27"/>
      <c r="I18" s="27"/>
      <c r="J18" s="27"/>
      <c r="K18" s="27"/>
      <c r="L18" s="27"/>
      <c r="M18" s="27"/>
      <c r="O18" s="28"/>
      <c r="P18" s="27"/>
      <c r="Q18" s="27"/>
      <c r="R18" s="27"/>
      <c r="S18" s="27"/>
      <c r="T18" s="27"/>
    </row>
    <row r="19" spans="1:20" ht="18.95" customHeight="1" x14ac:dyDescent="0.2">
      <c r="A19" s="9">
        <v>3</v>
      </c>
      <c r="B19" s="7" t="s">
        <v>22</v>
      </c>
      <c r="C19" s="10"/>
      <c r="D19" s="59">
        <f>'SCH J-1.1|J-1.2'!D35</f>
        <v>2289185622.0977564</v>
      </c>
      <c r="E19" s="30">
        <f>D19/D$21</f>
        <v>0.53265864772844373</v>
      </c>
      <c r="F19" s="14">
        <f>$E19*F$21</f>
        <v>-29749201.241226718</v>
      </c>
      <c r="G19" s="14">
        <f>$E19*G$21</f>
        <v>0</v>
      </c>
      <c r="H19" s="14"/>
      <c r="I19" s="14">
        <f>$E19*I$21</f>
        <v>10381.161938462217</v>
      </c>
      <c r="J19" s="14"/>
      <c r="K19" s="14"/>
      <c r="L19" s="14">
        <f>SUM(F19:K19)</f>
        <v>-29738820.079288255</v>
      </c>
      <c r="M19" s="8"/>
      <c r="O19" s="24"/>
      <c r="P19" s="8"/>
      <c r="Q19" s="8"/>
      <c r="R19" s="8"/>
      <c r="S19" s="8"/>
      <c r="T19" s="8"/>
    </row>
    <row r="20" spans="1:20" ht="18.95" customHeight="1" x14ac:dyDescent="0.2">
      <c r="A20" s="9"/>
      <c r="B20" s="7"/>
      <c r="C20" s="10"/>
      <c r="D20" s="8"/>
      <c r="E20" s="24"/>
      <c r="F20" s="8"/>
      <c r="G20" s="8"/>
      <c r="H20" s="8"/>
      <c r="I20" s="8"/>
      <c r="J20" s="8"/>
      <c r="K20" s="8"/>
      <c r="L20" s="8"/>
      <c r="M20" s="8"/>
      <c r="O20" s="25"/>
      <c r="P20" s="8"/>
      <c r="Q20" s="8"/>
      <c r="R20" s="8"/>
      <c r="S20" s="8"/>
      <c r="T20" s="8"/>
    </row>
    <row r="21" spans="1:20" ht="18.95" customHeight="1" thickBot="1" x14ac:dyDescent="0.25">
      <c r="A21" s="9">
        <v>4</v>
      </c>
      <c r="B21" s="7" t="s">
        <v>23</v>
      </c>
      <c r="C21" s="10"/>
      <c r="D21" s="15">
        <f>SUM(D15:D19)</f>
        <v>4297659733.602622</v>
      </c>
      <c r="E21" s="31">
        <f>SUM(E15:E19)</f>
        <v>1</v>
      </c>
      <c r="F21" s="15">
        <v>-55850405.072918758</v>
      </c>
      <c r="G21" s="15">
        <v>0</v>
      </c>
      <c r="H21" s="15"/>
      <c r="I21" s="15">
        <v>19489.333333333336</v>
      </c>
      <c r="J21" s="15"/>
      <c r="K21" s="15"/>
      <c r="L21" s="15">
        <f>SUM(L15:L19)</f>
        <v>-55830915.739585422</v>
      </c>
      <c r="M21" s="8"/>
      <c r="O21" s="24"/>
      <c r="P21" s="8"/>
      <c r="Q21" s="8"/>
      <c r="R21" s="8"/>
      <c r="S21" s="8"/>
      <c r="T21" s="8"/>
    </row>
    <row r="22" spans="1:20" ht="18.95" customHeight="1" thickTop="1" x14ac:dyDescent="0.2">
      <c r="A22" s="9"/>
      <c r="B22" s="7"/>
      <c r="C22" s="10"/>
      <c r="D22" s="19"/>
      <c r="E22" s="19"/>
      <c r="F22" s="19"/>
      <c r="G22" s="19"/>
      <c r="H22" s="19"/>
      <c r="I22" s="19"/>
      <c r="J22" s="19"/>
      <c r="K22" s="19"/>
      <c r="L22" s="19"/>
      <c r="M22" s="19"/>
      <c r="P22" s="32"/>
      <c r="Q22" s="32"/>
      <c r="R22" s="32"/>
      <c r="S22" s="32"/>
      <c r="T22" s="32"/>
    </row>
    <row r="23" spans="1:20" ht="18.95" customHeight="1" x14ac:dyDescent="0.2"/>
    <row r="24" spans="1:20" ht="18.95" customHeight="1" x14ac:dyDescent="0.2"/>
    <row r="25" spans="1:20" ht="18.95" customHeight="1" x14ac:dyDescent="0.2"/>
    <row r="26" spans="1:20" ht="18.95" customHeight="1" x14ac:dyDescent="0.2"/>
    <row r="27" spans="1:20" ht="18.95" customHeight="1" x14ac:dyDescent="0.2"/>
    <row r="28" spans="1:20" ht="18.95" customHeight="1" x14ac:dyDescent="0.2"/>
    <row r="29" spans="1:20" ht="18.95" customHeight="1" x14ac:dyDescent="0.2"/>
    <row r="30" spans="1:20" ht="18.95" customHeight="1" x14ac:dyDescent="0.2"/>
    <row r="31" spans="1:20" ht="18.95" customHeight="1" x14ac:dyDescent="0.2"/>
    <row r="32" spans="1:20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</sheetData>
  <mergeCells count="5">
    <mergeCell ref="A5:L5"/>
    <mergeCell ref="A6:L6"/>
    <mergeCell ref="A7:L7"/>
    <mergeCell ref="A8:L8"/>
    <mergeCell ref="A4:L4"/>
  </mergeCells>
  <pageMargins left="0.7" right="0.7" top="1" bottom="0.75" header="0.3" footer="0.3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30" zoomScaleNormal="130" workbookViewId="0">
      <selection activeCell="G12" sqref="G12"/>
    </sheetView>
  </sheetViews>
  <sheetFormatPr defaultRowHeight="15" x14ac:dyDescent="0.25"/>
  <cols>
    <col min="1" max="1" width="35.85546875" style="213" bestFit="1" customWidth="1"/>
    <col min="2" max="5" width="17.7109375" style="213" customWidth="1"/>
    <col min="6" max="6" width="2.7109375" style="213" customWidth="1"/>
    <col min="7" max="7" width="4.5703125" style="213" bestFit="1" customWidth="1"/>
    <col min="8" max="16384" width="9.140625" style="213"/>
  </cols>
  <sheetData>
    <row r="1" spans="1:7" x14ac:dyDescent="0.25">
      <c r="A1" s="212" t="s">
        <v>331</v>
      </c>
    </row>
    <row r="2" spans="1:7" x14ac:dyDescent="0.25">
      <c r="A2" s="212" t="s">
        <v>332</v>
      </c>
    </row>
    <row r="3" spans="1:7" x14ac:dyDescent="0.25">
      <c r="A3" s="212" t="s">
        <v>333</v>
      </c>
    </row>
    <row r="4" spans="1:7" x14ac:dyDescent="0.25">
      <c r="A4" s="214" t="s">
        <v>334</v>
      </c>
    </row>
    <row r="5" spans="1:7" x14ac:dyDescent="0.25">
      <c r="A5" s="214" t="s">
        <v>335</v>
      </c>
    </row>
    <row r="7" spans="1:7" x14ac:dyDescent="0.25">
      <c r="B7" s="275" t="s">
        <v>336</v>
      </c>
      <c r="C7" s="275"/>
      <c r="D7" s="275"/>
      <c r="E7" s="275"/>
      <c r="F7" s="215"/>
    </row>
    <row r="8" spans="1:7" x14ac:dyDescent="0.25">
      <c r="B8" s="216" t="s">
        <v>337</v>
      </c>
      <c r="C8" s="217" t="s">
        <v>338</v>
      </c>
      <c r="D8" s="218" t="s">
        <v>339</v>
      </c>
      <c r="E8" s="219" t="s">
        <v>42</v>
      </c>
      <c r="F8" s="220"/>
    </row>
    <row r="9" spans="1:7" x14ac:dyDescent="0.25">
      <c r="A9" s="213" t="s">
        <v>340</v>
      </c>
      <c r="B9" s="221">
        <v>28300474.004121598</v>
      </c>
      <c r="C9" s="221">
        <v>20590150.273368955</v>
      </c>
      <c r="D9" s="221">
        <v>5189541.928624643</v>
      </c>
      <c r="E9" s="221">
        <v>54080166.206115201</v>
      </c>
      <c r="F9" s="221"/>
    </row>
    <row r="10" spans="1:7" x14ac:dyDescent="0.25">
      <c r="A10" s="213" t="s">
        <v>341</v>
      </c>
      <c r="B10" s="222">
        <v>10582911.500913745</v>
      </c>
      <c r="C10" s="222">
        <v>10017235.695600461</v>
      </c>
      <c r="D10" s="222">
        <v>175923.45605331886</v>
      </c>
      <c r="E10" s="222">
        <v>20776070.652567524</v>
      </c>
      <c r="F10" s="222"/>
    </row>
    <row r="11" spans="1:7" x14ac:dyDescent="0.25">
      <c r="A11" s="213" t="s">
        <v>342</v>
      </c>
      <c r="B11" s="222">
        <v>6402023.4789670296</v>
      </c>
      <c r="C11" s="222">
        <v>2304508.748982938</v>
      </c>
      <c r="D11" s="222">
        <v>482753.88887741306</v>
      </c>
      <c r="E11" s="222">
        <v>9189286.1168273799</v>
      </c>
      <c r="F11" s="222"/>
    </row>
    <row r="12" spans="1:7" x14ac:dyDescent="0.25">
      <c r="A12" s="223" t="s">
        <v>343</v>
      </c>
      <c r="B12" s="224">
        <v>45285408.984002367</v>
      </c>
      <c r="C12" s="224">
        <v>32911894.717952356</v>
      </c>
      <c r="D12" s="224">
        <v>5848219.2735553747</v>
      </c>
      <c r="E12" s="224">
        <v>84045522.975510091</v>
      </c>
      <c r="F12" s="225"/>
      <c r="G12" s="226"/>
    </row>
    <row r="13" spans="1:7" x14ac:dyDescent="0.25">
      <c r="A13" s="213" t="s">
        <v>344</v>
      </c>
      <c r="B13" s="222">
        <v>43453466.015997633</v>
      </c>
      <c r="C13" s="222">
        <v>21398142.746662684</v>
      </c>
      <c r="D13" s="222">
        <v>-12876546.153166607</v>
      </c>
      <c r="E13" s="222">
        <v>51975062.60949371</v>
      </c>
      <c r="F13" s="222"/>
    </row>
    <row r="14" spans="1:7" ht="15.75" thickBot="1" x14ac:dyDescent="0.3">
      <c r="A14" s="213" t="s">
        <v>42</v>
      </c>
      <c r="B14" s="227">
        <v>88738875</v>
      </c>
      <c r="C14" s="227">
        <v>54310037.46461504</v>
      </c>
      <c r="D14" s="227">
        <v>-7028326.8796112314</v>
      </c>
      <c r="E14" s="227">
        <v>136020585.58500382</v>
      </c>
      <c r="F14" s="225"/>
    </row>
    <row r="15" spans="1:7" ht="15.75" thickTop="1" x14ac:dyDescent="0.25"/>
    <row r="17" spans="1:5" x14ac:dyDescent="0.25">
      <c r="B17" s="275" t="s">
        <v>336</v>
      </c>
      <c r="C17" s="275"/>
      <c r="D17" s="275"/>
      <c r="E17" s="275"/>
    </row>
    <row r="18" spans="1:5" x14ac:dyDescent="0.25">
      <c r="A18" s="228" t="s">
        <v>345</v>
      </c>
      <c r="B18" s="229" t="s">
        <v>337</v>
      </c>
      <c r="C18" s="230" t="s">
        <v>338</v>
      </c>
      <c r="D18" s="231" t="s">
        <v>339</v>
      </c>
      <c r="E18" s="232" t="s">
        <v>42</v>
      </c>
    </row>
    <row r="19" spans="1:5" x14ac:dyDescent="0.25">
      <c r="A19" s="213" t="s">
        <v>340</v>
      </c>
      <c r="B19" s="221">
        <v>28300.474004121599</v>
      </c>
      <c r="C19" s="221">
        <v>20590.150273368956</v>
      </c>
      <c r="D19" s="221">
        <v>5189.5419286246433</v>
      </c>
      <c r="E19" s="221">
        <v>54080.166206115202</v>
      </c>
    </row>
    <row r="20" spans="1:5" x14ac:dyDescent="0.25">
      <c r="A20" s="213" t="s">
        <v>341</v>
      </c>
      <c r="B20" s="222">
        <v>10582.911500913744</v>
      </c>
      <c r="C20" s="222">
        <v>10017.235695600461</v>
      </c>
      <c r="D20" s="222">
        <v>175.92345605331886</v>
      </c>
      <c r="E20" s="222">
        <v>20776.070652567523</v>
      </c>
    </row>
    <row r="21" spans="1:5" x14ac:dyDescent="0.25">
      <c r="A21" s="213" t="s">
        <v>342</v>
      </c>
      <c r="B21" s="222">
        <v>6402.0234789670294</v>
      </c>
      <c r="C21" s="222">
        <v>2304.508748982938</v>
      </c>
      <c r="D21" s="222">
        <v>482.75388887741303</v>
      </c>
      <c r="E21" s="222">
        <v>9189.2861168273794</v>
      </c>
    </row>
    <row r="22" spans="1:5" x14ac:dyDescent="0.25">
      <c r="A22" s="223" t="s">
        <v>343</v>
      </c>
      <c r="B22" s="224">
        <v>45285.408984002373</v>
      </c>
      <c r="C22" s="224">
        <v>32911.894717952353</v>
      </c>
      <c r="D22" s="224">
        <v>5848.2192735553754</v>
      </c>
      <c r="E22" s="224">
        <v>84045.522975510088</v>
      </c>
    </row>
    <row r="23" spans="1:5" x14ac:dyDescent="0.25">
      <c r="A23" s="213" t="s">
        <v>344</v>
      </c>
      <c r="B23" s="222">
        <v>43453.466015997627</v>
      </c>
      <c r="C23" s="222">
        <v>21398.142746662685</v>
      </c>
      <c r="D23" s="222">
        <v>-12876.546153166608</v>
      </c>
      <c r="E23" s="222">
        <v>51975.062609493703</v>
      </c>
    </row>
    <row r="24" spans="1:5" ht="15.75" thickBot="1" x14ac:dyDescent="0.3">
      <c r="A24" s="213" t="s">
        <v>42</v>
      </c>
      <c r="B24" s="233">
        <v>88738.875</v>
      </c>
      <c r="C24" s="233">
        <v>54310.037464615038</v>
      </c>
      <c r="D24" s="233">
        <v>-7028.3268796112316</v>
      </c>
      <c r="E24" s="233">
        <v>136020.58558500384</v>
      </c>
    </row>
    <row r="25" spans="1:5" ht="15.75" thickTop="1" x14ac:dyDescent="0.25"/>
  </sheetData>
  <mergeCells count="2">
    <mergeCell ref="B7:E7"/>
    <mergeCell ref="B17:E17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zoomScaleNormal="100" workbookViewId="0">
      <selection activeCell="A7" sqref="A7:E7"/>
    </sheetView>
  </sheetViews>
  <sheetFormatPr defaultColWidth="9.140625" defaultRowHeight="12.75" x14ac:dyDescent="0.2"/>
  <cols>
    <col min="1" max="1" width="6.85546875" style="5" customWidth="1"/>
    <col min="2" max="2" width="48" style="5" customWidth="1"/>
    <col min="3" max="3" width="19" style="5" customWidth="1"/>
    <col min="4" max="4" width="10.85546875" style="5" customWidth="1"/>
    <col min="5" max="5" width="22.42578125" style="5" customWidth="1"/>
    <col min="6" max="6" width="14" style="5" customWidth="1"/>
    <col min="7" max="7" width="1.85546875" style="5" customWidth="1"/>
    <col min="8" max="16384" width="9.140625" style="5"/>
  </cols>
  <sheetData>
    <row r="1" spans="1:8" s="1" customFormat="1" ht="20.100000000000001" customHeight="1" x14ac:dyDescent="0.2">
      <c r="A1" s="92"/>
      <c r="B1" s="92"/>
      <c r="C1" s="92"/>
      <c r="D1" s="146"/>
      <c r="E1" s="3" t="s">
        <v>354</v>
      </c>
      <c r="F1" s="92"/>
    </row>
    <row r="2" spans="1:8" s="1" customFormat="1" ht="20.100000000000001" customHeight="1" x14ac:dyDescent="0.2">
      <c r="A2" s="190"/>
      <c r="B2" s="190"/>
      <c r="C2" s="190"/>
      <c r="D2" s="146"/>
      <c r="E2" s="3" t="s">
        <v>256</v>
      </c>
      <c r="F2" s="190"/>
    </row>
    <row r="3" spans="1:8" s="1" customFormat="1" ht="20.100000000000001" customHeight="1" x14ac:dyDescent="0.2">
      <c r="A3" s="67"/>
      <c r="B3" s="67"/>
      <c r="C3" s="67"/>
      <c r="D3" s="146"/>
      <c r="E3" s="3"/>
      <c r="F3" s="67"/>
    </row>
    <row r="4" spans="1:8" s="1" customFormat="1" ht="20.100000000000001" customHeight="1" x14ac:dyDescent="0.2">
      <c r="A4" s="274" t="s">
        <v>63</v>
      </c>
      <c r="B4" s="274"/>
      <c r="C4" s="274"/>
      <c r="D4" s="274"/>
      <c r="E4" s="274"/>
      <c r="F4" s="22"/>
    </row>
    <row r="5" spans="1:8" s="1" customFormat="1" ht="20.100000000000001" customHeight="1" x14ac:dyDescent="0.2">
      <c r="A5" s="274" t="s">
        <v>213</v>
      </c>
      <c r="B5" s="274"/>
      <c r="C5" s="274"/>
      <c r="D5" s="274"/>
      <c r="E5" s="274"/>
      <c r="F5" s="22"/>
    </row>
    <row r="6" spans="1:8" s="1" customFormat="1" ht="20.100000000000001" customHeight="1" x14ac:dyDescent="0.2">
      <c r="A6" s="274" t="s">
        <v>143</v>
      </c>
      <c r="B6" s="274"/>
      <c r="C6" s="274"/>
      <c r="D6" s="274"/>
      <c r="E6" s="274"/>
      <c r="F6" s="22"/>
    </row>
    <row r="7" spans="1:8" s="1" customFormat="1" ht="20.100000000000001" customHeight="1" x14ac:dyDescent="0.2">
      <c r="A7" s="274" t="s">
        <v>34</v>
      </c>
      <c r="B7" s="274"/>
      <c r="C7" s="274"/>
      <c r="D7" s="274"/>
      <c r="E7" s="274"/>
      <c r="F7" s="22"/>
    </row>
    <row r="8" spans="1:8" s="1" customFormat="1" ht="20.100000000000001" customHeight="1" x14ac:dyDescent="0.2">
      <c r="A8" s="273" t="s">
        <v>30</v>
      </c>
      <c r="B8" s="274"/>
      <c r="C8" s="274"/>
      <c r="D8" s="274"/>
      <c r="E8" s="274"/>
      <c r="F8" s="22"/>
    </row>
    <row r="9" spans="1:8" s="1" customFormat="1" ht="20.100000000000001" customHeight="1" x14ac:dyDescent="0.2">
      <c r="A9" s="67"/>
      <c r="B9" s="67"/>
      <c r="C9" s="67"/>
      <c r="D9" s="67"/>
      <c r="E9" s="67"/>
      <c r="F9" s="67"/>
    </row>
    <row r="10" spans="1:8" s="1" customFormat="1" ht="20.100000000000001" customHeight="1" x14ac:dyDescent="0.2"/>
    <row r="11" spans="1:8" ht="66" customHeight="1" x14ac:dyDescent="0.2">
      <c r="A11" s="13" t="s">
        <v>2</v>
      </c>
      <c r="B11" s="13" t="s">
        <v>144</v>
      </c>
      <c r="C11" s="13" t="s">
        <v>145</v>
      </c>
      <c r="D11" s="13" t="s">
        <v>146</v>
      </c>
      <c r="E11" s="13" t="s">
        <v>147</v>
      </c>
      <c r="F11" s="10"/>
    </row>
    <row r="12" spans="1:8" ht="18.95" customHeight="1" x14ac:dyDescent="0.2">
      <c r="A12" s="6"/>
      <c r="B12" s="23" t="s">
        <v>14</v>
      </c>
      <c r="C12" s="23" t="s">
        <v>15</v>
      </c>
      <c r="D12" s="23" t="s">
        <v>16</v>
      </c>
      <c r="E12" s="23" t="s">
        <v>148</v>
      </c>
      <c r="F12" s="23"/>
    </row>
    <row r="13" spans="1:8" ht="18.95" customHeight="1" x14ac:dyDescent="0.2">
      <c r="A13" s="6"/>
      <c r="B13" s="11"/>
      <c r="C13" s="12" t="s">
        <v>3</v>
      </c>
      <c r="D13" s="12" t="s">
        <v>19</v>
      </c>
      <c r="E13" s="12" t="s">
        <v>3</v>
      </c>
      <c r="F13" s="12"/>
    </row>
    <row r="14" spans="1:8" ht="18.95" customHeight="1" x14ac:dyDescent="0.2">
      <c r="A14" s="9"/>
      <c r="B14" s="7" t="s">
        <v>149</v>
      </c>
      <c r="C14" s="8"/>
      <c r="D14" s="8"/>
      <c r="E14" s="8"/>
      <c r="F14" s="8"/>
    </row>
    <row r="15" spans="1:8" ht="18.95" customHeight="1" x14ac:dyDescent="0.2">
      <c r="A15" s="9">
        <v>1</v>
      </c>
      <c r="B15" s="68">
        <v>43070</v>
      </c>
      <c r="C15" s="8">
        <v>196959740.13521799</v>
      </c>
      <c r="D15" s="69">
        <v>1.4999999999999999E-2</v>
      </c>
      <c r="E15" s="8">
        <f t="shared" ref="E15:E31" si="0">C15*D15</f>
        <v>2954396.1020282698</v>
      </c>
      <c r="F15" s="27"/>
      <c r="H15" s="1"/>
    </row>
    <row r="16" spans="1:8" ht="18.95" customHeight="1" x14ac:dyDescent="0.2">
      <c r="A16" s="9">
        <f t="shared" ref="A16:A31" si="1">A15+1</f>
        <v>2</v>
      </c>
      <c r="B16" s="68">
        <v>43101</v>
      </c>
      <c r="C16" s="8">
        <v>131235185.87569299</v>
      </c>
      <c r="D16" s="69">
        <v>2.5000000000000005E-2</v>
      </c>
      <c r="E16" s="8">
        <f t="shared" si="0"/>
        <v>3280879.6468923255</v>
      </c>
      <c r="F16" s="8"/>
      <c r="H16" s="1"/>
    </row>
    <row r="17" spans="1:8" ht="18.95" customHeight="1" x14ac:dyDescent="0.2">
      <c r="A17" s="9">
        <f t="shared" si="1"/>
        <v>3</v>
      </c>
      <c r="B17" s="68">
        <v>43132</v>
      </c>
      <c r="C17" s="8">
        <v>118556026.53261301</v>
      </c>
      <c r="D17" s="69">
        <v>2.5000000000000005E-2</v>
      </c>
      <c r="E17" s="8">
        <f t="shared" si="0"/>
        <v>2963900.663315326</v>
      </c>
      <c r="F17" s="8"/>
      <c r="H17" s="1"/>
    </row>
    <row r="18" spans="1:8" ht="18.95" customHeight="1" x14ac:dyDescent="0.2">
      <c r="A18" s="9">
        <f t="shared" si="1"/>
        <v>4</v>
      </c>
      <c r="B18" s="68">
        <v>43160</v>
      </c>
      <c r="C18" s="8">
        <v>139367573.28632</v>
      </c>
      <c r="D18" s="69">
        <v>2.5000000000000005E-2</v>
      </c>
      <c r="E18" s="8">
        <f t="shared" si="0"/>
        <v>3484189.3321580007</v>
      </c>
      <c r="F18" s="8"/>
      <c r="H18" s="1"/>
    </row>
    <row r="19" spans="1:8" ht="18.95" customHeight="1" x14ac:dyDescent="0.2">
      <c r="A19" s="9">
        <f t="shared" si="1"/>
        <v>5</v>
      </c>
      <c r="B19" s="68">
        <v>43191</v>
      </c>
      <c r="C19" s="8">
        <v>171756380.477247</v>
      </c>
      <c r="D19" s="69">
        <v>2.5000000000000005E-2</v>
      </c>
      <c r="E19" s="8">
        <f t="shared" si="0"/>
        <v>4293909.5119311754</v>
      </c>
      <c r="F19" s="19"/>
      <c r="H19" s="1"/>
    </row>
    <row r="20" spans="1:8" ht="18.95" customHeight="1" x14ac:dyDescent="0.2">
      <c r="A20" s="9">
        <f t="shared" si="1"/>
        <v>6</v>
      </c>
      <c r="B20" s="70">
        <v>43221</v>
      </c>
      <c r="C20" s="8">
        <v>207172900.42734301</v>
      </c>
      <c r="D20" s="69">
        <v>2.5000000000000005E-2</v>
      </c>
      <c r="E20" s="8">
        <f t="shared" si="0"/>
        <v>5179322.5106835766</v>
      </c>
      <c r="H20" s="1"/>
    </row>
    <row r="21" spans="1:8" ht="18.95" customHeight="1" x14ac:dyDescent="0.2">
      <c r="A21" s="9">
        <f t="shared" si="1"/>
        <v>7</v>
      </c>
      <c r="B21" s="70">
        <v>43252</v>
      </c>
      <c r="C21" s="8">
        <v>196247184.37726301</v>
      </c>
      <c r="D21" s="69">
        <v>2.5000000000000005E-2</v>
      </c>
      <c r="E21" s="8">
        <f t="shared" si="0"/>
        <v>4906179.609431576</v>
      </c>
      <c r="F21" s="8"/>
      <c r="H21" s="1"/>
    </row>
    <row r="22" spans="1:8" ht="18.95" customHeight="1" x14ac:dyDescent="0.2">
      <c r="A22" s="9">
        <f t="shared" si="1"/>
        <v>8</v>
      </c>
      <c r="B22" s="70">
        <v>43282</v>
      </c>
      <c r="C22" s="8">
        <v>203429538.98912701</v>
      </c>
      <c r="D22" s="69">
        <v>2.5000000000000005E-2</v>
      </c>
      <c r="E22" s="8">
        <f t="shared" si="0"/>
        <v>5085738.4747281764</v>
      </c>
      <c r="F22" s="8"/>
      <c r="H22" s="1"/>
    </row>
    <row r="23" spans="1:8" ht="18.95" customHeight="1" x14ac:dyDescent="0.2">
      <c r="A23" s="9">
        <f t="shared" si="1"/>
        <v>9</v>
      </c>
      <c r="B23" s="70">
        <v>43313</v>
      </c>
      <c r="C23" s="8">
        <v>204372493.596248</v>
      </c>
      <c r="D23" s="69">
        <v>2.5000000000000005E-2</v>
      </c>
      <c r="E23" s="8">
        <f t="shared" si="0"/>
        <v>5109312.3399062008</v>
      </c>
      <c r="F23" s="8"/>
      <c r="H23" s="1"/>
    </row>
    <row r="24" spans="1:8" ht="18.95" customHeight="1" x14ac:dyDescent="0.2">
      <c r="A24" s="9">
        <f t="shared" si="1"/>
        <v>10</v>
      </c>
      <c r="B24" s="70">
        <v>43344</v>
      </c>
      <c r="C24" s="8">
        <v>229620414.528725</v>
      </c>
      <c r="D24" s="69">
        <v>2.5000000000000005E-2</v>
      </c>
      <c r="E24" s="8">
        <f t="shared" si="0"/>
        <v>5740510.3632181259</v>
      </c>
      <c r="F24" s="8"/>
      <c r="H24" s="1"/>
    </row>
    <row r="25" spans="1:8" ht="18.95" customHeight="1" x14ac:dyDescent="0.2">
      <c r="A25" s="9">
        <f t="shared" si="1"/>
        <v>11</v>
      </c>
      <c r="B25" s="70">
        <v>43374</v>
      </c>
      <c r="C25" s="8">
        <v>258766472.97989398</v>
      </c>
      <c r="D25" s="69">
        <v>2.5000000000000005E-2</v>
      </c>
      <c r="E25" s="8">
        <f t="shared" si="0"/>
        <v>6469161.8244973505</v>
      </c>
      <c r="F25" s="8"/>
      <c r="H25" s="1"/>
    </row>
    <row r="26" spans="1:8" ht="18.95" customHeight="1" x14ac:dyDescent="0.2">
      <c r="A26" s="9">
        <f t="shared" si="1"/>
        <v>12</v>
      </c>
      <c r="B26" s="70">
        <v>43405</v>
      </c>
      <c r="C26" s="8">
        <v>284723869.25467098</v>
      </c>
      <c r="D26" s="69">
        <v>2.5000000000000005E-2</v>
      </c>
      <c r="E26" s="8">
        <f t="shared" si="0"/>
        <v>7118096.7313667759</v>
      </c>
      <c r="F26" s="8"/>
      <c r="H26" s="1"/>
    </row>
    <row r="27" spans="1:8" ht="18.95" customHeight="1" x14ac:dyDescent="0.2">
      <c r="A27" s="9">
        <f t="shared" si="1"/>
        <v>13</v>
      </c>
      <c r="B27" s="70">
        <v>43435</v>
      </c>
      <c r="C27" s="8">
        <v>276215149.65878099</v>
      </c>
      <c r="D27" s="69">
        <v>2.5000000000000005E-2</v>
      </c>
      <c r="E27" s="8">
        <f t="shared" si="0"/>
        <v>6905378.7414695257</v>
      </c>
      <c r="F27" s="8"/>
      <c r="H27" s="1"/>
    </row>
    <row r="28" spans="1:8" ht="18.95" customHeight="1" x14ac:dyDescent="0.2">
      <c r="A28" s="9">
        <f t="shared" si="1"/>
        <v>14</v>
      </c>
      <c r="B28" s="70">
        <v>43466</v>
      </c>
      <c r="C28" s="8">
        <v>250868543.14596298</v>
      </c>
      <c r="D28" s="69">
        <v>3.0000000000000006E-2</v>
      </c>
      <c r="E28" s="8">
        <f t="shared" si="0"/>
        <v>7526056.2943788907</v>
      </c>
      <c r="F28" s="8"/>
      <c r="H28" s="1"/>
    </row>
    <row r="29" spans="1:8" ht="18.95" customHeight="1" x14ac:dyDescent="0.2">
      <c r="A29" s="9">
        <f t="shared" si="1"/>
        <v>15</v>
      </c>
      <c r="B29" s="70">
        <v>43497</v>
      </c>
      <c r="C29" s="8">
        <v>231729947.63872001</v>
      </c>
      <c r="D29" s="69">
        <v>3.0000000000000006E-2</v>
      </c>
      <c r="E29" s="8">
        <f t="shared" si="0"/>
        <v>6951898.4291616017</v>
      </c>
      <c r="F29" s="8"/>
      <c r="H29" s="1"/>
    </row>
    <row r="30" spans="1:8" ht="18.95" customHeight="1" x14ac:dyDescent="0.2">
      <c r="A30" s="9">
        <f t="shared" si="1"/>
        <v>16</v>
      </c>
      <c r="B30" s="70">
        <v>43525</v>
      </c>
      <c r="C30" s="8">
        <v>282780800.46166199</v>
      </c>
      <c r="D30" s="69">
        <v>3.0000000000000006E-2</v>
      </c>
      <c r="E30" s="8">
        <f t="shared" si="0"/>
        <v>8483424.0138498619</v>
      </c>
      <c r="F30" s="8"/>
      <c r="H30" s="1"/>
    </row>
    <row r="31" spans="1:8" ht="18.95" customHeight="1" x14ac:dyDescent="0.2">
      <c r="A31" s="9">
        <f t="shared" si="1"/>
        <v>17</v>
      </c>
      <c r="B31" s="70">
        <v>43556</v>
      </c>
      <c r="C31" s="14">
        <v>316086291.51993299</v>
      </c>
      <c r="D31" s="69">
        <v>3.0000000000000006E-2</v>
      </c>
      <c r="E31" s="14">
        <f t="shared" si="0"/>
        <v>9482588.7455979921</v>
      </c>
      <c r="F31" s="8"/>
      <c r="H31" s="1"/>
    </row>
    <row r="32" spans="1:8" ht="18.95" customHeight="1" x14ac:dyDescent="0.2">
      <c r="A32" s="9"/>
      <c r="B32" s="7"/>
    </row>
    <row r="33" spans="1:6" ht="18.95" customHeight="1" x14ac:dyDescent="0.2">
      <c r="A33" s="9">
        <f>A31+1</f>
        <v>18</v>
      </c>
      <c r="B33" s="71" t="s">
        <v>42</v>
      </c>
      <c r="C33" s="14">
        <f>SUM(C15:C32)</f>
        <v>3699888512.8854208</v>
      </c>
      <c r="D33" s="8"/>
      <c r="E33" s="14">
        <f>SUM(E15:E32)</f>
        <v>95934943.334614754</v>
      </c>
      <c r="F33" s="8"/>
    </row>
    <row r="34" spans="1:6" ht="18.95" customHeight="1" x14ac:dyDescent="0.2">
      <c r="B34" s="71"/>
    </row>
    <row r="35" spans="1:6" ht="18.95" customHeight="1" x14ac:dyDescent="0.2">
      <c r="A35" s="9">
        <f>A33+1</f>
        <v>19</v>
      </c>
      <c r="B35" s="71" t="s">
        <v>207</v>
      </c>
      <c r="C35" s="8">
        <f>C33/17</f>
        <v>217640500.75796592</v>
      </c>
      <c r="D35" s="89">
        <f>E35/C35</f>
        <v>2.592914435137892E-2</v>
      </c>
      <c r="E35" s="8">
        <f>E33/17</f>
        <v>5643231.9608596917</v>
      </c>
      <c r="F35" s="8"/>
    </row>
    <row r="36" spans="1:6" ht="18.95" customHeight="1" x14ac:dyDescent="0.2">
      <c r="A36" s="9">
        <f>A35+1</f>
        <v>20</v>
      </c>
      <c r="B36" s="90" t="s">
        <v>208</v>
      </c>
      <c r="C36" s="14">
        <f>C37-C35</f>
        <v>-53386863.997860938</v>
      </c>
      <c r="D36" s="89"/>
      <c r="E36" s="8"/>
    </row>
    <row r="37" spans="1:6" ht="18.95" customHeight="1" thickBot="1" x14ac:dyDescent="0.25">
      <c r="A37" s="9">
        <f>A36+1</f>
        <v>21</v>
      </c>
      <c r="B37" s="90" t="s">
        <v>209</v>
      </c>
      <c r="C37" s="15">
        <f>'Cost of Capital Adj'!D15</f>
        <v>164253636.76010498</v>
      </c>
      <c r="D37" s="89"/>
      <c r="E37" s="8"/>
      <c r="F37" s="74"/>
    </row>
    <row r="38" spans="1:6" ht="18.95" customHeight="1" thickTop="1" x14ac:dyDescent="0.2">
      <c r="B38" s="71"/>
    </row>
    <row r="39" spans="1:6" ht="18.95" customHeight="1" thickBot="1" x14ac:dyDescent="0.25">
      <c r="A39" s="9">
        <f>A37+1</f>
        <v>22</v>
      </c>
      <c r="B39" s="71" t="s">
        <v>150</v>
      </c>
      <c r="C39" s="72">
        <f>D35</f>
        <v>2.592914435137892E-2</v>
      </c>
      <c r="D39" s="73"/>
      <c r="E39" s="73"/>
    </row>
    <row r="40" spans="1:6" ht="18.95" customHeight="1" thickTop="1" x14ac:dyDescent="0.2"/>
    <row r="41" spans="1:6" ht="18.95" customHeight="1" x14ac:dyDescent="0.2"/>
    <row r="42" spans="1:6" ht="18.95" customHeight="1" x14ac:dyDescent="0.2"/>
    <row r="43" spans="1:6" ht="18.95" customHeight="1" x14ac:dyDescent="0.2"/>
    <row r="44" spans="1:6" ht="18.95" customHeight="1" x14ac:dyDescent="0.2"/>
    <row r="45" spans="1:6" ht="18.95" customHeight="1" x14ac:dyDescent="0.2"/>
    <row r="46" spans="1:6" ht="18.95" customHeight="1" x14ac:dyDescent="0.2"/>
    <row r="47" spans="1:6" ht="18.95" customHeight="1" x14ac:dyDescent="0.2"/>
    <row r="48" spans="1:6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</sheetData>
  <mergeCells count="5">
    <mergeCell ref="A4:E4"/>
    <mergeCell ref="A5:E5"/>
    <mergeCell ref="A6:E6"/>
    <mergeCell ref="A7:E7"/>
    <mergeCell ref="A8:E8"/>
  </mergeCells>
  <printOptions horizontalCentered="1"/>
  <pageMargins left="1" right="1" top="1" bottom="1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B1" zoomScale="70" zoomScaleNormal="70" zoomScaleSheetLayoutView="80" workbookViewId="0">
      <selection activeCell="S12" sqref="S12"/>
    </sheetView>
  </sheetViews>
  <sheetFormatPr defaultColWidth="9.140625" defaultRowHeight="15" x14ac:dyDescent="0.25"/>
  <cols>
    <col min="1" max="1" width="6.85546875" style="88" customWidth="1"/>
    <col min="2" max="2" width="64.28515625" style="75" bestFit="1" customWidth="1"/>
    <col min="3" max="3" width="10.85546875" style="75" customWidth="1"/>
    <col min="4" max="4" width="14.85546875" style="75" customWidth="1"/>
    <col min="5" max="5" width="13.85546875" style="75" customWidth="1"/>
    <col min="6" max="6" width="15.85546875" style="75" customWidth="1"/>
    <col min="7" max="7" width="17.42578125" style="75" customWidth="1"/>
    <col min="8" max="10" width="14.7109375" style="75" customWidth="1"/>
    <col min="11" max="11" width="13.7109375" style="75" customWidth="1"/>
    <col min="12" max="12" width="17.42578125" style="75" customWidth="1"/>
    <col min="13" max="15" width="14.7109375" style="75" customWidth="1"/>
    <col min="16" max="16" width="15.85546875" style="75" customWidth="1"/>
    <col min="17" max="16384" width="9.140625" style="75"/>
  </cols>
  <sheetData>
    <row r="1" spans="1:16" ht="20.100000000000001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146"/>
      <c r="P1" s="3" t="s">
        <v>354</v>
      </c>
    </row>
    <row r="2" spans="1:16" ht="20.10000000000000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46"/>
      <c r="P2" s="3" t="s">
        <v>256</v>
      </c>
    </row>
    <row r="3" spans="1:16" ht="20.100000000000001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46"/>
      <c r="P3" s="3"/>
    </row>
    <row r="4" spans="1:16" x14ac:dyDescent="0.25">
      <c r="A4" s="274" t="s">
        <v>63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</row>
    <row r="5" spans="1:16" x14ac:dyDescent="0.25">
      <c r="A5" s="274" t="s">
        <v>213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</row>
    <row r="6" spans="1:16" x14ac:dyDescent="0.25">
      <c r="A6" s="274" t="s">
        <v>151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34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3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76" t="s">
        <v>152</v>
      </c>
      <c r="L11" s="276"/>
      <c r="M11" s="276"/>
      <c r="N11" s="276"/>
      <c r="O11" s="276"/>
      <c r="P11" s="276"/>
    </row>
    <row r="12" spans="1:16" ht="59.25" customHeight="1" x14ac:dyDescent="0.25">
      <c r="A12" s="21" t="s">
        <v>2</v>
      </c>
      <c r="B12" s="21" t="s">
        <v>153</v>
      </c>
      <c r="C12" s="21" t="s">
        <v>154</v>
      </c>
      <c r="D12" s="21" t="s">
        <v>155</v>
      </c>
      <c r="E12" s="21" t="s">
        <v>156</v>
      </c>
      <c r="F12" s="21" t="s">
        <v>157</v>
      </c>
      <c r="G12" s="21" t="s">
        <v>158</v>
      </c>
      <c r="H12" s="21" t="s">
        <v>159</v>
      </c>
      <c r="I12" s="21" t="s">
        <v>160</v>
      </c>
      <c r="J12" s="21" t="s">
        <v>161</v>
      </c>
      <c r="K12" s="21" t="s">
        <v>162</v>
      </c>
      <c r="L12" s="21" t="s">
        <v>163</v>
      </c>
      <c r="M12" s="21" t="s">
        <v>164</v>
      </c>
      <c r="N12" s="21" t="s">
        <v>165</v>
      </c>
      <c r="O12" s="21" t="s">
        <v>166</v>
      </c>
      <c r="P12" s="21" t="s">
        <v>167</v>
      </c>
    </row>
    <row r="13" spans="1:16" x14ac:dyDescent="0.25">
      <c r="A13" s="6"/>
      <c r="B13" s="23"/>
      <c r="C13" s="23" t="s">
        <v>14</v>
      </c>
      <c r="D13" s="23" t="s">
        <v>15</v>
      </c>
      <c r="E13" s="23" t="s">
        <v>16</v>
      </c>
      <c r="F13" s="23" t="s">
        <v>17</v>
      </c>
      <c r="G13" s="23" t="s">
        <v>110</v>
      </c>
      <c r="H13" s="23" t="s">
        <v>18</v>
      </c>
      <c r="I13" s="23" t="s">
        <v>111</v>
      </c>
      <c r="J13" s="23" t="s">
        <v>168</v>
      </c>
      <c r="K13" s="23" t="s">
        <v>169</v>
      </c>
      <c r="L13" s="23" t="s">
        <v>112</v>
      </c>
      <c r="M13" s="23" t="s">
        <v>170</v>
      </c>
      <c r="N13" s="23" t="s">
        <v>171</v>
      </c>
      <c r="O13" s="23" t="s">
        <v>172</v>
      </c>
      <c r="P13" s="23" t="s">
        <v>173</v>
      </c>
    </row>
    <row r="14" spans="1:16" x14ac:dyDescent="0.25">
      <c r="A14" s="6"/>
      <c r="B14" s="11"/>
      <c r="C14" s="12" t="s">
        <v>19</v>
      </c>
      <c r="D14" s="11"/>
      <c r="E14" s="11"/>
      <c r="F14" s="12" t="s">
        <v>3</v>
      </c>
      <c r="G14" s="12" t="s">
        <v>3</v>
      </c>
      <c r="H14" s="12" t="s">
        <v>3</v>
      </c>
      <c r="I14" s="12" t="s">
        <v>3</v>
      </c>
      <c r="J14" s="12" t="s">
        <v>3</v>
      </c>
      <c r="K14" s="12" t="s">
        <v>3</v>
      </c>
      <c r="L14" s="12" t="s">
        <v>3</v>
      </c>
      <c r="M14" s="12" t="s">
        <v>3</v>
      </c>
      <c r="N14" s="12" t="s">
        <v>3</v>
      </c>
      <c r="O14" s="12" t="s">
        <v>3</v>
      </c>
      <c r="P14" s="12" t="s">
        <v>3</v>
      </c>
    </row>
    <row r="15" spans="1:16" x14ac:dyDescent="0.25">
      <c r="A15" s="9"/>
      <c r="B15" s="7"/>
      <c r="C15" s="8"/>
      <c r="D15" s="10"/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76">
        <v>1</v>
      </c>
      <c r="B16" s="2" t="s">
        <v>268</v>
      </c>
      <c r="C16" s="77">
        <v>5.1250000000000004E-2</v>
      </c>
      <c r="D16" s="78" t="s">
        <v>174</v>
      </c>
      <c r="E16" s="10" t="s">
        <v>175</v>
      </c>
      <c r="F16" s="79">
        <v>285000000</v>
      </c>
      <c r="G16" s="80">
        <v>-2295473.7558823521</v>
      </c>
      <c r="H16" s="80">
        <v>2648093.6223529405</v>
      </c>
      <c r="I16" s="80"/>
      <c r="J16" s="8">
        <v>280056432.62176472</v>
      </c>
      <c r="K16" s="8">
        <v>14606250.000000002</v>
      </c>
      <c r="L16" s="8">
        <v>103293.96144329896</v>
      </c>
      <c r="M16" s="8">
        <v>119144.21814432988</v>
      </c>
      <c r="N16" s="8"/>
      <c r="O16" s="8"/>
      <c r="P16" s="8">
        <f>SUM(K16:O16)</f>
        <v>14828688.179587631</v>
      </c>
    </row>
    <row r="17" spans="1:16" x14ac:dyDescent="0.25">
      <c r="A17" s="76">
        <f>A16+1</f>
        <v>2</v>
      </c>
      <c r="B17" s="2" t="s">
        <v>269</v>
      </c>
      <c r="C17" s="77">
        <v>4.650000000000002E-2</v>
      </c>
      <c r="D17" s="78" t="s">
        <v>176</v>
      </c>
      <c r="E17" s="10" t="s">
        <v>177</v>
      </c>
      <c r="F17" s="79">
        <v>250000000</v>
      </c>
      <c r="G17" s="80">
        <v>-1512287.5564705885</v>
      </c>
      <c r="H17" s="80">
        <v>2300072.4752941178</v>
      </c>
      <c r="I17" s="80"/>
      <c r="J17" s="8">
        <v>246187639.96823528</v>
      </c>
      <c r="K17" s="8">
        <v>11625000.000000006</v>
      </c>
      <c r="L17" s="8">
        <v>59956.194432989694</v>
      </c>
      <c r="M17" s="8">
        <v>91178.83628865979</v>
      </c>
      <c r="N17" s="8"/>
      <c r="O17" s="8"/>
      <c r="P17" s="8">
        <f t="shared" ref="P17:P40" si="0">SUM(K17:O17)</f>
        <v>11776135.030721655</v>
      </c>
    </row>
    <row r="18" spans="1:16" x14ac:dyDescent="0.25">
      <c r="A18" s="76">
        <f t="shared" ref="A18:A44" si="1">A17+1</f>
        <v>3</v>
      </c>
      <c r="B18" s="2" t="s">
        <v>270</v>
      </c>
      <c r="C18" s="77">
        <v>3.3000000000000002E-2</v>
      </c>
      <c r="D18" s="10" t="s">
        <v>178</v>
      </c>
      <c r="E18" s="10" t="s">
        <v>179</v>
      </c>
      <c r="F18" s="79">
        <v>300000000</v>
      </c>
      <c r="G18" s="80">
        <v>-91297.51235294115</v>
      </c>
      <c r="H18" s="80">
        <v>1683359.5252941181</v>
      </c>
      <c r="I18" s="80"/>
      <c r="J18" s="8">
        <v>298225342.96235293</v>
      </c>
      <c r="K18" s="8">
        <v>9900000</v>
      </c>
      <c r="L18" s="8">
        <v>12878.825567010308</v>
      </c>
      <c r="M18" s="8">
        <v>237370.37474226812</v>
      </c>
      <c r="N18" s="8"/>
      <c r="O18" s="8"/>
      <c r="P18" s="8">
        <f t="shared" si="0"/>
        <v>10150249.200309278</v>
      </c>
    </row>
    <row r="19" spans="1:16" x14ac:dyDescent="0.25">
      <c r="A19" s="76">
        <f t="shared" si="1"/>
        <v>4</v>
      </c>
      <c r="B19" s="2" t="s">
        <v>271</v>
      </c>
      <c r="C19" s="77">
        <v>4.3750000000000004E-2</v>
      </c>
      <c r="D19" s="10" t="s">
        <v>178</v>
      </c>
      <c r="E19" s="10" t="s">
        <v>180</v>
      </c>
      <c r="F19" s="81">
        <v>250000000</v>
      </c>
      <c r="G19" s="80">
        <v>-187271.93176470583</v>
      </c>
      <c r="H19" s="80">
        <v>2320493.0129411779</v>
      </c>
      <c r="I19" s="80"/>
      <c r="J19" s="8">
        <v>247492235.05529413</v>
      </c>
      <c r="K19" s="8">
        <v>10937500.000000002</v>
      </c>
      <c r="L19" s="8">
        <v>6909.7284536082489</v>
      </c>
      <c r="M19" s="8">
        <v>85609.989896907238</v>
      </c>
      <c r="N19" s="8"/>
      <c r="O19" s="8"/>
      <c r="P19" s="8">
        <f t="shared" si="0"/>
        <v>11030019.718350517</v>
      </c>
    </row>
    <row r="20" spans="1:16" x14ac:dyDescent="0.25">
      <c r="A20" s="76">
        <f t="shared" si="1"/>
        <v>5</v>
      </c>
      <c r="B20" s="2" t="s">
        <v>272</v>
      </c>
      <c r="C20" s="77">
        <v>3.7500000000000006E-2</v>
      </c>
      <c r="D20" s="10" t="s">
        <v>181</v>
      </c>
      <c r="E20" s="10" t="s">
        <v>182</v>
      </c>
      <c r="F20" s="81">
        <v>60000000</v>
      </c>
      <c r="G20" s="80"/>
      <c r="H20" s="80">
        <v>596456.74666666705</v>
      </c>
      <c r="I20" s="80">
        <v>1402980.4752941176</v>
      </c>
      <c r="J20" s="8">
        <v>58000562.77803921</v>
      </c>
      <c r="K20" s="8">
        <v>2250000.0000000005</v>
      </c>
      <c r="L20" s="8"/>
      <c r="M20" s="8">
        <v>31357.388316151199</v>
      </c>
      <c r="N20" s="8">
        <v>95091.0568041238</v>
      </c>
      <c r="O20" s="8">
        <v>0</v>
      </c>
      <c r="P20" s="8">
        <f t="shared" si="0"/>
        <v>2376448.4451202755</v>
      </c>
    </row>
    <row r="21" spans="1:16" x14ac:dyDescent="0.25">
      <c r="A21" s="76">
        <f t="shared" si="1"/>
        <v>6</v>
      </c>
      <c r="B21" s="2" t="s">
        <v>273</v>
      </c>
      <c r="C21" s="77">
        <v>3.0250000000000006E-2</v>
      </c>
      <c r="D21" s="10" t="s">
        <v>183</v>
      </c>
      <c r="E21" s="10" t="s">
        <v>274</v>
      </c>
      <c r="F21" s="79">
        <v>100000000</v>
      </c>
      <c r="G21" s="82"/>
      <c r="H21" s="82">
        <v>57142.857142856745</v>
      </c>
      <c r="I21" s="82"/>
      <c r="J21" s="8">
        <v>99942857.142857149</v>
      </c>
      <c r="K21" s="8">
        <v>3025000.0000000005</v>
      </c>
      <c r="L21" s="8"/>
      <c r="M21" s="8">
        <v>57339.224349534168</v>
      </c>
      <c r="N21" s="8"/>
      <c r="O21" s="8">
        <v>0</v>
      </c>
      <c r="P21" s="8">
        <f t="shared" si="0"/>
        <v>3082339.2243495346</v>
      </c>
    </row>
    <row r="22" spans="1:16" x14ac:dyDescent="0.25">
      <c r="A22" s="76">
        <f t="shared" si="1"/>
        <v>7</v>
      </c>
      <c r="B22" s="2" t="s">
        <v>275</v>
      </c>
      <c r="C22" s="77">
        <v>3.0250000000000006E-2</v>
      </c>
      <c r="D22" s="10" t="s">
        <v>184</v>
      </c>
      <c r="E22" s="10" t="s">
        <v>274</v>
      </c>
      <c r="F22" s="79">
        <v>94117647.058823526</v>
      </c>
      <c r="G22" s="80"/>
      <c r="H22" s="80"/>
      <c r="I22" s="80"/>
      <c r="J22" s="8">
        <v>94117647.058823526</v>
      </c>
      <c r="K22" s="8">
        <v>2847058.823529412</v>
      </c>
      <c r="L22" s="8"/>
      <c r="M22" s="8"/>
      <c r="N22" s="8"/>
      <c r="O22" s="8">
        <v>0</v>
      </c>
      <c r="P22" s="8">
        <f t="shared" si="0"/>
        <v>2847058.823529412</v>
      </c>
    </row>
    <row r="23" spans="1:16" x14ac:dyDescent="0.25">
      <c r="A23" s="76">
        <f t="shared" si="1"/>
        <v>8</v>
      </c>
      <c r="B23" s="2" t="s">
        <v>276</v>
      </c>
      <c r="C23" s="77">
        <v>1.9675000000000005E-2</v>
      </c>
      <c r="D23" s="10" t="s">
        <v>185</v>
      </c>
      <c r="E23" s="10" t="s">
        <v>186</v>
      </c>
      <c r="F23" s="79">
        <v>22500000</v>
      </c>
      <c r="G23" s="80"/>
      <c r="H23" s="80">
        <v>80046.517058823563</v>
      </c>
      <c r="I23" s="80">
        <v>619101.07823529409</v>
      </c>
      <c r="J23" s="8">
        <v>21800852.404705882</v>
      </c>
      <c r="K23" s="8">
        <v>442687.50000000012</v>
      </c>
      <c r="L23" s="8"/>
      <c r="M23" s="8">
        <v>9674.7426804123679</v>
      </c>
      <c r="N23" s="8">
        <v>77400.567938144202</v>
      </c>
      <c r="O23" s="8">
        <v>22500</v>
      </c>
      <c r="P23" s="8">
        <f t="shared" si="0"/>
        <v>552262.81061855669</v>
      </c>
    </row>
    <row r="24" spans="1:16" x14ac:dyDescent="0.25">
      <c r="A24" s="76">
        <f t="shared" si="1"/>
        <v>9</v>
      </c>
      <c r="B24" s="2" t="s">
        <v>277</v>
      </c>
      <c r="C24" s="77">
        <v>2.1999999999999954E-2</v>
      </c>
      <c r="D24" s="83" t="s">
        <v>187</v>
      </c>
      <c r="E24" s="10" t="s">
        <v>188</v>
      </c>
      <c r="F24" s="79">
        <v>40000000</v>
      </c>
      <c r="G24" s="80"/>
      <c r="H24" s="80">
        <v>70033.604705882375</v>
      </c>
      <c r="I24" s="80">
        <v>1388358.5282352935</v>
      </c>
      <c r="J24" s="8">
        <v>38541607.867058821</v>
      </c>
      <c r="K24" s="8">
        <v>879999.99999999814</v>
      </c>
      <c r="L24" s="8"/>
      <c r="M24" s="8">
        <v>75460.280618556702</v>
      </c>
      <c r="N24" s="8">
        <v>84561.8905154643</v>
      </c>
      <c r="O24" s="8"/>
      <c r="P24" s="8">
        <f t="shared" si="0"/>
        <v>1040022.171134019</v>
      </c>
    </row>
    <row r="25" spans="1:16" x14ac:dyDescent="0.25">
      <c r="A25" s="76">
        <f t="shared" si="1"/>
        <v>10</v>
      </c>
      <c r="B25" s="2" t="s">
        <v>278</v>
      </c>
      <c r="C25" s="77">
        <v>2.1225000000000001E-2</v>
      </c>
      <c r="D25" s="10" t="s">
        <v>189</v>
      </c>
      <c r="E25" s="10" t="s">
        <v>190</v>
      </c>
      <c r="F25" s="79">
        <v>35000000</v>
      </c>
      <c r="G25" s="80"/>
      <c r="H25" s="80">
        <v>269500.82372549019</v>
      </c>
      <c r="I25" s="80">
        <v>550137.49235294107</v>
      </c>
      <c r="J25" s="8">
        <v>34180361.683921568</v>
      </c>
      <c r="K25" s="8">
        <v>742875</v>
      </c>
      <c r="L25" s="8"/>
      <c r="M25" s="8">
        <v>121063.59384879726</v>
      </c>
      <c r="N25" s="8">
        <v>60025.356288659772</v>
      </c>
      <c r="O25" s="8"/>
      <c r="P25" s="8">
        <f t="shared" si="0"/>
        <v>923963.950137457</v>
      </c>
    </row>
    <row r="26" spans="1:16" x14ac:dyDescent="0.25">
      <c r="A26" s="76">
        <f t="shared" si="1"/>
        <v>11</v>
      </c>
      <c r="B26" s="2" t="s">
        <v>279</v>
      </c>
      <c r="C26" s="77">
        <v>1.5643749999999998E-2</v>
      </c>
      <c r="D26" s="10" t="s">
        <v>191</v>
      </c>
      <c r="E26" s="10" t="s">
        <v>192</v>
      </c>
      <c r="F26" s="79">
        <v>128000000</v>
      </c>
      <c r="G26" s="80"/>
      <c r="H26" s="80">
        <v>266992.10019607865</v>
      </c>
      <c r="I26" s="80">
        <v>4703554.3441176489</v>
      </c>
      <c r="J26" s="8">
        <v>123029453.55568627</v>
      </c>
      <c r="K26" s="8">
        <v>2002399.9999999998</v>
      </c>
      <c r="L26" s="8"/>
      <c r="M26" s="8">
        <v>258635.73883161513</v>
      </c>
      <c r="N26" s="8">
        <v>313571.77092783462</v>
      </c>
      <c r="O26" s="8"/>
      <c r="P26" s="8">
        <f t="shared" si="0"/>
        <v>2574607.5097594499</v>
      </c>
    </row>
    <row r="27" spans="1:16" x14ac:dyDescent="0.25">
      <c r="A27" s="76">
        <f t="shared" si="1"/>
        <v>12</v>
      </c>
      <c r="B27" s="2" t="s">
        <v>280</v>
      </c>
      <c r="C27" s="77">
        <v>1.2500000000000001E-2</v>
      </c>
      <c r="D27" s="191" t="s">
        <v>181</v>
      </c>
      <c r="E27" s="10" t="s">
        <v>182</v>
      </c>
      <c r="F27" s="79">
        <v>35200000</v>
      </c>
      <c r="G27" s="80"/>
      <c r="H27" s="80">
        <v>85384.850474036968</v>
      </c>
      <c r="I27" s="80">
        <v>484057.28000000009</v>
      </c>
      <c r="J27" s="8">
        <v>34630557.869525962</v>
      </c>
      <c r="K27" s="8">
        <v>440000</v>
      </c>
      <c r="L27" s="8"/>
      <c r="M27" s="8">
        <v>106086.59595759503</v>
      </c>
      <c r="N27" s="8">
        <v>32821.831030927751</v>
      </c>
      <c r="O27" s="8"/>
      <c r="P27" s="8">
        <f t="shared" si="0"/>
        <v>578908.42698852275</v>
      </c>
    </row>
    <row r="28" spans="1:16" x14ac:dyDescent="0.25">
      <c r="A28" s="76">
        <f t="shared" si="1"/>
        <v>13</v>
      </c>
      <c r="B28" s="2" t="s">
        <v>281</v>
      </c>
      <c r="C28" s="77">
        <v>1.2500000000000001E-2</v>
      </c>
      <c r="D28" s="10" t="s">
        <v>181</v>
      </c>
      <c r="E28" s="10" t="s">
        <v>182</v>
      </c>
      <c r="F28" s="79">
        <v>31000000</v>
      </c>
      <c r="G28" s="80"/>
      <c r="H28" s="80">
        <v>79964.193862099492</v>
      </c>
      <c r="I28" s="80">
        <v>521328.36411764706</v>
      </c>
      <c r="J28" s="8">
        <v>30398707.442020252</v>
      </c>
      <c r="K28" s="8">
        <v>387500</v>
      </c>
      <c r="L28" s="8"/>
      <c r="M28" s="8">
        <v>99560.228646705073</v>
      </c>
      <c r="N28" s="8">
        <v>35349.023298969114</v>
      </c>
      <c r="O28" s="8"/>
      <c r="P28" s="8">
        <f t="shared" si="0"/>
        <v>522409.25194567419</v>
      </c>
    </row>
    <row r="29" spans="1:16" x14ac:dyDescent="0.25">
      <c r="A29" s="76">
        <f t="shared" si="1"/>
        <v>14</v>
      </c>
      <c r="B29" s="2" t="s">
        <v>282</v>
      </c>
      <c r="C29" s="77">
        <v>2.1225000000000001E-2</v>
      </c>
      <c r="D29" s="10" t="s">
        <v>189</v>
      </c>
      <c r="E29" s="10" t="s">
        <v>190</v>
      </c>
      <c r="F29" s="79">
        <v>35000000</v>
      </c>
      <c r="G29" s="80"/>
      <c r="H29" s="80">
        <v>262210.17843137257</v>
      </c>
      <c r="I29" s="80">
        <v>548469.07235294126</v>
      </c>
      <c r="J29" s="8">
        <v>34189320.749215692</v>
      </c>
      <c r="K29" s="8">
        <v>742875</v>
      </c>
      <c r="L29" s="8"/>
      <c r="M29" s="8">
        <v>121023.61694158075</v>
      </c>
      <c r="N29" s="8">
        <v>59843.315360824621</v>
      </c>
      <c r="O29" s="8"/>
      <c r="P29" s="8">
        <f t="shared" si="0"/>
        <v>923741.93230240536</v>
      </c>
    </row>
    <row r="30" spans="1:16" x14ac:dyDescent="0.25">
      <c r="A30" s="76">
        <f t="shared" si="1"/>
        <v>15</v>
      </c>
      <c r="B30" s="2" t="s">
        <v>283</v>
      </c>
      <c r="C30" s="77">
        <v>2.038750000000001E-2</v>
      </c>
      <c r="D30" s="191" t="s">
        <v>185</v>
      </c>
      <c r="E30" s="10" t="s">
        <v>186</v>
      </c>
      <c r="F30" s="79">
        <v>27500000</v>
      </c>
      <c r="G30" s="80"/>
      <c r="H30" s="80">
        <v>278167.47666666674</v>
      </c>
      <c r="I30" s="80">
        <v>609165.12764705915</v>
      </c>
      <c r="J30" s="8">
        <v>26612667.395686273</v>
      </c>
      <c r="K30" s="8">
        <v>560656.25000000023</v>
      </c>
      <c r="L30" s="8"/>
      <c r="M30" s="8">
        <v>122829.14693012599</v>
      </c>
      <c r="N30" s="8">
        <v>76158.3638144328</v>
      </c>
      <c r="O30" s="8"/>
      <c r="P30" s="8">
        <f t="shared" si="0"/>
        <v>759643.760744559</v>
      </c>
    </row>
    <row r="31" spans="1:16" x14ac:dyDescent="0.25">
      <c r="A31" s="76">
        <f t="shared" si="1"/>
        <v>16</v>
      </c>
      <c r="B31" s="2" t="s">
        <v>284</v>
      </c>
      <c r="C31" s="77">
        <v>1.9675000000000005E-2</v>
      </c>
      <c r="D31" s="191" t="s">
        <v>193</v>
      </c>
      <c r="E31" s="10" t="s">
        <v>194</v>
      </c>
      <c r="F31" s="79">
        <v>125000000</v>
      </c>
      <c r="G31" s="80"/>
      <c r="H31" s="80">
        <v>794666.48117647052</v>
      </c>
      <c r="I31" s="80">
        <v>3745363.0223529423</v>
      </c>
      <c r="J31" s="8">
        <v>120459970.49647059</v>
      </c>
      <c r="K31" s="8">
        <v>2459375.0000000005</v>
      </c>
      <c r="L31" s="8"/>
      <c r="M31" s="8">
        <v>27089.976391752582</v>
      </c>
      <c r="N31" s="8">
        <v>143959.04793814349</v>
      </c>
      <c r="O31" s="8">
        <v>124999.99999999997</v>
      </c>
      <c r="P31" s="8">
        <f t="shared" si="0"/>
        <v>2755424.0243298966</v>
      </c>
    </row>
    <row r="32" spans="1:16" x14ac:dyDescent="0.25">
      <c r="A32" s="76">
        <f t="shared" si="1"/>
        <v>17</v>
      </c>
      <c r="B32" s="2" t="s">
        <v>195</v>
      </c>
      <c r="C32" s="77"/>
      <c r="D32" s="191"/>
      <c r="E32" s="10"/>
      <c r="F32" s="79"/>
      <c r="G32" s="80">
        <v>0</v>
      </c>
      <c r="H32" s="80">
        <v>1714814.9582352939</v>
      </c>
      <c r="I32" s="80">
        <v>108562.6388235294</v>
      </c>
      <c r="J32" s="8">
        <v>-1823377.5970588233</v>
      </c>
      <c r="K32" s="8">
        <v>0</v>
      </c>
      <c r="L32" s="8">
        <v>0</v>
      </c>
      <c r="M32" s="8">
        <v>502940.39360824734</v>
      </c>
      <c r="N32" s="8">
        <v>31841.147525773198</v>
      </c>
      <c r="O32" s="8">
        <v>506944.44444444438</v>
      </c>
      <c r="P32" s="8">
        <f t="shared" si="0"/>
        <v>1041725.9855784649</v>
      </c>
    </row>
    <row r="33" spans="1:16" x14ac:dyDescent="0.25">
      <c r="A33" s="76">
        <f t="shared" si="1"/>
        <v>18</v>
      </c>
      <c r="B33" s="2" t="s">
        <v>196</v>
      </c>
      <c r="C33" s="77"/>
      <c r="D33" s="10"/>
      <c r="E33" s="10"/>
      <c r="F33" s="79"/>
      <c r="G33" s="80"/>
      <c r="H33" s="80"/>
      <c r="I33" s="80">
        <v>185101.41779311828</v>
      </c>
      <c r="J33" s="8">
        <v>-185101.41779311828</v>
      </c>
      <c r="K33" s="8"/>
      <c r="L33" s="8"/>
      <c r="M33" s="8"/>
      <c r="N33" s="8">
        <v>21231.066236648257</v>
      </c>
      <c r="O33" s="8"/>
      <c r="P33" s="8">
        <f t="shared" si="0"/>
        <v>21231.066236648257</v>
      </c>
    </row>
    <row r="34" spans="1:16" x14ac:dyDescent="0.25">
      <c r="A34" s="76">
        <f>A33+1</f>
        <v>19</v>
      </c>
      <c r="B34" s="2" t="s">
        <v>197</v>
      </c>
      <c r="C34" s="84"/>
      <c r="D34" s="10"/>
      <c r="E34" s="10" t="s">
        <v>198</v>
      </c>
      <c r="F34" s="81"/>
      <c r="G34" s="80"/>
      <c r="H34" s="80"/>
      <c r="I34" s="80"/>
      <c r="J34" s="8"/>
      <c r="K34" s="8">
        <v>3106312.125</v>
      </c>
      <c r="L34" s="8"/>
      <c r="M34" s="8"/>
      <c r="N34" s="8"/>
      <c r="O34" s="8"/>
      <c r="P34" s="8">
        <f t="shared" si="0"/>
        <v>3106312.125</v>
      </c>
    </row>
    <row r="35" spans="1:16" x14ac:dyDescent="0.25">
      <c r="A35" s="76">
        <f t="shared" si="1"/>
        <v>20</v>
      </c>
      <c r="B35" s="2" t="s">
        <v>199</v>
      </c>
      <c r="C35" s="84"/>
      <c r="D35" s="10"/>
      <c r="E35" s="10" t="s">
        <v>200</v>
      </c>
      <c r="F35" s="81"/>
      <c r="G35" s="80"/>
      <c r="H35" s="80"/>
      <c r="I35" s="80"/>
      <c r="J35" s="8"/>
      <c r="K35" s="8">
        <v>620800</v>
      </c>
      <c r="L35" s="8"/>
      <c r="M35" s="8"/>
      <c r="N35" s="8"/>
      <c r="O35" s="8"/>
      <c r="P35" s="8">
        <f t="shared" si="0"/>
        <v>620800</v>
      </c>
    </row>
    <row r="36" spans="1:16" x14ac:dyDescent="0.25">
      <c r="A36" s="76">
        <f t="shared" si="1"/>
        <v>21</v>
      </c>
      <c r="B36" s="2" t="s">
        <v>201</v>
      </c>
      <c r="C36" s="84"/>
      <c r="D36" s="10"/>
      <c r="E36" s="10" t="s">
        <v>200</v>
      </c>
      <c r="F36" s="81"/>
      <c r="G36" s="80"/>
      <c r="H36" s="80"/>
      <c r="I36" s="80"/>
      <c r="J36" s="8"/>
      <c r="K36" s="8">
        <v>616960</v>
      </c>
      <c r="L36" s="8"/>
      <c r="M36" s="8"/>
      <c r="N36" s="8"/>
      <c r="O36" s="8"/>
      <c r="P36" s="8">
        <f t="shared" si="0"/>
        <v>616960</v>
      </c>
    </row>
    <row r="37" spans="1:16" x14ac:dyDescent="0.25">
      <c r="A37" s="76">
        <f t="shared" si="1"/>
        <v>22</v>
      </c>
      <c r="B37" s="2" t="s">
        <v>202</v>
      </c>
      <c r="C37" s="84"/>
      <c r="D37" s="10"/>
      <c r="E37" s="10"/>
      <c r="F37" s="81"/>
      <c r="G37" s="80"/>
      <c r="H37" s="80"/>
      <c r="I37" s="80"/>
      <c r="J37" s="8"/>
      <c r="K37" s="8">
        <v>557035.78767123329</v>
      </c>
      <c r="L37" s="8"/>
      <c r="M37" s="8"/>
      <c r="N37" s="8"/>
      <c r="O37" s="8"/>
      <c r="P37" s="8">
        <f t="shared" si="0"/>
        <v>557035.78767123329</v>
      </c>
    </row>
    <row r="38" spans="1:16" x14ac:dyDescent="0.25">
      <c r="A38" s="76">
        <f t="shared" si="1"/>
        <v>23</v>
      </c>
      <c r="B38" s="2" t="s">
        <v>203</v>
      </c>
      <c r="C38" s="85"/>
      <c r="D38" s="10"/>
      <c r="E38" s="10"/>
      <c r="F38" s="81"/>
      <c r="G38" s="80"/>
      <c r="H38" s="80"/>
      <c r="I38" s="80"/>
      <c r="J38" s="8"/>
      <c r="K38" s="8">
        <v>-1428467.37</v>
      </c>
      <c r="L38" s="8"/>
      <c r="M38" s="8"/>
      <c r="N38" s="8"/>
      <c r="O38" s="8"/>
      <c r="P38" s="8">
        <f t="shared" si="0"/>
        <v>-1428467.37</v>
      </c>
    </row>
    <row r="39" spans="1:16" x14ac:dyDescent="0.25">
      <c r="A39" s="76">
        <f t="shared" si="1"/>
        <v>24</v>
      </c>
      <c r="B39" s="2" t="s">
        <v>204</v>
      </c>
      <c r="C39"/>
      <c r="D39"/>
      <c r="E39"/>
      <c r="F39"/>
      <c r="G39"/>
      <c r="H39"/>
      <c r="I39"/>
      <c r="J39"/>
      <c r="K39" s="8">
        <v>1400566.8072580644</v>
      </c>
      <c r="L39"/>
      <c r="M39"/>
      <c r="N39"/>
      <c r="O39"/>
      <c r="P39" s="8">
        <f t="shared" si="0"/>
        <v>1400566.8072580644</v>
      </c>
    </row>
    <row r="40" spans="1:16" x14ac:dyDescent="0.25">
      <c r="A40" s="76">
        <f t="shared" si="1"/>
        <v>25</v>
      </c>
      <c r="B40" s="2" t="s">
        <v>205</v>
      </c>
      <c r="C40"/>
      <c r="D40"/>
      <c r="E40"/>
      <c r="F40"/>
      <c r="G40"/>
      <c r="H40"/>
      <c r="I40"/>
      <c r="J40"/>
      <c r="K40" s="8">
        <v>982679.30806451547</v>
      </c>
      <c r="L40"/>
      <c r="M40"/>
      <c r="N40"/>
      <c r="O40"/>
      <c r="P40" s="8">
        <f t="shared" si="0"/>
        <v>982679.30806451547</v>
      </c>
    </row>
    <row r="41" spans="1:16" x14ac:dyDescent="0.25">
      <c r="A41" s="76">
        <f t="shared" si="1"/>
        <v>26</v>
      </c>
      <c r="B41" s="2" t="s">
        <v>285</v>
      </c>
      <c r="C41" s="5"/>
      <c r="D41" s="10"/>
      <c r="E41" s="10"/>
      <c r="F41" s="5"/>
      <c r="G41" s="19"/>
      <c r="H41" s="19"/>
      <c r="I41" s="19"/>
      <c r="J41" s="8">
        <v>58362736.707954668</v>
      </c>
      <c r="K41" s="8"/>
      <c r="L41" s="8"/>
      <c r="M41" s="8"/>
      <c r="N41" s="8"/>
      <c r="O41" s="8"/>
      <c r="P41" s="8"/>
    </row>
    <row r="42" spans="1:16" ht="15.75" thickBot="1" x14ac:dyDescent="0.3">
      <c r="A42" s="76">
        <f t="shared" si="1"/>
        <v>27</v>
      </c>
      <c r="B42" s="7"/>
      <c r="C42" s="8"/>
      <c r="D42" s="4" t="s">
        <v>206</v>
      </c>
      <c r="E42" s="5"/>
      <c r="F42" s="38">
        <f>SUM(F16:F41)</f>
        <v>1818317647.0588236</v>
      </c>
      <c r="G42" s="38">
        <f t="shared" ref="G42:P42" si="2">SUM(G16:G41)</f>
        <v>-4086330.7564705876</v>
      </c>
      <c r="H42" s="38">
        <f t="shared" si="2"/>
        <v>13507399.424224094</v>
      </c>
      <c r="I42" s="38">
        <f t="shared" si="2"/>
        <v>14866178.841322532</v>
      </c>
      <c r="J42" s="38">
        <f t="shared" si="2"/>
        <v>1844220474.7447608</v>
      </c>
      <c r="K42" s="38">
        <f t="shared" si="2"/>
        <v>69705064.231523246</v>
      </c>
      <c r="L42" s="38">
        <f t="shared" si="2"/>
        <v>183038.70989690721</v>
      </c>
      <c r="M42" s="38">
        <f>SUM(M16:M41)</f>
        <v>2066364.3461932386</v>
      </c>
      <c r="N42" s="38">
        <f t="shared" si="2"/>
        <v>1031854.4376799457</v>
      </c>
      <c r="O42" s="38">
        <f t="shared" si="2"/>
        <v>654444.44444444438</v>
      </c>
      <c r="P42" s="38">
        <f t="shared" si="2"/>
        <v>73640766.169737771</v>
      </c>
    </row>
    <row r="43" spans="1:16" ht="15.75" thickTop="1" x14ac:dyDescent="0.25">
      <c r="A43" s="76">
        <f t="shared" si="1"/>
        <v>28</v>
      </c>
      <c r="B43" s="7"/>
      <c r="C43" s="5"/>
      <c r="D43" s="10"/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thickBot="1" x14ac:dyDescent="0.3">
      <c r="A44" s="76">
        <f t="shared" si="1"/>
        <v>29</v>
      </c>
      <c r="B44" s="17"/>
      <c r="C44" s="8"/>
      <c r="D44" s="4" t="s">
        <v>210</v>
      </c>
      <c r="E44" s="10"/>
      <c r="F44" s="8"/>
      <c r="G44" s="8"/>
      <c r="H44" s="8"/>
      <c r="I44" s="8"/>
      <c r="J44" s="8"/>
      <c r="K44" s="8"/>
      <c r="L44" s="8"/>
      <c r="M44" s="8"/>
      <c r="N44" s="8"/>
      <c r="O44" s="8"/>
      <c r="P44" s="87">
        <f>P42/(J42-J41)</f>
        <v>4.1235516469912706E-2</v>
      </c>
    </row>
    <row r="45" spans="1:16" ht="15.75" thickTop="1" x14ac:dyDescent="0.25">
      <c r="A45" s="5"/>
      <c r="B45" s="86"/>
      <c r="C45" s="5"/>
      <c r="D45" s="10"/>
      <c r="E45" s="1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6">
    <mergeCell ref="K11:P11"/>
    <mergeCell ref="A4:P4"/>
    <mergeCell ref="A5:P5"/>
    <mergeCell ref="A6:P6"/>
    <mergeCell ref="A7:P7"/>
    <mergeCell ref="A8:P8"/>
  </mergeCells>
  <printOptions horizontalCentered="1"/>
  <pageMargins left="0.5" right="0.5" top="1" bottom="0.75" header="0.3" footer="0.3"/>
  <pageSetup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2"/>
  <sheetViews>
    <sheetView zoomScaleNormal="100" workbookViewId="0">
      <selection activeCell="D17" sqref="D17"/>
    </sheetView>
  </sheetViews>
  <sheetFormatPr defaultRowHeight="12.75" x14ac:dyDescent="0.2"/>
  <cols>
    <col min="1" max="1" width="6.85546875" style="5" customWidth="1"/>
    <col min="2" max="2" width="59.42578125" style="5" customWidth="1"/>
    <col min="3" max="3" width="14.42578125" style="5" customWidth="1"/>
    <col min="4" max="4" width="18.85546875" style="5" customWidth="1"/>
    <col min="5" max="5" width="15.7109375" style="5" customWidth="1"/>
    <col min="6" max="6" width="1.85546875" style="5" customWidth="1"/>
    <col min="7" max="7" width="9.140625" style="5" customWidth="1"/>
    <col min="8" max="16384" width="9.140625" style="5"/>
  </cols>
  <sheetData>
    <row r="1" spans="1:5" s="1" customFormat="1" ht="20.100000000000001" customHeight="1" x14ac:dyDescent="0.2">
      <c r="A1" s="190"/>
      <c r="B1" s="190"/>
      <c r="C1" s="190"/>
      <c r="D1" s="190"/>
      <c r="E1" s="3" t="s">
        <v>354</v>
      </c>
    </row>
    <row r="2" spans="1:5" s="1" customFormat="1" ht="20.100000000000001" customHeight="1" x14ac:dyDescent="0.2">
      <c r="A2" s="190"/>
      <c r="B2" s="190"/>
      <c r="C2" s="190"/>
      <c r="D2" s="190"/>
      <c r="E2" s="3" t="s">
        <v>256</v>
      </c>
    </row>
    <row r="3" spans="1:5" s="1" customFormat="1" ht="20.100000000000001" customHeight="1" x14ac:dyDescent="0.2">
      <c r="A3" s="190"/>
      <c r="B3" s="190"/>
      <c r="C3" s="190"/>
      <c r="D3" s="190"/>
      <c r="E3" s="3"/>
    </row>
    <row r="4" spans="1:5" s="1" customFormat="1" ht="20.100000000000001" customHeight="1" x14ac:dyDescent="0.2">
      <c r="A4" s="273" t="s">
        <v>63</v>
      </c>
      <c r="B4" s="274"/>
      <c r="C4" s="274"/>
      <c r="D4" s="274"/>
      <c r="E4" s="274"/>
    </row>
    <row r="5" spans="1:5" s="1" customFormat="1" ht="20.100000000000001" customHeight="1" x14ac:dyDescent="0.2">
      <c r="A5" s="273" t="s">
        <v>213</v>
      </c>
      <c r="B5" s="274"/>
      <c r="C5" s="274"/>
      <c r="D5" s="274"/>
      <c r="E5" s="274"/>
    </row>
    <row r="6" spans="1:5" s="1" customFormat="1" ht="20.100000000000001" customHeight="1" x14ac:dyDescent="0.2">
      <c r="A6" s="274" t="s">
        <v>259</v>
      </c>
      <c r="B6" s="274"/>
      <c r="C6" s="274"/>
      <c r="D6" s="274"/>
      <c r="E6" s="274"/>
    </row>
    <row r="7" spans="1:5" s="1" customFormat="1" ht="20.100000000000001" customHeight="1" x14ac:dyDescent="0.2">
      <c r="A7" s="273" t="s">
        <v>264</v>
      </c>
      <c r="B7" s="274"/>
      <c r="C7" s="274"/>
      <c r="D7" s="274"/>
      <c r="E7" s="274"/>
    </row>
    <row r="8" spans="1:5" s="1" customFormat="1" ht="20.100000000000001" customHeight="1" x14ac:dyDescent="0.2">
      <c r="A8" s="190"/>
      <c r="B8" s="190"/>
      <c r="C8" s="190"/>
      <c r="D8" s="190"/>
      <c r="E8" s="190"/>
    </row>
    <row r="9" spans="1:5" s="1" customFormat="1" ht="18.75" customHeight="1" x14ac:dyDescent="0.2"/>
    <row r="10" spans="1:5" s="1" customFormat="1" ht="7.5" customHeight="1" x14ac:dyDescent="0.2">
      <c r="A10" s="20"/>
      <c r="B10" s="20"/>
      <c r="C10" s="20"/>
      <c r="D10" s="20"/>
      <c r="E10" s="20"/>
    </row>
    <row r="11" spans="1:5" ht="24" customHeight="1" x14ac:dyDescent="0.2">
      <c r="A11" s="21" t="s">
        <v>2</v>
      </c>
      <c r="B11" s="21" t="s">
        <v>0</v>
      </c>
      <c r="C11" s="21"/>
      <c r="D11" s="21" t="s">
        <v>1</v>
      </c>
      <c r="E11" s="21" t="s">
        <v>5</v>
      </c>
    </row>
    <row r="12" spans="1:5" ht="18.95" customHeight="1" x14ac:dyDescent="0.2">
      <c r="A12" s="6"/>
      <c r="B12" s="11"/>
      <c r="C12" s="12"/>
      <c r="D12" s="12"/>
      <c r="E12" s="12"/>
    </row>
    <row r="13" spans="1:5" ht="18.95" customHeight="1" x14ac:dyDescent="0.2">
      <c r="A13" s="6">
        <v>1</v>
      </c>
      <c r="B13" s="7" t="s">
        <v>6</v>
      </c>
      <c r="C13" s="8"/>
      <c r="D13" s="195">
        <v>1</v>
      </c>
      <c r="E13" s="195">
        <v>1</v>
      </c>
    </row>
    <row r="14" spans="1:5" ht="18.95" customHeight="1" x14ac:dyDescent="0.2">
      <c r="A14" s="9"/>
      <c r="B14" s="7"/>
      <c r="C14" s="8"/>
      <c r="D14" s="195"/>
      <c r="E14" s="195"/>
    </row>
    <row r="15" spans="1:5" ht="18.95" customHeight="1" x14ac:dyDescent="0.2">
      <c r="A15" s="9">
        <v>2</v>
      </c>
      <c r="B15" s="7" t="s">
        <v>7</v>
      </c>
      <c r="C15" s="195"/>
      <c r="D15" s="195">
        <v>1.9400000000000001E-3</v>
      </c>
      <c r="E15" s="195">
        <f>D15</f>
        <v>1.9400000000000001E-3</v>
      </c>
    </row>
    <row r="16" spans="1:5" ht="18.95" customHeight="1" x14ac:dyDescent="0.2">
      <c r="A16" s="9"/>
      <c r="B16" s="7"/>
      <c r="C16" s="8"/>
      <c r="D16" s="195"/>
      <c r="E16" s="195"/>
    </row>
    <row r="17" spans="1:5" ht="18.95" customHeight="1" x14ac:dyDescent="0.2">
      <c r="A17" s="9">
        <v>3</v>
      </c>
      <c r="B17" s="7" t="s">
        <v>8</v>
      </c>
      <c r="D17" s="196">
        <v>1.941E-3</v>
      </c>
      <c r="E17" s="196">
        <f>D17</f>
        <v>1.941E-3</v>
      </c>
    </row>
    <row r="18" spans="1:5" ht="18.95" customHeight="1" x14ac:dyDescent="0.2">
      <c r="A18" s="9"/>
      <c r="B18" s="16"/>
      <c r="C18" s="8"/>
      <c r="D18" s="195"/>
      <c r="E18" s="195"/>
    </row>
    <row r="19" spans="1:5" ht="18.95" customHeight="1" x14ac:dyDescent="0.2">
      <c r="A19" s="9">
        <v>4</v>
      </c>
      <c r="B19" s="7" t="s">
        <v>260</v>
      </c>
      <c r="C19" s="8"/>
      <c r="D19" s="195">
        <f>D13-D15-D17</f>
        <v>0.99611899999999998</v>
      </c>
      <c r="E19" s="195">
        <f>E13-E15-E17</f>
        <v>0.99611899999999998</v>
      </c>
    </row>
    <row r="20" spans="1:5" ht="18.95" customHeight="1" x14ac:dyDescent="0.2">
      <c r="A20" s="9"/>
      <c r="B20" s="197"/>
      <c r="C20" s="8"/>
      <c r="D20" s="195"/>
      <c r="E20" s="195"/>
    </row>
    <row r="21" spans="1:5" ht="18.95" customHeight="1" x14ac:dyDescent="0.2">
      <c r="A21" s="9">
        <v>5</v>
      </c>
      <c r="B21" s="197" t="s">
        <v>261</v>
      </c>
      <c r="C21" s="24">
        <v>0.06</v>
      </c>
      <c r="D21" s="195">
        <f>D19*C21</f>
        <v>5.9767139999999996E-2</v>
      </c>
      <c r="E21" s="196">
        <f>D21</f>
        <v>5.9767139999999996E-2</v>
      </c>
    </row>
    <row r="22" spans="1:5" ht="18.95" customHeight="1" x14ac:dyDescent="0.2">
      <c r="A22" s="9"/>
      <c r="B22" s="197"/>
      <c r="C22" s="8"/>
      <c r="D22" s="195"/>
      <c r="E22" s="195"/>
    </row>
    <row r="23" spans="1:5" ht="18.95" customHeight="1" x14ac:dyDescent="0.2">
      <c r="A23" s="9">
        <v>6</v>
      </c>
      <c r="B23" s="7" t="s">
        <v>262</v>
      </c>
      <c r="D23" s="195"/>
      <c r="E23" s="195">
        <f>E19-E21</f>
        <v>0.93635186000000004</v>
      </c>
    </row>
    <row r="24" spans="1:5" ht="18.95" customHeight="1" x14ac:dyDescent="0.2">
      <c r="A24" s="9"/>
      <c r="B24" s="198"/>
      <c r="C24" s="8"/>
      <c r="D24" s="195"/>
      <c r="E24" s="195"/>
    </row>
    <row r="25" spans="1:5" ht="18.95" customHeight="1" x14ac:dyDescent="0.2">
      <c r="A25" s="9">
        <v>7</v>
      </c>
      <c r="B25" s="197" t="s">
        <v>265</v>
      </c>
      <c r="C25" s="24">
        <v>0.21</v>
      </c>
      <c r="D25" s="199"/>
      <c r="E25" s="196">
        <f>E23*C25</f>
        <v>0.1966338906</v>
      </c>
    </row>
    <row r="26" spans="1:5" ht="18.95" customHeight="1" x14ac:dyDescent="0.2">
      <c r="A26" s="9"/>
      <c r="B26" s="198"/>
      <c r="C26" s="8"/>
      <c r="D26" s="195"/>
      <c r="E26" s="195"/>
    </row>
    <row r="27" spans="1:5" ht="18.95" customHeight="1" thickBot="1" x14ac:dyDescent="0.25">
      <c r="A27" s="9">
        <v>8</v>
      </c>
      <c r="B27" s="197" t="s">
        <v>263</v>
      </c>
      <c r="E27" s="200">
        <f>E21+E25</f>
        <v>0.25640103059999997</v>
      </c>
    </row>
    <row r="28" spans="1:5" ht="18.95" customHeight="1" thickTop="1" x14ac:dyDescent="0.2"/>
    <row r="29" spans="1:5" ht="18.95" customHeight="1" x14ac:dyDescent="0.2">
      <c r="E29" s="201"/>
    </row>
    <row r="30" spans="1:5" ht="18.95" customHeight="1" x14ac:dyDescent="0.2">
      <c r="E30" s="201"/>
    </row>
    <row r="31" spans="1:5" ht="18.95" customHeight="1" x14ac:dyDescent="0.2">
      <c r="E31" s="195"/>
    </row>
    <row r="32" spans="1:5" ht="18.95" customHeight="1" x14ac:dyDescent="0.2">
      <c r="E32" s="195"/>
    </row>
    <row r="33" spans="5:5" ht="18.95" customHeight="1" x14ac:dyDescent="0.2">
      <c r="E33" s="195"/>
    </row>
    <row r="34" spans="5:5" ht="18.95" customHeight="1" x14ac:dyDescent="0.2">
      <c r="E34" s="195"/>
    </row>
    <row r="35" spans="5:5" ht="18.95" customHeight="1" x14ac:dyDescent="0.2"/>
    <row r="36" spans="5:5" ht="18.95" customHeight="1" x14ac:dyDescent="0.2"/>
    <row r="37" spans="5:5" ht="18.95" customHeight="1" x14ac:dyDescent="0.2"/>
    <row r="38" spans="5:5" ht="18.95" customHeight="1" x14ac:dyDescent="0.2"/>
    <row r="39" spans="5:5" ht="18.95" customHeight="1" x14ac:dyDescent="0.2"/>
    <row r="40" spans="5:5" ht="18.95" customHeight="1" x14ac:dyDescent="0.2"/>
    <row r="41" spans="5:5" ht="18.95" customHeight="1" x14ac:dyDescent="0.2"/>
    <row r="42" spans="5:5" ht="18.95" customHeight="1" x14ac:dyDescent="0.2"/>
    <row r="43" spans="5:5" ht="18.95" customHeight="1" x14ac:dyDescent="0.2"/>
    <row r="44" spans="5:5" ht="18.95" customHeight="1" x14ac:dyDescent="0.2"/>
    <row r="45" spans="5:5" ht="18.95" customHeight="1" x14ac:dyDescent="0.2"/>
    <row r="46" spans="5:5" ht="18.95" customHeight="1" x14ac:dyDescent="0.2"/>
    <row r="47" spans="5:5" ht="18.95" customHeight="1" x14ac:dyDescent="0.2"/>
    <row r="48" spans="5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</sheetData>
  <mergeCells count="4">
    <mergeCell ref="A4:E4"/>
    <mergeCell ref="A5:E5"/>
    <mergeCell ref="A6:E6"/>
    <mergeCell ref="A7:E7"/>
  </mergeCells>
  <pageMargins left="0.95" right="0.5" top="0.75" bottom="0.75" header="0.3" footer="0.3"/>
  <pageSetup scale="7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80" zoomScaleNormal="80" workbookViewId="0">
      <selection activeCell="M2" sqref="M2"/>
    </sheetView>
  </sheetViews>
  <sheetFormatPr defaultColWidth="9.140625" defaultRowHeight="15.75" x14ac:dyDescent="0.25"/>
  <cols>
    <col min="1" max="1" width="63.42578125" style="149" customWidth="1"/>
    <col min="2" max="2" width="16.85546875" style="149" bestFit="1" customWidth="1"/>
    <col min="3" max="3" width="16.85546875" style="149" customWidth="1"/>
    <col min="4" max="4" width="18.42578125" style="149" customWidth="1"/>
    <col min="5" max="5" width="16.42578125" style="149" customWidth="1"/>
    <col min="6" max="6" width="17.7109375" style="149" customWidth="1"/>
    <col min="7" max="7" width="18.85546875" style="149" customWidth="1"/>
    <col min="8" max="8" width="17.7109375" style="149" customWidth="1"/>
    <col min="9" max="9" width="12" style="149" bestFit="1" customWidth="1"/>
    <col min="10" max="11" width="14.140625" style="149" customWidth="1"/>
    <col min="12" max="12" width="4.7109375" style="149" customWidth="1"/>
    <col min="13" max="14" width="14.140625" style="149" customWidth="1"/>
    <col min="15" max="15" width="15.85546875" style="149" customWidth="1"/>
    <col min="16" max="16" width="9.28515625" style="149" bestFit="1" customWidth="1"/>
    <col min="17" max="17" width="17.5703125" style="149" bestFit="1" customWidth="1"/>
    <col min="18" max="18" width="15.42578125" style="149" bestFit="1" customWidth="1"/>
    <col min="19" max="19" width="12.7109375" style="149" bestFit="1" customWidth="1"/>
    <col min="20" max="16384" width="9.140625" style="149"/>
  </cols>
  <sheetData>
    <row r="1" spans="1:14" x14ac:dyDescent="0.25">
      <c r="A1" s="147"/>
      <c r="B1" s="148"/>
      <c r="C1" s="148"/>
      <c r="D1" s="148"/>
      <c r="E1" s="148"/>
      <c r="G1" s="150"/>
      <c r="H1" s="150"/>
      <c r="I1" s="150"/>
      <c r="J1" s="148"/>
      <c r="K1" s="151"/>
      <c r="L1" s="152"/>
      <c r="M1" s="152"/>
      <c r="N1" s="152"/>
    </row>
    <row r="2" spans="1:14" x14ac:dyDescent="0.25">
      <c r="A2" s="153"/>
      <c r="B2" s="148"/>
      <c r="C2" s="148"/>
      <c r="D2" s="148"/>
      <c r="E2" s="148"/>
      <c r="G2" s="150"/>
      <c r="H2" s="150"/>
      <c r="I2" s="150"/>
      <c r="J2" s="148"/>
      <c r="K2" s="151"/>
    </row>
    <row r="3" spans="1:14" x14ac:dyDescent="0.25">
      <c r="A3" s="153"/>
      <c r="B3" s="148"/>
      <c r="C3" s="148"/>
      <c r="D3" s="148"/>
      <c r="E3" s="148"/>
      <c r="G3" s="154"/>
      <c r="H3" s="154"/>
      <c r="I3" s="154"/>
      <c r="J3" s="148"/>
      <c r="K3" s="151"/>
    </row>
    <row r="4" spans="1:14" x14ac:dyDescent="0.25">
      <c r="A4" s="155"/>
      <c r="B4" s="148"/>
      <c r="C4" s="148"/>
      <c r="D4" s="148"/>
      <c r="E4" s="148"/>
      <c r="F4" s="148"/>
      <c r="G4" s="148"/>
      <c r="H4" s="148"/>
      <c r="I4" s="148"/>
      <c r="J4" s="151"/>
      <c r="K4" s="151"/>
      <c r="N4" s="156" t="s">
        <v>225</v>
      </c>
    </row>
    <row r="5" spans="1:14" x14ac:dyDescent="0.25">
      <c r="A5" s="151" t="s">
        <v>226</v>
      </c>
      <c r="B5" s="151"/>
      <c r="C5" s="151"/>
      <c r="D5" s="151"/>
      <c r="E5" s="151"/>
      <c r="F5" s="151"/>
      <c r="G5" s="151"/>
      <c r="H5" s="151"/>
      <c r="I5" s="151"/>
      <c r="J5" s="151"/>
      <c r="K5" s="156" t="s">
        <v>225</v>
      </c>
      <c r="M5" s="157" t="s">
        <v>227</v>
      </c>
      <c r="N5" s="149">
        <v>0.50419999999999998</v>
      </c>
    </row>
    <row r="6" spans="1:14" x14ac:dyDescent="0.25">
      <c r="A6" s="151" t="s">
        <v>228</v>
      </c>
      <c r="B6" s="151"/>
      <c r="C6" s="151"/>
      <c r="D6" s="151"/>
      <c r="E6" s="151"/>
      <c r="F6" s="151"/>
      <c r="G6" s="151"/>
      <c r="H6" s="151"/>
      <c r="I6" s="151"/>
      <c r="J6" s="158" t="s">
        <v>229</v>
      </c>
      <c r="K6" s="149">
        <v>0.33839999999999998</v>
      </c>
      <c r="M6" s="159" t="s">
        <v>230</v>
      </c>
      <c r="N6" s="149">
        <v>0.2087</v>
      </c>
    </row>
    <row r="7" spans="1:14" x14ac:dyDescent="0.25">
      <c r="A7" s="192" t="s">
        <v>253</v>
      </c>
      <c r="B7" s="161"/>
      <c r="C7" s="161"/>
      <c r="D7" s="161"/>
      <c r="E7" s="161"/>
      <c r="F7" s="161" t="s">
        <v>42</v>
      </c>
      <c r="G7" s="161"/>
      <c r="H7" s="161"/>
      <c r="I7" s="161"/>
    </row>
    <row r="8" spans="1:14" x14ac:dyDescent="0.25">
      <c r="A8" s="160"/>
      <c r="B8" s="161" t="s">
        <v>231</v>
      </c>
      <c r="C8" s="161" t="s">
        <v>232</v>
      </c>
      <c r="D8" s="161" t="s">
        <v>233</v>
      </c>
      <c r="E8" s="161" t="s">
        <v>121</v>
      </c>
      <c r="F8" s="161" t="s">
        <v>234</v>
      </c>
      <c r="G8" s="161"/>
      <c r="H8" s="161" t="s">
        <v>235</v>
      </c>
      <c r="I8" s="161" t="s">
        <v>72</v>
      </c>
      <c r="J8" s="162" t="s">
        <v>236</v>
      </c>
      <c r="K8" s="162"/>
      <c r="M8" s="162" t="s">
        <v>236</v>
      </c>
      <c r="N8" s="162"/>
    </row>
    <row r="9" spans="1:14" ht="16.5" thickBot="1" x14ac:dyDescent="0.3">
      <c r="A9" s="163" t="s">
        <v>237</v>
      </c>
      <c r="B9" s="164" t="s">
        <v>238</v>
      </c>
      <c r="C9" s="164" t="s">
        <v>238</v>
      </c>
      <c r="D9" s="164" t="s">
        <v>238</v>
      </c>
      <c r="E9" s="164" t="s">
        <v>238</v>
      </c>
      <c r="F9" s="164" t="s">
        <v>238</v>
      </c>
      <c r="G9" s="164" t="s">
        <v>216</v>
      </c>
      <c r="H9" s="164" t="s">
        <v>239</v>
      </c>
      <c r="I9" s="161" t="s">
        <v>240</v>
      </c>
      <c r="J9" s="165" t="s">
        <v>241</v>
      </c>
      <c r="K9" s="165" t="s">
        <v>242</v>
      </c>
      <c r="M9" s="165" t="s">
        <v>241</v>
      </c>
      <c r="N9" s="165" t="s">
        <v>242</v>
      </c>
    </row>
    <row r="10" spans="1:14" x14ac:dyDescent="0.25">
      <c r="B10" s="166"/>
      <c r="C10" s="166"/>
      <c r="D10" s="166"/>
      <c r="E10" s="166"/>
      <c r="F10" s="166"/>
      <c r="G10" s="166"/>
      <c r="H10" s="166"/>
      <c r="I10" s="166"/>
      <c r="J10" s="167"/>
      <c r="K10" s="168"/>
      <c r="L10" s="168"/>
      <c r="M10" s="168"/>
    </row>
    <row r="11" spans="1:14" x14ac:dyDescent="0.25">
      <c r="A11" s="149" t="s">
        <v>243</v>
      </c>
      <c r="B11" s="167">
        <v>104011081</v>
      </c>
      <c r="C11" s="167">
        <v>23222068.37169949</v>
      </c>
      <c r="D11" s="167">
        <v>84917418.250368789</v>
      </c>
      <c r="E11" s="167">
        <v>2013223.6865790721</v>
      </c>
      <c r="F11" s="167">
        <f>SUM(B11:E11)</f>
        <v>214163791.30864736</v>
      </c>
      <c r="G11" s="169">
        <v>4725782.0657451451</v>
      </c>
      <c r="H11" s="170">
        <v>2.2066204734555103E-2</v>
      </c>
      <c r="I11" s="171">
        <v>19516321.910371594</v>
      </c>
      <c r="J11" s="167">
        <f>$K$6*I11</f>
        <v>6604323.3344697468</v>
      </c>
      <c r="K11" s="167">
        <f>$K$6*(I11/12*13)</f>
        <v>7154683.6123422254</v>
      </c>
      <c r="L11" s="168"/>
      <c r="M11" s="167">
        <f>$N$5*I11</f>
        <v>9840129.5072093569</v>
      </c>
      <c r="N11" s="167">
        <f>$N$5*(I11/12*13)</f>
        <v>10660140.299476804</v>
      </c>
    </row>
    <row r="12" spans="1:14" x14ac:dyDescent="0.25">
      <c r="B12" s="166"/>
      <c r="C12" s="166"/>
      <c r="D12" s="166"/>
      <c r="E12" s="166"/>
      <c r="F12" s="166"/>
      <c r="G12" s="169"/>
      <c r="H12" s="172"/>
      <c r="I12" s="171"/>
      <c r="K12" s="168"/>
      <c r="L12" s="168"/>
      <c r="M12" s="168"/>
    </row>
    <row r="13" spans="1:14" x14ac:dyDescent="0.25">
      <c r="A13" s="149" t="s">
        <v>217</v>
      </c>
      <c r="B13" s="169">
        <v>35389889.218562931</v>
      </c>
      <c r="C13" s="169">
        <v>9960508.4727250375</v>
      </c>
      <c r="D13" s="169">
        <v>43699222.094499528</v>
      </c>
      <c r="E13" s="169">
        <v>1178151.7942125057</v>
      </c>
      <c r="F13" s="169">
        <f>SUM(B13:E13)</f>
        <v>90227771.579999998</v>
      </c>
      <c r="G13" s="169">
        <v>1992836.9447115809</v>
      </c>
      <c r="H13" s="172">
        <v>2.2086735711350714E-2</v>
      </c>
      <c r="I13" s="171">
        <v>10134935.62608517</v>
      </c>
      <c r="J13" s="167">
        <f>$K$6*I13</f>
        <v>3429662.2158672214</v>
      </c>
      <c r="K13" s="167">
        <f>$K$6*(I13/12*13)</f>
        <v>3715467.400522823</v>
      </c>
      <c r="L13" s="168"/>
      <c r="M13" s="167">
        <f>$N$6*I13</f>
        <v>2115161.0651639747</v>
      </c>
      <c r="N13" s="167">
        <f>$N$6*(I13/12*13)</f>
        <v>2291424.4872609731</v>
      </c>
    </row>
    <row r="14" spans="1:14" x14ac:dyDescent="0.25">
      <c r="B14" s="169"/>
      <c r="C14" s="169"/>
      <c r="D14" s="169"/>
      <c r="E14" s="169"/>
      <c r="F14" s="169"/>
      <c r="G14" s="169"/>
      <c r="H14" s="172"/>
      <c r="I14" s="171"/>
      <c r="K14" s="168"/>
      <c r="L14" s="168"/>
      <c r="M14" s="168"/>
    </row>
    <row r="15" spans="1:14" x14ac:dyDescent="0.25">
      <c r="A15" s="149" t="s">
        <v>218</v>
      </c>
      <c r="B15" s="169">
        <v>4572367.2424438652</v>
      </c>
      <c r="C15" s="169">
        <v>1001477.2122162073</v>
      </c>
      <c r="D15" s="169">
        <v>6139166.1253399272</v>
      </c>
      <c r="E15" s="169">
        <v>0</v>
      </c>
      <c r="F15" s="169">
        <f>SUM(B15:E15)</f>
        <v>11713010.58</v>
      </c>
      <c r="G15" s="169">
        <v>-4.5535484608262777</v>
      </c>
      <c r="H15" s="172">
        <v>-3.8881962114161021E-7</v>
      </c>
      <c r="I15" s="171">
        <v>1948733.4118655899</v>
      </c>
      <c r="J15" s="167">
        <f>$K$6*I15</f>
        <v>659451.38657531561</v>
      </c>
      <c r="K15" s="167">
        <f>$K$6*(I15/12*13)</f>
        <v>714405.66878992517</v>
      </c>
      <c r="L15" s="168"/>
      <c r="M15" s="167">
        <f>$N$6*I15</f>
        <v>406700.66305634863</v>
      </c>
      <c r="N15" s="167">
        <f>$N$6*(I15/12*13)</f>
        <v>440592.38497771096</v>
      </c>
    </row>
    <row r="16" spans="1:14" x14ac:dyDescent="0.25">
      <c r="B16" s="169"/>
      <c r="C16" s="169"/>
      <c r="D16" s="169"/>
      <c r="E16" s="169"/>
      <c r="F16" s="169"/>
      <c r="G16" s="169"/>
      <c r="H16" s="172"/>
      <c r="I16" s="171"/>
      <c r="K16" s="168"/>
      <c r="L16" s="168"/>
      <c r="M16" s="167"/>
    </row>
    <row r="17" spans="1:14" x14ac:dyDescent="0.25">
      <c r="A17" s="149" t="s">
        <v>219</v>
      </c>
      <c r="B17" s="169">
        <v>7010</v>
      </c>
      <c r="C17" s="169">
        <v>0</v>
      </c>
      <c r="D17" s="169">
        <v>29.58996422013707</v>
      </c>
      <c r="E17" s="169">
        <v>1.3341336732703244</v>
      </c>
      <c r="F17" s="169">
        <f>SUM(B17:E17)</f>
        <v>7040.9240978934076</v>
      </c>
      <c r="G17" s="173">
        <v>1288.0843199999981</v>
      </c>
      <c r="H17" s="174">
        <v>0.18293121238080332</v>
      </c>
      <c r="I17" s="171">
        <v>7.1999999999999993</v>
      </c>
      <c r="J17" s="167">
        <f>$K$6*I17</f>
        <v>2.4364799999999995</v>
      </c>
      <c r="K17" s="167">
        <f>$K$6*(I17/12*13)</f>
        <v>2.6395199999999996</v>
      </c>
      <c r="L17" s="168"/>
      <c r="M17" s="167">
        <f>$N$6*I17</f>
        <v>1.5026399999999998</v>
      </c>
      <c r="N17" s="167">
        <f>$N$6*(I17/12*13)</f>
        <v>1.6278599999999999</v>
      </c>
    </row>
    <row r="18" spans="1:14" x14ac:dyDescent="0.25">
      <c r="B18" s="169"/>
      <c r="C18" s="169"/>
      <c r="D18" s="169"/>
      <c r="E18" s="169"/>
      <c r="F18" s="169"/>
      <c r="G18" s="173"/>
      <c r="H18" s="174"/>
      <c r="I18" s="171"/>
      <c r="K18" s="168"/>
      <c r="L18" s="168"/>
      <c r="M18" s="168"/>
    </row>
    <row r="19" spans="1:14" x14ac:dyDescent="0.25">
      <c r="A19" s="149" t="s">
        <v>220</v>
      </c>
      <c r="B19" s="169">
        <v>311227.1161064675</v>
      </c>
      <c r="C19" s="169">
        <v>250361.27633132337</v>
      </c>
      <c r="D19" s="169">
        <v>504944.4958231686</v>
      </c>
      <c r="E19" s="169">
        <v>10394.581739040445</v>
      </c>
      <c r="F19" s="173">
        <f>SUM(B19:E19)</f>
        <v>1076927.47</v>
      </c>
      <c r="G19" s="173">
        <v>-71575</v>
      </c>
      <c r="H19" s="174">
        <v>-6.6462228924160011E-2</v>
      </c>
      <c r="I19" s="171">
        <v>384116.30106506636</v>
      </c>
      <c r="J19" s="167">
        <f>$K$6*I19</f>
        <v>129984.95628041845</v>
      </c>
      <c r="K19" s="167">
        <f>$K$6*(I19/12*13)</f>
        <v>140817.03597045332</v>
      </c>
      <c r="L19" s="168"/>
      <c r="M19" s="167">
        <f>$N$6*I19</f>
        <v>80165.07203227935</v>
      </c>
      <c r="N19" s="167">
        <f>$N$6*(I19/12*13)</f>
        <v>86845.494701635966</v>
      </c>
    </row>
    <row r="20" spans="1:14" x14ac:dyDescent="0.25">
      <c r="B20" s="169"/>
      <c r="C20" s="169"/>
      <c r="D20" s="169"/>
      <c r="E20" s="169"/>
      <c r="F20" s="173"/>
      <c r="G20" s="173"/>
      <c r="H20" s="174"/>
      <c r="I20" s="171"/>
      <c r="K20" s="168"/>
      <c r="L20" s="168"/>
      <c r="M20" s="168"/>
    </row>
    <row r="21" spans="1:14" x14ac:dyDescent="0.25">
      <c r="A21" s="149" t="s">
        <v>244</v>
      </c>
      <c r="B21" s="169">
        <v>5841334.8177616652</v>
      </c>
      <c r="C21" s="169">
        <v>0</v>
      </c>
      <c r="D21" s="169">
        <v>0</v>
      </c>
      <c r="E21" s="169">
        <v>1930120.2622383344</v>
      </c>
      <c r="F21" s="173">
        <f>SUM(B21:E21)</f>
        <v>7771455.0800000001</v>
      </c>
      <c r="G21" s="173">
        <v>169931.66086180136</v>
      </c>
      <c r="H21" s="174">
        <v>2.2042266713000479E-2</v>
      </c>
      <c r="I21" s="171">
        <v>12313888.497179303</v>
      </c>
      <c r="J21" s="167">
        <f>$K$6*I21</f>
        <v>4167019.8674454759</v>
      </c>
      <c r="K21" s="167">
        <f>$K$6*(I21/12*13)</f>
        <v>4514271.5230659321</v>
      </c>
      <c r="L21" s="168"/>
      <c r="M21" s="167">
        <f>$N$6*I21</f>
        <v>2569908.5293613207</v>
      </c>
      <c r="N21" s="167">
        <f>$N$6*(I21/12*13)</f>
        <v>2784067.5734747639</v>
      </c>
    </row>
    <row r="22" spans="1:14" x14ac:dyDescent="0.25">
      <c r="B22" s="169"/>
      <c r="C22" s="169"/>
      <c r="D22" s="169"/>
      <c r="E22" s="169"/>
      <c r="F22" s="173"/>
      <c r="G22" s="173"/>
      <c r="H22" s="174"/>
      <c r="I22" s="171"/>
      <c r="K22" s="168"/>
      <c r="L22" s="168"/>
      <c r="M22" s="168"/>
    </row>
    <row r="23" spans="1:14" x14ac:dyDescent="0.25">
      <c r="A23" s="149" t="s">
        <v>221</v>
      </c>
      <c r="B23" s="169">
        <v>2291783.1082167318</v>
      </c>
      <c r="C23" s="169">
        <v>0</v>
      </c>
      <c r="D23" s="169">
        <v>630517.45178326871</v>
      </c>
      <c r="E23" s="169">
        <v>0</v>
      </c>
      <c r="F23" s="173">
        <f>SUM(B23:E23)</f>
        <v>2922300.5600000005</v>
      </c>
      <c r="G23" s="175">
        <v>-70922.011408440769</v>
      </c>
      <c r="H23" s="170">
        <v>-2.426923923541963E-2</v>
      </c>
      <c r="I23" s="171">
        <v>154579.79999999999</v>
      </c>
      <c r="J23" s="167">
        <f>$K$6*I23</f>
        <v>52309.804319999996</v>
      </c>
      <c r="K23" s="167">
        <f>$K$6*(I23/12*13)</f>
        <v>56668.954679999988</v>
      </c>
      <c r="L23" s="168"/>
      <c r="M23" s="167">
        <f>$N$6*I23</f>
        <v>32260.804259999997</v>
      </c>
      <c r="N23" s="167">
        <f>$N$6*(I23/12*13)</f>
        <v>34949.204614999995</v>
      </c>
    </row>
    <row r="24" spans="1:14" x14ac:dyDescent="0.25">
      <c r="B24" s="166"/>
      <c r="C24" s="166"/>
      <c r="D24" s="166"/>
      <c r="E24" s="166"/>
      <c r="F24" s="176"/>
      <c r="G24" s="166"/>
      <c r="H24" s="166"/>
      <c r="I24" s="171"/>
      <c r="K24" s="168"/>
      <c r="L24" s="168"/>
      <c r="M24" s="168"/>
    </row>
    <row r="25" spans="1:14" x14ac:dyDescent="0.25">
      <c r="A25" s="149" t="s">
        <v>245</v>
      </c>
      <c r="B25" s="169">
        <v>8547.119999999999</v>
      </c>
      <c r="C25" s="169">
        <v>546.24</v>
      </c>
      <c r="D25" s="169">
        <v>10099.84</v>
      </c>
      <c r="E25" s="169">
        <v>16.079999999999998</v>
      </c>
      <c r="F25" s="169">
        <f>SUM(B25:E25)</f>
        <v>19209.28</v>
      </c>
      <c r="G25" s="169">
        <v>39577.010917498861</v>
      </c>
      <c r="H25" s="170">
        <v>2.0603068369818573</v>
      </c>
      <c r="I25" s="171">
        <v>2970.2</v>
      </c>
      <c r="J25" s="167">
        <f>$K$6*I25</f>
        <v>1005.1156799999999</v>
      </c>
      <c r="K25" s="167">
        <f>$K$6*(I25/12*13)</f>
        <v>1088.8753199999999</v>
      </c>
      <c r="L25" s="168"/>
      <c r="M25" s="167">
        <f>$N$6*I25</f>
        <v>619.88073999999995</v>
      </c>
      <c r="N25" s="167">
        <f>$N$6*(I25/12*13)</f>
        <v>671.53746833333321</v>
      </c>
    </row>
    <row r="26" spans="1:14" x14ac:dyDescent="0.25">
      <c r="B26" s="166"/>
      <c r="C26" s="166"/>
      <c r="D26" s="166"/>
      <c r="E26" s="166"/>
      <c r="F26" s="176"/>
      <c r="G26" s="166"/>
      <c r="H26" s="166"/>
      <c r="I26" s="171"/>
    </row>
    <row r="27" spans="1:14" x14ac:dyDescent="0.25">
      <c r="A27" s="149" t="s">
        <v>246</v>
      </c>
      <c r="B27" s="177">
        <f t="shared" ref="B27:E27" si="0">SUM(B10:B25)</f>
        <v>152433239.62309167</v>
      </c>
      <c r="C27" s="177">
        <f t="shared" si="0"/>
        <v>34434961.572972059</v>
      </c>
      <c r="D27" s="177">
        <f t="shared" si="0"/>
        <v>135901397.84777892</v>
      </c>
      <c r="E27" s="177">
        <f t="shared" si="0"/>
        <v>5131907.7389026266</v>
      </c>
      <c r="F27" s="177">
        <f>SUM(F10:F25)</f>
        <v>327901506.78274524</v>
      </c>
      <c r="G27" s="177">
        <f>SUM(G11:G25)</f>
        <v>6786914.2015991248</v>
      </c>
      <c r="H27" s="178">
        <f>G27/F27</f>
        <v>2.0698026880662888E-2</v>
      </c>
      <c r="I27" s="171"/>
      <c r="J27" s="177">
        <f>SUM(J11:J25)</f>
        <v>15043759.117118178</v>
      </c>
      <c r="K27" s="177">
        <f>SUM(K11:K25)</f>
        <v>16297405.710211359</v>
      </c>
      <c r="M27" s="177">
        <f>SUM(M11:M25)</f>
        <v>15044947.024463281</v>
      </c>
      <c r="N27" s="177">
        <f>SUM(N11:N25)</f>
        <v>16298692.609835222</v>
      </c>
    </row>
    <row r="28" spans="1:14" x14ac:dyDescent="0.25">
      <c r="B28" s="166"/>
      <c r="C28" s="166"/>
      <c r="D28" s="166"/>
      <c r="E28" s="166"/>
      <c r="F28" s="176"/>
      <c r="G28" s="179"/>
      <c r="H28" s="174"/>
      <c r="I28" s="174"/>
    </row>
    <row r="29" spans="1:14" x14ac:dyDescent="0.25">
      <c r="A29" s="180" t="s">
        <v>247</v>
      </c>
      <c r="B29" s="181">
        <v>1168995</v>
      </c>
      <c r="C29" s="176"/>
      <c r="D29" s="176"/>
      <c r="E29" s="176"/>
      <c r="F29" s="173">
        <f>B29</f>
        <v>1168995</v>
      </c>
      <c r="G29" s="179"/>
      <c r="H29" s="174"/>
      <c r="I29" s="174"/>
    </row>
    <row r="30" spans="1:14" x14ac:dyDescent="0.25">
      <c r="A30" s="180" t="s">
        <v>248</v>
      </c>
      <c r="B30" s="173">
        <v>477465</v>
      </c>
      <c r="C30" s="176"/>
      <c r="D30" s="176"/>
      <c r="E30" s="176"/>
      <c r="F30" s="173">
        <f>B30</f>
        <v>477465</v>
      </c>
      <c r="G30" s="179"/>
      <c r="H30" s="174"/>
      <c r="I30" s="174"/>
    </row>
    <row r="31" spans="1:14" x14ac:dyDescent="0.25">
      <c r="A31" s="180"/>
      <c r="B31" s="176"/>
      <c r="C31" s="176"/>
      <c r="D31" s="176"/>
      <c r="E31" s="176"/>
      <c r="F31" s="176"/>
      <c r="G31" s="176"/>
      <c r="H31" s="176"/>
      <c r="I31" s="176"/>
    </row>
    <row r="32" spans="1:14" x14ac:dyDescent="0.25">
      <c r="A32" s="180" t="s">
        <v>249</v>
      </c>
      <c r="B32" s="177">
        <f>+B27+B29+B30</f>
        <v>154079699.62309167</v>
      </c>
      <c r="C32" s="177">
        <f t="shared" ref="C32:F32" si="1">+C27+C29+C30</f>
        <v>34434961.572972059</v>
      </c>
      <c r="D32" s="177">
        <f t="shared" si="1"/>
        <v>135901397.84777892</v>
      </c>
      <c r="E32" s="177">
        <f t="shared" si="1"/>
        <v>5131907.7389026266</v>
      </c>
      <c r="F32" s="177">
        <f t="shared" si="1"/>
        <v>329547966.78274524</v>
      </c>
      <c r="G32" s="177">
        <f>+G27+G29+G30</f>
        <v>6786914.2015991248</v>
      </c>
      <c r="H32" s="178">
        <f>G32/F32</f>
        <v>2.0594617129206575E-2</v>
      </c>
      <c r="I32" s="182"/>
    </row>
    <row r="33" spans="2:14" x14ac:dyDescent="0.25">
      <c r="F33" s="180"/>
      <c r="G33" s="180"/>
      <c r="H33" s="180"/>
      <c r="I33" s="180"/>
    </row>
    <row r="35" spans="2:14" x14ac:dyDescent="0.25">
      <c r="B35" s="183"/>
      <c r="C35" s="183"/>
      <c r="D35" s="183"/>
      <c r="E35" s="183"/>
      <c r="F35" s="183"/>
      <c r="G35" s="183"/>
      <c r="H35" s="183"/>
      <c r="I35" s="183"/>
    </row>
    <row r="37" spans="2:14" ht="31.5" x14ac:dyDescent="0.25">
      <c r="G37" s="184" t="s">
        <v>250</v>
      </c>
      <c r="H37" s="184" t="s">
        <v>251</v>
      </c>
      <c r="J37" s="185" t="s">
        <v>252</v>
      </c>
      <c r="K37" s="166" t="s">
        <v>236</v>
      </c>
      <c r="M37" s="184" t="s">
        <v>252</v>
      </c>
      <c r="N37" s="166" t="s">
        <v>236</v>
      </c>
    </row>
    <row r="38" spans="2:14" x14ac:dyDescent="0.25">
      <c r="F38" s="149" t="s">
        <v>214</v>
      </c>
      <c r="G38" s="186">
        <f>F11+G11</f>
        <v>218889573.37439251</v>
      </c>
      <c r="H38" s="187">
        <f>ROUND(G38/$G$40,3)</f>
        <v>0.65400000000000003</v>
      </c>
      <c r="J38" s="188">
        <f>K38/$G38</f>
        <v>3.2686269620091635E-2</v>
      </c>
      <c r="K38" s="186">
        <f>K11</f>
        <v>7154683.6123422254</v>
      </c>
      <c r="M38" s="188">
        <f>N38/$G38</f>
        <v>4.8700996283836305E-2</v>
      </c>
      <c r="N38" s="186">
        <f>N11</f>
        <v>10660140.299476804</v>
      </c>
    </row>
    <row r="39" spans="2:14" x14ac:dyDescent="0.25">
      <c r="F39" s="149" t="s">
        <v>215</v>
      </c>
      <c r="G39" s="186">
        <f>G40-G38</f>
        <v>115798847.60995185</v>
      </c>
      <c r="H39" s="187">
        <f>ROUND(G39/$G$40,3)</f>
        <v>0.34599999999999997</v>
      </c>
      <c r="J39" s="188">
        <f t="shared" ref="J39:J40" si="2">K39/$G39</f>
        <v>7.8953480855567693E-2</v>
      </c>
      <c r="K39" s="186">
        <f>K40-K38</f>
        <v>9142722.0978691336</v>
      </c>
      <c r="M39" s="188">
        <f t="shared" ref="M39:M40" si="3">N39/$G39</f>
        <v>4.8692646142307859E-2</v>
      </c>
      <c r="N39" s="186">
        <f>N40-N38</f>
        <v>5638552.3103584182</v>
      </c>
    </row>
    <row r="40" spans="2:14" x14ac:dyDescent="0.25">
      <c r="F40" s="157" t="s">
        <v>42</v>
      </c>
      <c r="G40" s="186">
        <f>F27+G27</f>
        <v>334688420.98434436</v>
      </c>
      <c r="J40" s="188">
        <f t="shared" si="2"/>
        <v>4.8694262150687603E-2</v>
      </c>
      <c r="K40" s="186">
        <f>K27</f>
        <v>16297405.710211359</v>
      </c>
      <c r="M40" s="188">
        <f t="shared" si="3"/>
        <v>4.869810721834808E-2</v>
      </c>
      <c r="N40" s="186">
        <f>N27</f>
        <v>16298692.609835222</v>
      </c>
    </row>
    <row r="42" spans="2:14" x14ac:dyDescent="0.25">
      <c r="K42" s="189"/>
    </row>
    <row r="43" spans="2:14" x14ac:dyDescent="0.25">
      <c r="K43" s="189"/>
    </row>
    <row r="44" spans="2:14" x14ac:dyDescent="0.25">
      <c r="K44" s="189"/>
    </row>
  </sheetData>
  <printOptions horizontalCentered="1"/>
  <pageMargins left="0.75" right="0.75" top="1.75" bottom="0.5" header="0.75" footer="0.25"/>
  <pageSetup paperSize="3" scale="77" orientation="landscape" r:id="rId1"/>
  <headerFooter>
    <oddHeader>&amp;C&amp;"Times New Roman,Bold"&amp;12Louisville Gas and Electric Company
Case No. 2016-00371
Summary of Proposed Gas Revenue Increase
Forecast Period Sales for the Twelve Months Ended June 30, 2018
Gas Operations</oddHeader>
  </headerFooter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85" zoomScaleNormal="85" workbookViewId="0">
      <pane xSplit="1" ySplit="3" topLeftCell="D4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28.7109375" style="40" bestFit="1" customWidth="1"/>
    <col min="2" max="16" width="15.7109375" style="40" customWidth="1"/>
    <col min="17" max="16384" width="9.140625" style="40"/>
  </cols>
  <sheetData>
    <row r="1" spans="1:17" s="44" customFormat="1" ht="18.75" x14ac:dyDescent="0.3">
      <c r="A1" s="54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</row>
    <row r="2" spans="1:17" s="46" customFormat="1" x14ac:dyDescent="0.2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s="46" customForma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7.25" x14ac:dyDescent="0.4">
      <c r="A4" s="47" t="s">
        <v>69</v>
      </c>
      <c r="B4" s="48">
        <v>42917</v>
      </c>
      <c r="C4" s="48">
        <v>42948</v>
      </c>
      <c r="D4" s="48">
        <v>42979</v>
      </c>
      <c r="E4" s="48">
        <v>43009</v>
      </c>
      <c r="F4" s="48">
        <v>43040</v>
      </c>
      <c r="G4" s="48">
        <v>43070</v>
      </c>
      <c r="H4" s="48">
        <v>43101</v>
      </c>
      <c r="I4" s="48">
        <v>43132</v>
      </c>
      <c r="J4" s="48">
        <v>43160</v>
      </c>
      <c r="K4" s="48">
        <v>43191</v>
      </c>
      <c r="L4" s="48">
        <v>43221</v>
      </c>
      <c r="M4" s="48">
        <v>43252</v>
      </c>
      <c r="N4" s="48" t="s">
        <v>55</v>
      </c>
    </row>
    <row r="5" spans="1:17" s="53" customFormat="1" x14ac:dyDescent="0.25">
      <c r="A5" s="53" t="s">
        <v>56</v>
      </c>
      <c r="B5" s="49">
        <v>5194022.5</v>
      </c>
      <c r="C5" s="49">
        <v>5193983</v>
      </c>
      <c r="D5" s="49">
        <v>5189104.5</v>
      </c>
      <c r="E5" s="49">
        <v>5196575</v>
      </c>
      <c r="F5" s="49">
        <v>5207172</v>
      </c>
      <c r="G5" s="49">
        <v>5230860</v>
      </c>
      <c r="H5" s="49">
        <v>5242608</v>
      </c>
      <c r="I5" s="49">
        <v>5246477</v>
      </c>
      <c r="J5" s="49">
        <v>5249482.5</v>
      </c>
      <c r="K5" s="49">
        <v>5235527</v>
      </c>
      <c r="L5" s="49">
        <v>5219156.5</v>
      </c>
      <c r="M5" s="49">
        <v>5210430.5</v>
      </c>
      <c r="N5" s="49">
        <f>SUM(B5:M5)</f>
        <v>62615398.5</v>
      </c>
    </row>
    <row r="6" spans="1:17" s="53" customFormat="1" x14ac:dyDescent="0.25">
      <c r="A6" s="53" t="s">
        <v>70</v>
      </c>
      <c r="B6" s="49">
        <v>2107123.8729907773</v>
      </c>
      <c r="C6" s="49">
        <v>2145275.9581801528</v>
      </c>
      <c r="D6" s="49">
        <v>2304309.5651057162</v>
      </c>
      <c r="E6" s="49">
        <v>3961349.1264316179</v>
      </c>
      <c r="F6" s="49">
        <v>8229925.4087788472</v>
      </c>
      <c r="G6" s="49">
        <v>14294746.399846816</v>
      </c>
      <c r="H6" s="49">
        <v>17809416.309193101</v>
      </c>
      <c r="I6" s="49">
        <v>15208408.818610508</v>
      </c>
      <c r="J6" s="49">
        <v>10775707.243391974</v>
      </c>
      <c r="K6" s="49">
        <v>5214266.3137491746</v>
      </c>
      <c r="L6" s="49">
        <v>3257152.4167579664</v>
      </c>
      <c r="M6" s="49">
        <v>2265468.4412868656</v>
      </c>
      <c r="N6" s="49">
        <f t="shared" ref="N6:N7" si="0">SUM(B6:M6)</f>
        <v>87573149.874323517</v>
      </c>
    </row>
    <row r="7" spans="1:17" s="53" customFormat="1" ht="17.25" x14ac:dyDescent="0.4">
      <c r="A7" s="53" t="s">
        <v>71</v>
      </c>
      <c r="B7" s="55">
        <v>187057.6269</v>
      </c>
      <c r="C7" s="55">
        <v>187057.6269</v>
      </c>
      <c r="D7" s="55">
        <v>187057.6269</v>
      </c>
      <c r="E7" s="55">
        <v>187057.6269</v>
      </c>
      <c r="F7" s="55">
        <v>187057.6269</v>
      </c>
      <c r="G7" s="55">
        <v>187057.6269</v>
      </c>
      <c r="H7" s="55">
        <v>187057.6269</v>
      </c>
      <c r="I7" s="55">
        <v>187057.6269</v>
      </c>
      <c r="J7" s="55">
        <v>187057.6269</v>
      </c>
      <c r="K7" s="55">
        <v>187057.6269</v>
      </c>
      <c r="L7" s="55">
        <v>187057.6269</v>
      </c>
      <c r="M7" s="55">
        <v>187057.6269</v>
      </c>
      <c r="N7" s="55">
        <f t="shared" si="0"/>
        <v>2244691.5227999999</v>
      </c>
    </row>
    <row r="8" spans="1:17" s="53" customFormat="1" ht="17.25" x14ac:dyDescent="0.4">
      <c r="A8" s="56" t="s">
        <v>57</v>
      </c>
      <c r="B8" s="57">
        <f t="shared" ref="B8:N8" si="1">SUM(B5:B7)</f>
        <v>7488203.9998907773</v>
      </c>
      <c r="C8" s="57">
        <f t="shared" si="1"/>
        <v>7526316.5850801524</v>
      </c>
      <c r="D8" s="57">
        <f t="shared" si="1"/>
        <v>7680471.6920057153</v>
      </c>
      <c r="E8" s="57">
        <f t="shared" si="1"/>
        <v>9344981.7533316184</v>
      </c>
      <c r="F8" s="57">
        <f t="shared" si="1"/>
        <v>13624155.035678847</v>
      </c>
      <c r="G8" s="57">
        <f t="shared" si="1"/>
        <v>19712664.026746813</v>
      </c>
      <c r="H8" s="57">
        <f t="shared" si="1"/>
        <v>23239081.936093099</v>
      </c>
      <c r="I8" s="57">
        <f t="shared" si="1"/>
        <v>20641943.445510507</v>
      </c>
      <c r="J8" s="57">
        <f t="shared" si="1"/>
        <v>16212247.370291974</v>
      </c>
      <c r="K8" s="57">
        <f t="shared" si="1"/>
        <v>10636850.940649176</v>
      </c>
      <c r="L8" s="57">
        <f t="shared" si="1"/>
        <v>8663366.5436579678</v>
      </c>
      <c r="M8" s="57">
        <f t="shared" si="1"/>
        <v>7662956.5681868652</v>
      </c>
      <c r="N8" s="57">
        <f t="shared" si="1"/>
        <v>152433239.89712352</v>
      </c>
      <c r="O8" s="50">
        <v>152433239.62309167</v>
      </c>
      <c r="P8" s="50">
        <f>N8-O8</f>
        <v>0.27403184771537781</v>
      </c>
    </row>
    <row r="9" spans="1:17" s="53" customFormat="1" x14ac:dyDescent="0.25"/>
    <row r="10" spans="1:17" s="53" customFormat="1" ht="17.25" x14ac:dyDescent="0.4">
      <c r="A10" s="53" t="s">
        <v>72</v>
      </c>
      <c r="B10" s="58">
        <v>1460734.6751009647</v>
      </c>
      <c r="C10" s="58">
        <v>1521345.8675550926</v>
      </c>
      <c r="D10" s="58">
        <v>1608015.1293030742</v>
      </c>
      <c r="E10" s="58">
        <v>2583797.5950340074</v>
      </c>
      <c r="F10" s="58">
        <v>4386580.1670581419</v>
      </c>
      <c r="G10" s="58">
        <v>6728815.4365725731</v>
      </c>
      <c r="H10" s="58">
        <v>8097443.6575118061</v>
      </c>
      <c r="I10" s="58">
        <v>6938838.982707683</v>
      </c>
      <c r="J10" s="58">
        <v>5021912.2099013254</v>
      </c>
      <c r="K10" s="58">
        <v>2710261.8947777832</v>
      </c>
      <c r="L10" s="58">
        <v>1895546.9563737209</v>
      </c>
      <c r="M10" s="58">
        <v>1502260.3746705505</v>
      </c>
      <c r="N10" s="58">
        <f>SUM(B10:M10)</f>
        <v>44455552.946566723</v>
      </c>
      <c r="O10" s="58">
        <v>44455552.946566723</v>
      </c>
      <c r="P10" s="51">
        <f>N10-O10</f>
        <v>0</v>
      </c>
    </row>
    <row r="12" spans="1:17" ht="17.25" x14ac:dyDescent="0.4">
      <c r="A12" s="40" t="s">
        <v>73</v>
      </c>
      <c r="B12" s="52">
        <f>B8/B10</f>
        <v>5.1263272704697034</v>
      </c>
      <c r="C12" s="52">
        <f t="shared" ref="C12:N12" si="2">C8/C10</f>
        <v>4.9471436742885171</v>
      </c>
      <c r="D12" s="52">
        <f t="shared" si="2"/>
        <v>4.7763678040358295</v>
      </c>
      <c r="E12" s="52">
        <f t="shared" si="2"/>
        <v>3.6167623080431817</v>
      </c>
      <c r="F12" s="52">
        <f t="shared" si="2"/>
        <v>3.1058716623925013</v>
      </c>
      <c r="G12" s="52">
        <f t="shared" si="2"/>
        <v>2.9295890506379774</v>
      </c>
      <c r="H12" s="52">
        <f t="shared" si="2"/>
        <v>2.8699282043827194</v>
      </c>
      <c r="I12" s="52">
        <f t="shared" si="2"/>
        <v>2.9748411077058283</v>
      </c>
      <c r="J12" s="52">
        <f t="shared" si="2"/>
        <v>3.2283016294724365</v>
      </c>
      <c r="K12" s="52">
        <f t="shared" si="2"/>
        <v>3.9246579679788844</v>
      </c>
      <c r="L12" s="52">
        <f t="shared" si="2"/>
        <v>4.5703782301607738</v>
      </c>
      <c r="M12" s="52">
        <f t="shared" si="2"/>
        <v>5.1009510051593896</v>
      </c>
      <c r="N12" s="52">
        <f t="shared" si="2"/>
        <v>3.4288908762498216</v>
      </c>
    </row>
    <row r="16" spans="1:17" x14ac:dyDescent="0.25">
      <c r="A16" s="53"/>
      <c r="L16" s="96" t="s">
        <v>72</v>
      </c>
      <c r="M16" s="94" t="s">
        <v>214</v>
      </c>
      <c r="N16" s="93">
        <v>19516321.910371594</v>
      </c>
    </row>
    <row r="17" spans="1:14" x14ac:dyDescent="0.25">
      <c r="L17" s="96" t="s">
        <v>72</v>
      </c>
      <c r="M17" s="94" t="s">
        <v>215</v>
      </c>
      <c r="N17" s="95">
        <f>N10-N16</f>
        <v>24939231.036195129</v>
      </c>
    </row>
    <row r="18" spans="1:14" x14ac:dyDescent="0.25">
      <c r="A18" s="53"/>
      <c r="B18" s="53"/>
      <c r="C18" s="53"/>
    </row>
  </sheetData>
  <pageMargins left="0.7" right="0.7" top="0.75" bottom="0.75" header="0.3" footer="0.3"/>
  <pageSetup scale="5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B1" sqref="B1"/>
    </sheetView>
  </sheetViews>
  <sheetFormatPr defaultColWidth="9.140625" defaultRowHeight="12.75" x14ac:dyDescent="0.2"/>
  <cols>
    <col min="1" max="1" width="1.28515625" style="108" customWidth="1"/>
    <col min="2" max="2" width="41.140625" style="108" customWidth="1"/>
    <col min="3" max="7" width="15.140625" style="108" customWidth="1"/>
    <col min="8" max="8" width="39.85546875" style="108" customWidth="1"/>
    <col min="9" max="14" width="15.140625" style="108" customWidth="1"/>
    <col min="15" max="16384" width="9.140625" style="108"/>
  </cols>
  <sheetData>
    <row r="1" spans="1:10" ht="15" x14ac:dyDescent="0.25">
      <c r="A1" s="107" t="s">
        <v>76</v>
      </c>
      <c r="C1" s="109"/>
      <c r="D1" s="109"/>
      <c r="E1" s="109"/>
      <c r="F1" s="109"/>
      <c r="G1" s="109"/>
      <c r="H1" s="109"/>
      <c r="I1" s="109"/>
      <c r="J1" s="109"/>
    </row>
    <row r="2" spans="1:10" x14ac:dyDescent="0.2">
      <c r="A2" s="108" t="s">
        <v>39</v>
      </c>
      <c r="C2" s="109"/>
      <c r="E2" s="109"/>
      <c r="F2" s="109"/>
      <c r="G2" s="109"/>
      <c r="H2" s="109"/>
      <c r="I2" s="109"/>
      <c r="J2" s="109"/>
    </row>
    <row r="3" spans="1:10" ht="13.5" thickBot="1" x14ac:dyDescent="0.25">
      <c r="C3" s="109"/>
      <c r="D3" s="109"/>
      <c r="E3" s="109"/>
      <c r="F3" s="109"/>
      <c r="G3" s="109"/>
      <c r="H3" s="109"/>
      <c r="I3" s="109"/>
      <c r="J3" s="109"/>
    </row>
    <row r="4" spans="1:10" ht="13.5" thickBot="1" x14ac:dyDescent="0.25">
      <c r="C4" s="277" t="s">
        <v>40</v>
      </c>
      <c r="D4" s="278"/>
      <c r="E4" s="278"/>
      <c r="F4" s="278"/>
      <c r="G4" s="278"/>
      <c r="H4" s="278"/>
      <c r="I4" s="278"/>
      <c r="J4" s="279"/>
    </row>
    <row r="5" spans="1:10" ht="15" x14ac:dyDescent="0.25">
      <c r="C5" s="110"/>
      <c r="D5" s="280" t="s">
        <v>117</v>
      </c>
      <c r="E5" s="281"/>
      <c r="F5" s="281"/>
      <c r="G5" s="281"/>
      <c r="H5" s="283" t="s">
        <v>118</v>
      </c>
      <c r="I5" s="284"/>
      <c r="J5" s="285"/>
    </row>
    <row r="6" spans="1:10" ht="15" x14ac:dyDescent="0.25">
      <c r="A6" s="97"/>
      <c r="B6" s="97"/>
      <c r="C6" s="98" t="s">
        <v>42</v>
      </c>
      <c r="D6" s="99" t="s">
        <v>43</v>
      </c>
      <c r="E6" s="100" t="s">
        <v>65</v>
      </c>
      <c r="F6" s="100" t="s">
        <v>66</v>
      </c>
      <c r="G6" s="100" t="s">
        <v>119</v>
      </c>
      <c r="H6" s="99" t="s">
        <v>44</v>
      </c>
      <c r="I6" s="100" t="s">
        <v>120</v>
      </c>
      <c r="J6" s="100" t="s">
        <v>121</v>
      </c>
    </row>
    <row r="7" spans="1:10" ht="15" x14ac:dyDescent="0.25">
      <c r="B7" s="111" t="s">
        <v>45</v>
      </c>
      <c r="C7" s="109">
        <f>SUM(D7:J7)</f>
        <v>-377457808</v>
      </c>
      <c r="D7" s="112">
        <f>-319183978-H7-J7</f>
        <v>-225879095.58000001</v>
      </c>
      <c r="E7" s="113">
        <v>18358998</v>
      </c>
      <c r="F7" s="113">
        <f>-77925223-I7</f>
        <v>-76461371.609999999</v>
      </c>
      <c r="G7" s="113">
        <v>1292395</v>
      </c>
      <c r="H7" s="114">
        <v>-92764015</v>
      </c>
      <c r="I7" s="115">
        <v>-1463851.39</v>
      </c>
      <c r="J7" s="115">
        <v>-540867.42000000004</v>
      </c>
    </row>
    <row r="8" spans="1:10" x14ac:dyDescent="0.2">
      <c r="B8" s="111" t="s">
        <v>46</v>
      </c>
      <c r="C8" s="109">
        <f>+C7+C14</f>
        <v>-370511283.87229246</v>
      </c>
      <c r="D8" s="114">
        <f t="shared" ref="D8:J9" si="0">+D7+D14</f>
        <v>-220010499.48000002</v>
      </c>
      <c r="E8" s="115">
        <f t="shared" si="0"/>
        <v>18021444.891169745</v>
      </c>
      <c r="F8" s="115">
        <f t="shared" si="0"/>
        <v>-75022018.710000008</v>
      </c>
      <c r="G8" s="115">
        <f t="shared" si="0"/>
        <v>1268523.236537796</v>
      </c>
      <c r="H8" s="114">
        <f t="shared" si="0"/>
        <v>-92764015</v>
      </c>
      <c r="I8" s="115">
        <f t="shared" si="0"/>
        <v>-1463851.39</v>
      </c>
      <c r="J8" s="115">
        <f t="shared" si="0"/>
        <v>-540867.42000000004</v>
      </c>
    </row>
    <row r="9" spans="1:10" x14ac:dyDescent="0.2">
      <c r="B9" s="111" t="s">
        <v>48</v>
      </c>
      <c r="C9" s="109">
        <f>+C8+C15</f>
        <v>-367954128.66483098</v>
      </c>
      <c r="D9" s="114">
        <f t="shared" si="0"/>
        <v>-217865358.18000001</v>
      </c>
      <c r="E9" s="115">
        <f t="shared" si="0"/>
        <v>17898059.484786917</v>
      </c>
      <c r="F9" s="115">
        <f t="shared" si="0"/>
        <v>-74477590.010000005</v>
      </c>
      <c r="G9" s="115">
        <f t="shared" si="0"/>
        <v>1259493.8503820898</v>
      </c>
      <c r="H9" s="114">
        <f t="shared" si="0"/>
        <v>-92764015</v>
      </c>
      <c r="I9" s="115">
        <f t="shared" si="0"/>
        <v>-1463851.39</v>
      </c>
      <c r="J9" s="115">
        <f t="shared" si="0"/>
        <v>-540867.42000000004</v>
      </c>
    </row>
    <row r="10" spans="1:10" ht="13.5" thickBot="1" x14ac:dyDescent="0.25">
      <c r="C10" s="116"/>
      <c r="D10" s="116"/>
      <c r="E10" s="116"/>
      <c r="F10" s="116"/>
      <c r="G10" s="116"/>
    </row>
    <row r="11" spans="1:10" ht="13.5" thickBot="1" x14ac:dyDescent="0.25">
      <c r="B11" s="110"/>
      <c r="C11" s="277" t="s">
        <v>41</v>
      </c>
      <c r="D11" s="278"/>
      <c r="E11" s="278"/>
      <c r="F11" s="278"/>
      <c r="G11" s="278"/>
      <c r="H11" s="278"/>
      <c r="I11" s="278"/>
      <c r="J11" s="279"/>
    </row>
    <row r="12" spans="1:10" ht="15" x14ac:dyDescent="0.25">
      <c r="B12" s="110"/>
      <c r="C12" s="110"/>
      <c r="D12" s="280" t="s">
        <v>117</v>
      </c>
      <c r="E12" s="281"/>
      <c r="F12" s="281"/>
      <c r="G12" s="282"/>
      <c r="H12" s="283" t="s">
        <v>118</v>
      </c>
      <c r="I12" s="284"/>
      <c r="J12" s="285"/>
    </row>
    <row r="13" spans="1:10" ht="15" x14ac:dyDescent="0.25">
      <c r="B13" s="100"/>
      <c r="C13" s="98" t="s">
        <v>42</v>
      </c>
      <c r="D13" s="99" t="s">
        <v>43</v>
      </c>
      <c r="E13" s="100" t="s">
        <v>65</v>
      </c>
      <c r="F13" s="100" t="s">
        <v>66</v>
      </c>
      <c r="G13" s="101" t="s">
        <v>119</v>
      </c>
      <c r="H13" s="99" t="s">
        <v>44</v>
      </c>
      <c r="I13" s="100" t="s">
        <v>120</v>
      </c>
      <c r="J13" s="100" t="s">
        <v>121</v>
      </c>
    </row>
    <row r="14" spans="1:10" x14ac:dyDescent="0.2">
      <c r="B14" s="117" t="s">
        <v>47</v>
      </c>
      <c r="C14" s="109">
        <f>SUM(D14:H14)</f>
        <v>6946524.127707527</v>
      </c>
      <c r="D14" s="114">
        <v>5868596.0999999875</v>
      </c>
      <c r="E14" s="115">
        <f>SUM(D14,H14,J14)/SUM($D$7,$H$7,$J$7)*$E$7</f>
        <v>-337553.10883025447</v>
      </c>
      <c r="F14" s="115">
        <v>1439352.8999999971</v>
      </c>
      <c r="G14" s="118">
        <f>SUM(F14,I14)/SUM($F$7,$I$7)*$G$7</f>
        <v>-23871.76346220397</v>
      </c>
      <c r="H14" s="114">
        <v>0</v>
      </c>
      <c r="I14" s="115">
        <v>0</v>
      </c>
      <c r="J14" s="115">
        <v>0</v>
      </c>
    </row>
    <row r="15" spans="1:10" x14ac:dyDescent="0.2">
      <c r="B15" s="117" t="s">
        <v>67</v>
      </c>
      <c r="C15" s="109">
        <f>SUM(D15:H15)</f>
        <v>2557155.2074614768</v>
      </c>
      <c r="D15" s="114">
        <f>6435423.90000002/12*4</f>
        <v>2145141.3000000068</v>
      </c>
      <c r="E15" s="119">
        <f>SUM(D15,H15,J15)/SUM($D$7,$H$7,$J$7)*$E$7</f>
        <v>-123385.40638282763</v>
      </c>
      <c r="F15" s="115">
        <f>1633286.10000001/12*4</f>
        <v>544428.70000000333</v>
      </c>
      <c r="G15" s="118">
        <f>SUM(F15,I15)/SUM($F$7,$I$7)*$G$7</f>
        <v>-9029.3861557060191</v>
      </c>
      <c r="H15" s="114">
        <v>0</v>
      </c>
      <c r="I15" s="115">
        <v>0</v>
      </c>
      <c r="J15" s="115">
        <v>0</v>
      </c>
    </row>
    <row r="16" spans="1:10" ht="13.5" thickBot="1" x14ac:dyDescent="0.25">
      <c r="B16" s="120" t="s">
        <v>122</v>
      </c>
      <c r="C16" s="121">
        <f>SUM(C14:C15)</f>
        <v>9503679.3351690043</v>
      </c>
      <c r="D16" s="122">
        <f t="shared" ref="D16:J16" si="1">SUM(D14:D15)</f>
        <v>8013737.3999999948</v>
      </c>
      <c r="E16" s="121">
        <f t="shared" si="1"/>
        <v>-460938.51521308208</v>
      </c>
      <c r="F16" s="121">
        <f t="shared" si="1"/>
        <v>1983781.6000000006</v>
      </c>
      <c r="G16" s="123">
        <f t="shared" si="1"/>
        <v>-32901.149617909992</v>
      </c>
      <c r="H16" s="122">
        <f t="shared" si="1"/>
        <v>0</v>
      </c>
      <c r="I16" s="121">
        <f t="shared" si="1"/>
        <v>0</v>
      </c>
      <c r="J16" s="121">
        <f t="shared" si="1"/>
        <v>0</v>
      </c>
    </row>
    <row r="17" spans="2:6" x14ac:dyDescent="0.2">
      <c r="C17" s="124">
        <f>+C16-C22</f>
        <v>0</v>
      </c>
    </row>
    <row r="18" spans="2:6" x14ac:dyDescent="0.2">
      <c r="C18" s="124"/>
    </row>
    <row r="19" spans="2:6" ht="15" x14ac:dyDescent="0.25">
      <c r="B19" s="102" t="s">
        <v>211</v>
      </c>
    </row>
    <row r="20" spans="2:6" ht="15" x14ac:dyDescent="0.25">
      <c r="B20" s="125" t="s">
        <v>49</v>
      </c>
    </row>
    <row r="21" spans="2:6" ht="15" x14ac:dyDescent="0.25">
      <c r="C21" s="98" t="s">
        <v>42</v>
      </c>
      <c r="D21" s="98" t="s">
        <v>43</v>
      </c>
      <c r="E21" s="98" t="s">
        <v>66</v>
      </c>
      <c r="F21" s="98" t="s">
        <v>44</v>
      </c>
    </row>
    <row r="22" spans="2:6" x14ac:dyDescent="0.2">
      <c r="B22" s="108" t="s">
        <v>50</v>
      </c>
      <c r="C22" s="109">
        <f>SUM(D22:F22)</f>
        <v>9503679.3351690043</v>
      </c>
      <c r="D22" s="109">
        <f>SUM(D$16:E$16)</f>
        <v>7552798.8847869132</v>
      </c>
      <c r="E22" s="109">
        <f>SUM(F$16:G$16)</f>
        <v>1950880.4503820906</v>
      </c>
      <c r="F22" s="109">
        <f>+SUM(H$14:H$15)</f>
        <v>0</v>
      </c>
    </row>
    <row r="23" spans="2:6" x14ac:dyDescent="0.2">
      <c r="B23" s="108" t="s">
        <v>51</v>
      </c>
      <c r="C23" s="109">
        <f>SUM(D23:F23)</f>
        <v>1907561.9866666659</v>
      </c>
      <c r="D23" s="109">
        <v>1618843.9173333326</v>
      </c>
      <c r="E23" s="109">
        <v>223585.06933333332</v>
      </c>
      <c r="F23" s="109">
        <v>65133</v>
      </c>
    </row>
    <row r="24" spans="2:6" ht="15.75" thickBot="1" x14ac:dyDescent="0.3">
      <c r="B24" s="108" t="s">
        <v>52</v>
      </c>
      <c r="C24" s="126">
        <f>SUM(C22:C23)</f>
        <v>11411241.321835671</v>
      </c>
      <c r="D24" s="127">
        <f t="shared" ref="D24:F24" si="2">SUM(D22:D23)</f>
        <v>9171642.802120246</v>
      </c>
      <c r="E24" s="127">
        <f t="shared" si="2"/>
        <v>2174465.5197154242</v>
      </c>
      <c r="F24" s="126">
        <f t="shared" si="2"/>
        <v>65133</v>
      </c>
    </row>
    <row r="27" spans="2:6" ht="17.25" x14ac:dyDescent="0.4">
      <c r="B27" s="128" t="s">
        <v>123</v>
      </c>
    </row>
    <row r="28" spans="2:6" x14ac:dyDescent="0.2">
      <c r="B28" s="129" t="s">
        <v>124</v>
      </c>
      <c r="C28" s="124">
        <f>SUM(D7:E7)</f>
        <v>-207520097.58000001</v>
      </c>
    </row>
    <row r="29" spans="2:6" x14ac:dyDescent="0.2">
      <c r="B29" s="129" t="s">
        <v>125</v>
      </c>
      <c r="C29" s="124">
        <f>SUM(F7:G7)</f>
        <v>-75168976.609999999</v>
      </c>
    </row>
    <row r="30" spans="2:6" x14ac:dyDescent="0.2">
      <c r="B30" s="129" t="s">
        <v>126</v>
      </c>
      <c r="C30" s="124">
        <f>SUM(H7:J7)</f>
        <v>-94768733.810000002</v>
      </c>
    </row>
    <row r="31" spans="2:6" ht="13.5" thickBot="1" x14ac:dyDescent="0.25">
      <c r="B31" s="129"/>
      <c r="C31" s="126">
        <f>SUM(C28:C30)</f>
        <v>-377457808</v>
      </c>
    </row>
    <row r="32" spans="2:6" x14ac:dyDescent="0.2">
      <c r="C32" s="124">
        <f>+C31-C7</f>
        <v>0</v>
      </c>
    </row>
    <row r="34" spans="2:12" ht="15" x14ac:dyDescent="0.25">
      <c r="B34" s="130" t="s">
        <v>76</v>
      </c>
      <c r="C34" s="109"/>
      <c r="D34" s="109"/>
      <c r="E34" s="109"/>
      <c r="F34" s="109"/>
      <c r="H34" s="131" t="s">
        <v>76</v>
      </c>
      <c r="I34" s="132"/>
      <c r="J34" s="132"/>
      <c r="K34" s="132"/>
      <c r="L34" s="132"/>
    </row>
    <row r="35" spans="2:12" x14ac:dyDescent="0.2">
      <c r="B35" s="133" t="s">
        <v>77</v>
      </c>
      <c r="C35" s="109"/>
      <c r="D35" s="109"/>
      <c r="E35" s="109"/>
      <c r="F35" s="109"/>
      <c r="H35" s="134" t="s">
        <v>77</v>
      </c>
      <c r="I35" s="132"/>
      <c r="J35" s="132"/>
      <c r="K35" s="132"/>
      <c r="L35" s="132"/>
    </row>
    <row r="36" spans="2:12" ht="15" x14ac:dyDescent="0.25">
      <c r="B36" s="135" t="s">
        <v>54</v>
      </c>
      <c r="C36" s="109"/>
      <c r="D36" s="109"/>
      <c r="E36" s="109"/>
      <c r="F36" s="109"/>
      <c r="H36" s="131" t="s">
        <v>69</v>
      </c>
      <c r="I36" s="132"/>
      <c r="J36" s="132"/>
      <c r="K36" s="132"/>
      <c r="L36" s="132"/>
    </row>
    <row r="37" spans="2:12" ht="51.75" x14ac:dyDescent="0.4">
      <c r="B37" s="103" t="s">
        <v>78</v>
      </c>
      <c r="C37" s="104" t="s">
        <v>79</v>
      </c>
      <c r="D37" s="104" t="s">
        <v>80</v>
      </c>
      <c r="E37" s="104" t="s">
        <v>81</v>
      </c>
      <c r="F37" s="104" t="s">
        <v>82</v>
      </c>
      <c r="H37" s="105" t="s">
        <v>78</v>
      </c>
      <c r="I37" s="106" t="s">
        <v>79</v>
      </c>
      <c r="J37" s="106" t="s">
        <v>80</v>
      </c>
      <c r="K37" s="106" t="s">
        <v>81</v>
      </c>
      <c r="L37" s="106" t="s">
        <v>82</v>
      </c>
    </row>
    <row r="38" spans="2:12" x14ac:dyDescent="0.2">
      <c r="B38" s="133"/>
      <c r="C38" s="109"/>
      <c r="D38" s="109"/>
      <c r="E38" s="109"/>
      <c r="F38" s="109"/>
      <c r="H38" s="134"/>
      <c r="I38" s="132"/>
      <c r="J38" s="132"/>
      <c r="K38" s="132"/>
      <c r="L38" s="132"/>
    </row>
    <row r="39" spans="2:12" ht="15" x14ac:dyDescent="0.25">
      <c r="B39" s="129" t="s">
        <v>127</v>
      </c>
      <c r="C39" s="136">
        <v>-6081252.5999999996</v>
      </c>
      <c r="D39" s="136">
        <v>-2365607.27</v>
      </c>
      <c r="E39" s="136">
        <v>-1565314.42</v>
      </c>
      <c r="F39" s="115">
        <f>+E39-D39</f>
        <v>800292.85000000009</v>
      </c>
      <c r="H39" s="137" t="s">
        <v>83</v>
      </c>
      <c r="I39" s="138">
        <v>-43320.09</v>
      </c>
      <c r="J39" s="138">
        <v>-16851.53</v>
      </c>
      <c r="K39" s="138">
        <v>-11150.6</v>
      </c>
      <c r="L39" s="124">
        <v>5700.9299999999985</v>
      </c>
    </row>
    <row r="40" spans="2:12" ht="15" x14ac:dyDescent="0.25">
      <c r="B40" s="129" t="s">
        <v>83</v>
      </c>
      <c r="C40" s="136">
        <v>-11281598.4</v>
      </c>
      <c r="D40" s="136">
        <v>-4388541.7699999996</v>
      </c>
      <c r="E40" s="136">
        <v>-2903883.42</v>
      </c>
      <c r="F40" s="115">
        <f t="shared" ref="F40:F69" si="3">+E40-D40</f>
        <v>1484658.3499999996</v>
      </c>
      <c r="H40" s="137" t="s">
        <v>84</v>
      </c>
      <c r="I40" s="138">
        <v>15916</v>
      </c>
      <c r="J40" s="138">
        <v>6191.32</v>
      </c>
      <c r="K40" s="138">
        <v>4096.78</v>
      </c>
      <c r="L40" s="124">
        <v>-2094.54</v>
      </c>
    </row>
    <row r="41" spans="2:12" ht="15" x14ac:dyDescent="0.25">
      <c r="B41" s="129" t="s">
        <v>128</v>
      </c>
      <c r="C41" s="136">
        <v>-402606.15</v>
      </c>
      <c r="D41" s="136">
        <v>-156613.79</v>
      </c>
      <c r="E41" s="136">
        <v>-103630.82</v>
      </c>
      <c r="F41" s="115">
        <f t="shared" si="3"/>
        <v>52982.97</v>
      </c>
      <c r="H41" s="137" t="s">
        <v>85</v>
      </c>
      <c r="I41" s="138">
        <v>-987864.17</v>
      </c>
      <c r="J41" s="138">
        <v>-384279.16</v>
      </c>
      <c r="K41" s="138">
        <v>-254276.24</v>
      </c>
      <c r="L41" s="124">
        <v>130002.91999999998</v>
      </c>
    </row>
    <row r="42" spans="2:12" ht="15" x14ac:dyDescent="0.25">
      <c r="B42" s="129" t="s">
        <v>84</v>
      </c>
      <c r="C42" s="136">
        <v>97777</v>
      </c>
      <c r="D42" s="136">
        <v>38035.25</v>
      </c>
      <c r="E42" s="136">
        <v>25167.8</v>
      </c>
      <c r="F42" s="115">
        <f t="shared" si="3"/>
        <v>-12867.45</v>
      </c>
      <c r="H42" s="137" t="s">
        <v>86</v>
      </c>
      <c r="I42" s="138">
        <v>332208.49</v>
      </c>
      <c r="J42" s="138">
        <v>129229.09</v>
      </c>
      <c r="K42" s="138">
        <v>85510.46</v>
      </c>
      <c r="L42" s="124">
        <v>-43718.62999999999</v>
      </c>
    </row>
    <row r="43" spans="2:12" ht="15" x14ac:dyDescent="0.25">
      <c r="B43" s="129" t="s">
        <v>85</v>
      </c>
      <c r="C43" s="136">
        <v>-14570064.289999999</v>
      </c>
      <c r="D43" s="136">
        <v>-5667755</v>
      </c>
      <c r="E43" s="136">
        <v>-3750334.55</v>
      </c>
      <c r="F43" s="115">
        <f t="shared" si="3"/>
        <v>1917420.4500000002</v>
      </c>
      <c r="H43" s="137" t="s">
        <v>87</v>
      </c>
      <c r="I43" s="138">
        <v>4540073.21</v>
      </c>
      <c r="J43" s="138">
        <v>1791489.56</v>
      </c>
      <c r="K43" s="138">
        <v>1199486.93</v>
      </c>
      <c r="L43" s="124">
        <v>-592002.63000000012</v>
      </c>
    </row>
    <row r="44" spans="2:12" ht="15" x14ac:dyDescent="0.25">
      <c r="B44" s="129" t="s">
        <v>86</v>
      </c>
      <c r="C44" s="136">
        <v>794485.14</v>
      </c>
      <c r="D44" s="136">
        <v>309054.71999999997</v>
      </c>
      <c r="E44" s="136">
        <v>204500.48000000001</v>
      </c>
      <c r="F44" s="115">
        <f t="shared" si="3"/>
        <v>-104554.23999999996</v>
      </c>
      <c r="H44" s="137" t="s">
        <v>100</v>
      </c>
      <c r="I44" s="138">
        <v>6557840</v>
      </c>
      <c r="J44" s="138">
        <v>2550999.7599999998</v>
      </c>
      <c r="K44" s="138">
        <v>1687988.02</v>
      </c>
      <c r="L44" s="124">
        <v>-863011.73999999976</v>
      </c>
    </row>
    <row r="45" spans="2:12" ht="15" x14ac:dyDescent="0.25">
      <c r="B45" s="129" t="s">
        <v>87</v>
      </c>
      <c r="C45" s="136">
        <v>12734100.09</v>
      </c>
      <c r="D45" s="136">
        <v>4919356.96</v>
      </c>
      <c r="E45" s="136">
        <v>3236181.5300000003</v>
      </c>
      <c r="F45" s="115">
        <f t="shared" si="3"/>
        <v>-1683175.4299999997</v>
      </c>
      <c r="H45" s="137" t="s">
        <v>88</v>
      </c>
      <c r="I45" s="138">
        <v>94595.590000000026</v>
      </c>
      <c r="J45" s="138">
        <v>36797.700000000012</v>
      </c>
      <c r="K45" s="138">
        <v>24348.92</v>
      </c>
      <c r="L45" s="124">
        <v>-12448.780000000013</v>
      </c>
    </row>
    <row r="46" spans="2:12" ht="15" x14ac:dyDescent="0.25">
      <c r="B46" s="129" t="s">
        <v>129</v>
      </c>
      <c r="C46" s="136">
        <v>-8908773.9100000039</v>
      </c>
      <c r="D46" s="136">
        <v>-3465513.040000001</v>
      </c>
      <c r="E46" s="136">
        <v>-2293118.3999999985</v>
      </c>
      <c r="F46" s="115">
        <f t="shared" si="3"/>
        <v>1172394.6400000025</v>
      </c>
      <c r="H46" s="137" t="s">
        <v>89</v>
      </c>
      <c r="I46" s="138">
        <v>11444776.309999999</v>
      </c>
      <c r="J46" s="138">
        <v>4452017.99</v>
      </c>
      <c r="K46" s="138">
        <v>2945885.41</v>
      </c>
      <c r="L46" s="124">
        <v>-1506132.58</v>
      </c>
    </row>
    <row r="47" spans="2:12" ht="15" x14ac:dyDescent="0.25">
      <c r="B47" s="129" t="s">
        <v>130</v>
      </c>
      <c r="C47" s="136">
        <v>-154470</v>
      </c>
      <c r="D47" s="136">
        <v>-60088.83</v>
      </c>
      <c r="E47" s="136">
        <v>-39760.58</v>
      </c>
      <c r="F47" s="115">
        <f t="shared" si="3"/>
        <v>20328.25</v>
      </c>
      <c r="H47" s="137" t="s">
        <v>90</v>
      </c>
      <c r="I47" s="138">
        <v>853005.45</v>
      </c>
      <c r="J47" s="138">
        <v>331819.14</v>
      </c>
      <c r="K47" s="138">
        <v>219563.6</v>
      </c>
      <c r="L47" s="124">
        <v>-112255.54000000001</v>
      </c>
    </row>
    <row r="48" spans="2:12" ht="15" x14ac:dyDescent="0.25">
      <c r="B48" s="129" t="s">
        <v>131</v>
      </c>
      <c r="C48" s="136">
        <v>1769727.05</v>
      </c>
      <c r="D48" s="136">
        <v>688423.81</v>
      </c>
      <c r="E48" s="136">
        <v>455527.74</v>
      </c>
      <c r="F48" s="115">
        <f t="shared" si="3"/>
        <v>-232896.07000000007</v>
      </c>
      <c r="H48" s="139" t="s">
        <v>91</v>
      </c>
      <c r="I48" s="138">
        <v>-40832761.390000001</v>
      </c>
      <c r="J48" s="138">
        <v>-15883944.220000001</v>
      </c>
      <c r="K48" s="138">
        <v>-10510352.790000001</v>
      </c>
      <c r="L48" s="140">
        <v>5373591.4299999997</v>
      </c>
    </row>
    <row r="49" spans="2:12" ht="15" x14ac:dyDescent="0.25">
      <c r="B49" s="129" t="s">
        <v>88</v>
      </c>
      <c r="C49" s="136">
        <v>11691.980000000003</v>
      </c>
      <c r="D49" s="136">
        <v>4548.1799999999967</v>
      </c>
      <c r="E49" s="136">
        <v>3009.51</v>
      </c>
      <c r="F49" s="115">
        <f t="shared" si="3"/>
        <v>-1538.6699999999964</v>
      </c>
      <c r="H49" s="137" t="s">
        <v>101</v>
      </c>
      <c r="I49" s="138">
        <v>1907100</v>
      </c>
      <c r="J49" s="138">
        <v>741861.9</v>
      </c>
      <c r="K49" s="138">
        <v>490887.54</v>
      </c>
      <c r="L49" s="124">
        <v>-250974.36000000004</v>
      </c>
    </row>
    <row r="50" spans="2:12" ht="15" x14ac:dyDescent="0.25">
      <c r="B50" s="129" t="s">
        <v>132</v>
      </c>
      <c r="C50" s="136">
        <v>-144.44999999999999</v>
      </c>
      <c r="D50" s="136">
        <v>-56.21</v>
      </c>
      <c r="E50" s="136">
        <v>-37.18</v>
      </c>
      <c r="F50" s="115">
        <f t="shared" si="3"/>
        <v>19.03</v>
      </c>
      <c r="H50" s="137" t="s">
        <v>92</v>
      </c>
      <c r="I50" s="138">
        <v>-233313.03999999911</v>
      </c>
      <c r="J50" s="138">
        <v>-90758.75</v>
      </c>
      <c r="K50" s="138">
        <v>-60054.790000000037</v>
      </c>
      <c r="L50" s="124">
        <v>30703.959999999963</v>
      </c>
    </row>
    <row r="51" spans="2:12" ht="15" x14ac:dyDescent="0.25">
      <c r="B51" s="129" t="s">
        <v>133</v>
      </c>
      <c r="C51" s="136">
        <v>-4700000</v>
      </c>
      <c r="D51" s="136">
        <v>-1828300</v>
      </c>
      <c r="E51" s="136">
        <v>-1209780</v>
      </c>
      <c r="F51" s="115">
        <f t="shared" si="3"/>
        <v>618520</v>
      </c>
      <c r="H51" s="137" t="s">
        <v>102</v>
      </c>
      <c r="I51" s="138">
        <v>174919</v>
      </c>
      <c r="J51" s="138">
        <v>68043.490000000005</v>
      </c>
      <c r="K51" s="138">
        <v>45024.15</v>
      </c>
      <c r="L51" s="124">
        <v>-23019.340000000004</v>
      </c>
    </row>
    <row r="52" spans="2:12" ht="15" x14ac:dyDescent="0.25">
      <c r="B52" s="129" t="s">
        <v>134</v>
      </c>
      <c r="C52" s="136">
        <v>409000</v>
      </c>
      <c r="D52" s="136">
        <v>159101</v>
      </c>
      <c r="E52" s="136">
        <v>105276.6</v>
      </c>
      <c r="F52" s="115">
        <f t="shared" si="3"/>
        <v>-53824.399999999994</v>
      </c>
      <c r="H52" s="137" t="s">
        <v>93</v>
      </c>
      <c r="I52" s="138">
        <v>54487.88</v>
      </c>
      <c r="J52" s="138">
        <v>21195.78</v>
      </c>
      <c r="K52" s="138">
        <v>14025.17</v>
      </c>
      <c r="L52" s="124">
        <v>-7170.6099999999988</v>
      </c>
    </row>
    <row r="53" spans="2:12" ht="15" x14ac:dyDescent="0.25">
      <c r="B53" s="129" t="s">
        <v>89</v>
      </c>
      <c r="C53" s="136">
        <v>40947898.490000002</v>
      </c>
      <c r="D53" s="136">
        <v>15928732.520000001</v>
      </c>
      <c r="E53" s="136">
        <v>10539989.08</v>
      </c>
      <c r="F53" s="115">
        <f t="shared" si="3"/>
        <v>-5388743.4400000013</v>
      </c>
      <c r="H53" s="137" t="s">
        <v>94</v>
      </c>
      <c r="I53" s="138">
        <v>-319962.40000000002</v>
      </c>
      <c r="J53" s="138">
        <v>-124465.36</v>
      </c>
      <c r="K53" s="138">
        <v>-82358.31</v>
      </c>
      <c r="L53" s="124">
        <v>42107.05</v>
      </c>
    </row>
    <row r="54" spans="2:12" ht="15" x14ac:dyDescent="0.25">
      <c r="B54" s="129" t="s">
        <v>90</v>
      </c>
      <c r="C54" s="136">
        <v>3089894.45</v>
      </c>
      <c r="D54" s="136">
        <v>1201968.95</v>
      </c>
      <c r="E54" s="136">
        <v>795338.83</v>
      </c>
      <c r="F54" s="115">
        <f t="shared" si="3"/>
        <v>-406630.12</v>
      </c>
      <c r="H54" s="137" t="s">
        <v>103</v>
      </c>
      <c r="I54" s="138">
        <v>-3801685.57</v>
      </c>
      <c r="J54" s="138">
        <v>-1478855.6799999999</v>
      </c>
      <c r="K54" s="138">
        <v>-978553.86</v>
      </c>
      <c r="L54" s="124">
        <v>500301.81999999995</v>
      </c>
    </row>
    <row r="55" spans="2:12" ht="15" x14ac:dyDescent="0.25">
      <c r="B55" s="141" t="s">
        <v>91</v>
      </c>
      <c r="C55" s="136">
        <v>-146796750.84</v>
      </c>
      <c r="D55" s="136">
        <v>-57103936.089999996</v>
      </c>
      <c r="E55" s="136">
        <v>-37785483.659999996</v>
      </c>
      <c r="F55" s="113">
        <f t="shared" si="3"/>
        <v>19318452.43</v>
      </c>
      <c r="H55" s="137" t="s">
        <v>95</v>
      </c>
      <c r="I55" s="138">
        <v>-454862.38</v>
      </c>
      <c r="J55" s="138">
        <v>-176941.46</v>
      </c>
      <c r="K55" s="138">
        <v>-117081.57</v>
      </c>
      <c r="L55" s="124">
        <v>59859.889999999985</v>
      </c>
    </row>
    <row r="56" spans="2:12" ht="15" x14ac:dyDescent="0.25">
      <c r="B56" s="129" t="s">
        <v>92</v>
      </c>
      <c r="C56" s="136">
        <v>-933252.17000000179</v>
      </c>
      <c r="D56" s="136">
        <v>-363035.0700000003</v>
      </c>
      <c r="E56" s="136">
        <v>-240219.09999999963</v>
      </c>
      <c r="F56" s="115">
        <f t="shared" si="3"/>
        <v>122815.97000000067</v>
      </c>
      <c r="H56" s="137" t="s">
        <v>96</v>
      </c>
      <c r="I56" s="138">
        <v>-321825.15000000002</v>
      </c>
      <c r="J56" s="138">
        <v>-112638.8</v>
      </c>
      <c r="K56" s="138">
        <v>-67583.28</v>
      </c>
      <c r="L56" s="124">
        <v>45055.520000000004</v>
      </c>
    </row>
    <row r="57" spans="2:12" ht="15" x14ac:dyDescent="0.25">
      <c r="B57" s="129" t="s">
        <v>135</v>
      </c>
      <c r="C57" s="136">
        <v>231803</v>
      </c>
      <c r="D57" s="136">
        <v>90171.37</v>
      </c>
      <c r="E57" s="136">
        <v>59666.09</v>
      </c>
      <c r="F57" s="115">
        <f t="shared" si="3"/>
        <v>-30505.279999999999</v>
      </c>
      <c r="H57" s="137" t="s">
        <v>97</v>
      </c>
      <c r="I57" s="138">
        <v>76678.37</v>
      </c>
      <c r="J57" s="138">
        <v>29827.88</v>
      </c>
      <c r="K57" s="138">
        <v>19737.009999999998</v>
      </c>
      <c r="L57" s="124">
        <v>-10090.870000000003</v>
      </c>
    </row>
    <row r="58" spans="2:12" ht="15" x14ac:dyDescent="0.25">
      <c r="B58" s="129" t="s">
        <v>93</v>
      </c>
      <c r="C58" s="136">
        <v>217949.56</v>
      </c>
      <c r="D58" s="136">
        <v>84782.39</v>
      </c>
      <c r="E58" s="136">
        <v>56100.22</v>
      </c>
      <c r="F58" s="115">
        <f t="shared" si="3"/>
        <v>-28682.17</v>
      </c>
      <c r="H58" s="137" t="s">
        <v>98</v>
      </c>
      <c r="I58" s="138">
        <v>1108272.4099999999</v>
      </c>
      <c r="J58" s="138">
        <v>431117.95</v>
      </c>
      <c r="K58" s="138">
        <v>285269.32</v>
      </c>
      <c r="L58" s="124">
        <v>-145848.63</v>
      </c>
    </row>
    <row r="59" spans="2:12" ht="15" x14ac:dyDescent="0.25">
      <c r="B59" s="129" t="s">
        <v>136</v>
      </c>
      <c r="C59" s="136">
        <v>-3043316.17</v>
      </c>
      <c r="D59" s="136">
        <v>-1183849.99</v>
      </c>
      <c r="E59" s="136">
        <v>-783349.59</v>
      </c>
      <c r="F59" s="115">
        <f t="shared" si="3"/>
        <v>400500.4</v>
      </c>
      <c r="H59" s="137" t="s">
        <v>99</v>
      </c>
      <c r="I59" s="142">
        <v>784371.05</v>
      </c>
      <c r="J59" s="142">
        <v>305120.34000000003</v>
      </c>
      <c r="K59" s="142">
        <v>201897.1</v>
      </c>
      <c r="L59" s="143">
        <v>-103223.24000000002</v>
      </c>
    </row>
    <row r="60" spans="2:12" ht="15" x14ac:dyDescent="0.25">
      <c r="B60" s="129" t="s">
        <v>94</v>
      </c>
      <c r="C60" s="136">
        <v>-1364049.2</v>
      </c>
      <c r="D60" s="136">
        <v>-530615.13</v>
      </c>
      <c r="E60" s="136">
        <v>-351106.26</v>
      </c>
      <c r="F60" s="115">
        <f t="shared" si="3"/>
        <v>179508.87</v>
      </c>
      <c r="H60" s="134"/>
      <c r="I60" s="132">
        <f>SUM(I39:I59)</f>
        <v>-19051350.43</v>
      </c>
      <c r="J60" s="132">
        <f>SUM(J39:J59)</f>
        <v>-7373023.0599999987</v>
      </c>
      <c r="K60" s="132">
        <f>SUM(K39:K59)</f>
        <v>-4857691.0300000031</v>
      </c>
      <c r="L60" s="132">
        <f>SUM(L39:L59)</f>
        <v>2515332.0299999998</v>
      </c>
    </row>
    <row r="61" spans="2:12" ht="15" x14ac:dyDescent="0.25">
      <c r="B61" s="129" t="s">
        <v>137</v>
      </c>
      <c r="C61" s="136">
        <v>722645.86</v>
      </c>
      <c r="D61" s="136">
        <v>281109.24</v>
      </c>
      <c r="E61" s="136">
        <v>186009.04</v>
      </c>
      <c r="F61" s="115">
        <f t="shared" si="3"/>
        <v>-95100.199999999983</v>
      </c>
    </row>
    <row r="62" spans="2:12" ht="15" x14ac:dyDescent="0.25">
      <c r="B62" s="129" t="s">
        <v>95</v>
      </c>
      <c r="C62" s="136">
        <v>-1651857.7</v>
      </c>
      <c r="D62" s="136">
        <v>-642572.67000000004</v>
      </c>
      <c r="E62" s="136">
        <v>-425188.18</v>
      </c>
      <c r="F62" s="115">
        <f t="shared" si="3"/>
        <v>217384.49000000005</v>
      </c>
    </row>
    <row r="63" spans="2:12" ht="15" x14ac:dyDescent="0.25">
      <c r="B63" s="129" t="s">
        <v>138</v>
      </c>
      <c r="C63" s="136">
        <v>-753305.95</v>
      </c>
      <c r="D63" s="136">
        <v>-293036.01</v>
      </c>
      <c r="E63" s="136">
        <v>-193900.96</v>
      </c>
      <c r="F63" s="115">
        <f t="shared" si="3"/>
        <v>99135.050000000017</v>
      </c>
    </row>
    <row r="64" spans="2:12" ht="15" x14ac:dyDescent="0.25">
      <c r="B64" s="129" t="s">
        <v>96</v>
      </c>
      <c r="C64" s="136">
        <v>2425585.15</v>
      </c>
      <c r="D64" s="136">
        <v>848954.8</v>
      </c>
      <c r="E64" s="136">
        <v>509372.88</v>
      </c>
      <c r="F64" s="115">
        <f t="shared" si="3"/>
        <v>-339581.92000000004</v>
      </c>
    </row>
    <row r="65" spans="2:6" ht="15" x14ac:dyDescent="0.25">
      <c r="B65" s="129" t="s">
        <v>139</v>
      </c>
      <c r="C65" s="136">
        <v>-15864975.84</v>
      </c>
      <c r="D65" s="136">
        <v>-6171475.6200000001</v>
      </c>
      <c r="E65" s="136">
        <v>-4083644.79</v>
      </c>
      <c r="F65" s="115">
        <f t="shared" si="3"/>
        <v>2087830.83</v>
      </c>
    </row>
    <row r="66" spans="2:6" ht="15" x14ac:dyDescent="0.25">
      <c r="B66" s="129" t="s">
        <v>140</v>
      </c>
      <c r="C66" s="136">
        <v>-796573</v>
      </c>
      <c r="D66" s="136">
        <v>-309866.90999999997</v>
      </c>
      <c r="E66" s="136">
        <v>-205037.89</v>
      </c>
      <c r="F66" s="115">
        <f t="shared" si="3"/>
        <v>104829.01999999996</v>
      </c>
    </row>
    <row r="67" spans="2:6" ht="15" x14ac:dyDescent="0.25">
      <c r="B67" s="129" t="s">
        <v>97</v>
      </c>
      <c r="C67" s="136">
        <v>306713.46000000002</v>
      </c>
      <c r="D67" s="136">
        <v>119311.54</v>
      </c>
      <c r="E67" s="136">
        <v>78948.05</v>
      </c>
      <c r="F67" s="115">
        <f t="shared" si="3"/>
        <v>-40363.489999999991</v>
      </c>
    </row>
    <row r="68" spans="2:6" ht="15" x14ac:dyDescent="0.25">
      <c r="B68" s="129" t="s">
        <v>98</v>
      </c>
      <c r="C68" s="136">
        <v>3498538.63</v>
      </c>
      <c r="D68" s="136">
        <v>1360931.53</v>
      </c>
      <c r="E68" s="136">
        <v>900523.84</v>
      </c>
      <c r="F68" s="115">
        <f t="shared" si="3"/>
        <v>-460407.69000000006</v>
      </c>
    </row>
    <row r="69" spans="2:6" ht="15" x14ac:dyDescent="0.25">
      <c r="B69" s="129" t="s">
        <v>99</v>
      </c>
      <c r="C69" s="144">
        <v>2536583.1800000002</v>
      </c>
      <c r="D69" s="144">
        <v>986730.83</v>
      </c>
      <c r="E69" s="144">
        <v>652916.51</v>
      </c>
      <c r="F69" s="145">
        <f t="shared" si="3"/>
        <v>-333814.31999999995</v>
      </c>
    </row>
    <row r="70" spans="2:6" x14ac:dyDescent="0.2">
      <c r="B70" s="133"/>
      <c r="C70" s="109">
        <f>SUM(C39:C69)</f>
        <v>-147508597.62999994</v>
      </c>
      <c r="D70" s="109">
        <f>SUM(D39:D69)</f>
        <v>-57509650.309999995</v>
      </c>
      <c r="E70" s="109">
        <f>SUM(E39:E69)</f>
        <v>-38125261.599999994</v>
      </c>
      <c r="F70" s="109">
        <f>SUM(F39:F69)</f>
        <v>19384388.709999997</v>
      </c>
    </row>
  </sheetData>
  <mergeCells count="6">
    <mergeCell ref="C11:J11"/>
    <mergeCell ref="D12:G12"/>
    <mergeCell ref="H12:J12"/>
    <mergeCell ref="C4:J4"/>
    <mergeCell ref="D5:G5"/>
    <mergeCell ref="H5:J5"/>
  </mergeCells>
  <pageMargins left="0.7" right="0.7" top="0.75" bottom="0.75" header="0.3" footer="0.3"/>
  <pageSetup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zoomScaleNormal="100" workbookViewId="0">
      <selection sqref="A1:K1"/>
    </sheetView>
  </sheetViews>
  <sheetFormatPr defaultColWidth="9.140625" defaultRowHeight="12.75" x14ac:dyDescent="0.2"/>
  <cols>
    <col min="1" max="1" width="6.85546875" style="5" customWidth="1"/>
    <col min="2" max="2" width="26.7109375" style="5" customWidth="1"/>
    <col min="3" max="3" width="16" style="5" customWidth="1"/>
    <col min="4" max="4" width="16.7109375" style="5" customWidth="1"/>
    <col min="5" max="5" width="17.7109375" style="5" customWidth="1"/>
    <col min="6" max="6" width="17.28515625" style="5" customWidth="1"/>
    <col min="7" max="8" width="19" style="5" customWidth="1"/>
    <col min="9" max="9" width="11.5703125" style="5" customWidth="1"/>
    <col min="10" max="10" width="10.85546875" style="5" customWidth="1"/>
    <col min="11" max="11" width="12.85546875" style="5" customWidth="1"/>
    <col min="12" max="12" width="14" style="5" customWidth="1"/>
    <col min="13" max="13" width="1.85546875" style="5" customWidth="1"/>
    <col min="14" max="14" width="9.140625" style="5"/>
    <col min="15" max="15" width="16.5703125" style="5" customWidth="1"/>
    <col min="16" max="16" width="14" style="5" customWidth="1"/>
    <col min="17" max="17" width="13" style="5" customWidth="1"/>
    <col min="18" max="18" width="11.5703125" style="5" customWidth="1"/>
    <col min="19" max="19" width="13.140625" style="5" customWidth="1"/>
    <col min="20" max="16384" width="9.140625" style="5"/>
  </cols>
  <sheetData>
    <row r="1" spans="1:19" s="1" customFormat="1" ht="20.100000000000001" customHeight="1" x14ac:dyDescent="0.2">
      <c r="A1" s="274" t="s">
        <v>63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2"/>
    </row>
    <row r="2" spans="1:19" s="1" customFormat="1" ht="20.100000000000001" customHeight="1" x14ac:dyDescent="0.2">
      <c r="A2" s="274" t="s">
        <v>29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2"/>
    </row>
    <row r="3" spans="1:19" s="1" customFormat="1" ht="20.100000000000001" customHeight="1" x14ac:dyDescent="0.2">
      <c r="A3" s="274" t="s">
        <v>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2"/>
    </row>
    <row r="4" spans="1:19" s="1" customFormat="1" ht="20.100000000000001" customHeight="1" x14ac:dyDescent="0.2">
      <c r="A4" s="274" t="s">
        <v>34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2"/>
    </row>
    <row r="5" spans="1:19" s="1" customFormat="1" ht="20.100000000000001" customHeight="1" x14ac:dyDescent="0.2">
      <c r="A5" s="273" t="s">
        <v>30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2"/>
    </row>
    <row r="6" spans="1:19" s="1" customFormat="1" ht="20.100000000000001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9" s="1" customFormat="1" ht="20.100000000000001" customHeight="1" x14ac:dyDescent="0.2"/>
    <row r="8" spans="1:19" ht="66" customHeight="1" x14ac:dyDescent="0.2">
      <c r="A8" s="13" t="s">
        <v>2</v>
      </c>
      <c r="B8" s="13" t="s">
        <v>10</v>
      </c>
      <c r="C8" s="13" t="s">
        <v>142</v>
      </c>
      <c r="D8" s="13" t="s">
        <v>35</v>
      </c>
      <c r="E8" s="13" t="s">
        <v>24</v>
      </c>
      <c r="F8" s="13" t="s">
        <v>27</v>
      </c>
      <c r="G8" s="13" t="s">
        <v>11</v>
      </c>
      <c r="H8" s="13" t="s">
        <v>25</v>
      </c>
      <c r="I8" s="13" t="s">
        <v>12</v>
      </c>
      <c r="J8" s="13" t="s">
        <v>13</v>
      </c>
      <c r="K8" s="13" t="s">
        <v>36</v>
      </c>
      <c r="L8" s="10"/>
    </row>
    <row r="9" spans="1:19" ht="18.95" customHeight="1" x14ac:dyDescent="0.2">
      <c r="A9" s="6"/>
      <c r="B9" s="23" t="s">
        <v>14</v>
      </c>
      <c r="C9" s="23" t="s">
        <v>15</v>
      </c>
      <c r="D9" s="23" t="s">
        <v>16</v>
      </c>
      <c r="E9" s="23" t="s">
        <v>17</v>
      </c>
      <c r="F9" s="23" t="s">
        <v>58</v>
      </c>
      <c r="G9" s="23" t="s">
        <v>18</v>
      </c>
      <c r="H9" s="23" t="s">
        <v>59</v>
      </c>
      <c r="I9" s="23" t="s">
        <v>26</v>
      </c>
      <c r="J9" s="23" t="s">
        <v>60</v>
      </c>
      <c r="K9" s="23" t="s">
        <v>61</v>
      </c>
      <c r="L9" s="23"/>
    </row>
    <row r="10" spans="1:19" ht="18.95" customHeight="1" x14ac:dyDescent="0.2">
      <c r="A10" s="6"/>
      <c r="B10" s="11"/>
      <c r="C10" s="11"/>
      <c r="D10" s="12" t="s">
        <v>3</v>
      </c>
      <c r="E10" s="12" t="s">
        <v>19</v>
      </c>
      <c r="F10" s="12" t="s">
        <v>3</v>
      </c>
      <c r="G10" s="12" t="s">
        <v>3</v>
      </c>
      <c r="H10" s="12" t="s">
        <v>3</v>
      </c>
      <c r="I10" s="12"/>
      <c r="J10" s="12" t="s">
        <v>19</v>
      </c>
      <c r="K10" s="12" t="s">
        <v>19</v>
      </c>
      <c r="L10" s="12"/>
    </row>
    <row r="11" spans="1:19" ht="18.95" customHeight="1" x14ac:dyDescent="0.2">
      <c r="A11" s="9"/>
      <c r="B11" s="7" t="s">
        <v>64</v>
      </c>
      <c r="C11" s="10"/>
      <c r="D11" s="8"/>
      <c r="E11" s="8"/>
      <c r="F11" s="8"/>
      <c r="G11" s="8"/>
      <c r="H11" s="8"/>
      <c r="I11" s="8"/>
      <c r="J11" s="8"/>
      <c r="K11" s="8"/>
      <c r="L11" s="8"/>
      <c r="O11" s="1"/>
      <c r="P11" s="33"/>
      <c r="Q11" s="33"/>
      <c r="R11" s="33"/>
      <c r="S11" s="33"/>
    </row>
    <row r="12" spans="1:19" ht="18.95" customHeight="1" x14ac:dyDescent="0.2">
      <c r="A12" s="9">
        <v>1</v>
      </c>
      <c r="B12" s="7" t="s">
        <v>20</v>
      </c>
      <c r="C12" s="10"/>
      <c r="D12" s="8">
        <v>164253636.76010498</v>
      </c>
      <c r="E12" s="24">
        <v>0.82679999999999998</v>
      </c>
      <c r="F12" s="8">
        <f>D12*E12</f>
        <v>135804906.87325481</v>
      </c>
      <c r="G12" s="8">
        <v>-42447870.683637224</v>
      </c>
      <c r="H12" s="8">
        <f>SUM(F12:G12)</f>
        <v>93357036.189617574</v>
      </c>
      <c r="I12" s="24">
        <f>H12/H$18</f>
        <v>3.8219320965742258E-2</v>
      </c>
      <c r="J12" s="24">
        <v>2.8985466479654654E-2</v>
      </c>
      <c r="K12" s="24">
        <f>I12*J12</f>
        <v>1.1078048467276845E-3</v>
      </c>
      <c r="L12" s="8"/>
      <c r="N12" s="24"/>
      <c r="O12" s="8"/>
      <c r="P12" s="8"/>
      <c r="Q12" s="8"/>
      <c r="R12" s="8"/>
      <c r="S12" s="8"/>
    </row>
    <row r="13" spans="1:19" ht="18.95" customHeight="1" x14ac:dyDescent="0.2">
      <c r="A13" s="9"/>
      <c r="B13" s="7"/>
      <c r="C13" s="10"/>
      <c r="D13" s="8"/>
      <c r="E13" s="25"/>
      <c r="F13" s="8"/>
      <c r="G13" s="8"/>
      <c r="H13" s="8"/>
      <c r="I13" s="24"/>
      <c r="J13" s="25"/>
      <c r="K13" s="24"/>
      <c r="L13" s="8"/>
      <c r="N13" s="24"/>
      <c r="O13" s="8"/>
      <c r="P13" s="8"/>
      <c r="Q13" s="8"/>
      <c r="R13" s="8"/>
      <c r="S13" s="8"/>
    </row>
    <row r="14" spans="1:19" ht="18.95" customHeight="1" x14ac:dyDescent="0.2">
      <c r="A14" s="9">
        <v>2</v>
      </c>
      <c r="B14" s="7" t="s">
        <v>21</v>
      </c>
      <c r="C14" s="10"/>
      <c r="D14" s="8">
        <v>1844220474.7447608</v>
      </c>
      <c r="E14" s="26">
        <f>E$12</f>
        <v>0.82679999999999998</v>
      </c>
      <c r="F14" s="8">
        <f>D14*E14</f>
        <v>1524801488.5189681</v>
      </c>
      <c r="G14" s="8">
        <v>-476599689.16496825</v>
      </c>
      <c r="H14" s="8">
        <f>SUM(F14:G14)</f>
        <v>1048201799.3539999</v>
      </c>
      <c r="I14" s="24">
        <f>H14/H$18</f>
        <v>0.42912203130581406</v>
      </c>
      <c r="J14" s="26">
        <v>4.1840506422896467E-2</v>
      </c>
      <c r="K14" s="24">
        <f>I14*J14</f>
        <v>1.7954683107057293E-2</v>
      </c>
      <c r="N14" s="24"/>
      <c r="O14" s="8"/>
      <c r="P14" s="8"/>
      <c r="Q14" s="8"/>
      <c r="R14" s="8"/>
      <c r="S14" s="8"/>
    </row>
    <row r="15" spans="1:19" ht="18.95" customHeight="1" x14ac:dyDescent="0.2">
      <c r="A15" s="9"/>
      <c r="B15" s="7"/>
      <c r="C15" s="10"/>
      <c r="D15" s="27"/>
      <c r="E15" s="29"/>
      <c r="F15" s="27"/>
      <c r="G15" s="27"/>
      <c r="H15" s="27"/>
      <c r="I15" s="28"/>
      <c r="J15" s="29"/>
      <c r="K15" s="28"/>
      <c r="L15" s="27"/>
      <c r="N15" s="28"/>
      <c r="O15" s="27"/>
      <c r="P15" s="27"/>
      <c r="Q15" s="27"/>
      <c r="R15" s="27"/>
      <c r="S15" s="27"/>
    </row>
    <row r="16" spans="1:19" ht="18.95" customHeight="1" x14ac:dyDescent="0.2">
      <c r="A16" s="9">
        <v>3</v>
      </c>
      <c r="B16" s="7" t="s">
        <v>22</v>
      </c>
      <c r="C16" s="10"/>
      <c r="D16" s="59">
        <v>2289185622.0977564</v>
      </c>
      <c r="E16" s="26">
        <f>E$12</f>
        <v>0.82679999999999998</v>
      </c>
      <c r="F16" s="14">
        <f>D16*E16</f>
        <v>1892698672.350425</v>
      </c>
      <c r="G16" s="14">
        <v>-591591499.42942846</v>
      </c>
      <c r="H16" s="14">
        <f>SUM(F16:G16)</f>
        <v>1301107172.9209967</v>
      </c>
      <c r="I16" s="30">
        <f>H16/H$18</f>
        <v>0.53265864772844373</v>
      </c>
      <c r="J16" s="24">
        <v>9.7000000000000003E-2</v>
      </c>
      <c r="K16" s="30">
        <f>I16*J16</f>
        <v>5.1667888829659045E-2</v>
      </c>
      <c r="L16" s="8"/>
      <c r="N16" s="24"/>
      <c r="O16" s="8"/>
      <c r="P16" s="8"/>
      <c r="Q16" s="8"/>
      <c r="R16" s="8"/>
      <c r="S16" s="8"/>
    </row>
    <row r="17" spans="1:19" ht="18.95" customHeight="1" x14ac:dyDescent="0.2">
      <c r="A17" s="9"/>
      <c r="B17" s="7"/>
      <c r="C17" s="10"/>
      <c r="D17" s="8"/>
      <c r="E17" s="25"/>
      <c r="F17" s="8"/>
      <c r="G17" s="8"/>
      <c r="H17" s="8"/>
      <c r="I17" s="24"/>
      <c r="J17" s="25"/>
      <c r="K17" s="24"/>
      <c r="L17" s="8"/>
      <c r="N17" s="25"/>
      <c r="O17" s="8"/>
      <c r="P17" s="8"/>
      <c r="Q17" s="8"/>
      <c r="R17" s="8"/>
      <c r="S17" s="8"/>
    </row>
    <row r="18" spans="1:19" ht="18.95" customHeight="1" thickBot="1" x14ac:dyDescent="0.25">
      <c r="A18" s="9">
        <v>4</v>
      </c>
      <c r="B18" s="7" t="s">
        <v>23</v>
      </c>
      <c r="C18" s="10"/>
      <c r="D18" s="15">
        <v>4297659733.602622</v>
      </c>
      <c r="E18" s="25"/>
      <c r="F18" s="15">
        <f>SUM(F12:F16)</f>
        <v>3553305067.7426481</v>
      </c>
      <c r="G18" s="15">
        <f>SUM(G12:G16)</f>
        <v>-1110639059.278034</v>
      </c>
      <c r="H18" s="15">
        <f>SUM(H12:H16)</f>
        <v>2442666008.4646139</v>
      </c>
      <c r="I18" s="31">
        <f>SUM(I12:I16)</f>
        <v>1</v>
      </c>
      <c r="J18" s="25"/>
      <c r="K18" s="31">
        <f>SUM(K12:K16)</f>
        <v>7.0730376783444016E-2</v>
      </c>
      <c r="L18" s="8"/>
      <c r="N18" s="24"/>
      <c r="O18" s="8"/>
      <c r="P18" s="8"/>
      <c r="Q18" s="8"/>
      <c r="R18" s="8"/>
      <c r="S18" s="8"/>
    </row>
    <row r="19" spans="1:19" ht="18.95" customHeight="1" thickTop="1" x14ac:dyDescent="0.2">
      <c r="A19" s="9"/>
      <c r="B19" s="7"/>
      <c r="C19" s="10"/>
      <c r="D19" s="19"/>
      <c r="E19" s="19"/>
      <c r="F19" s="19"/>
      <c r="G19" s="19"/>
      <c r="H19" s="19"/>
      <c r="I19" s="19"/>
      <c r="J19" s="19"/>
      <c r="K19" s="19"/>
      <c r="L19" s="19"/>
      <c r="O19" s="32"/>
      <c r="P19" s="32"/>
      <c r="Q19" s="32"/>
      <c r="R19" s="32"/>
      <c r="S19" s="32"/>
    </row>
    <row r="20" spans="1:19" s="1" customFormat="1" ht="20.100000000000001" customHeight="1" x14ac:dyDescent="0.2">
      <c r="A20" s="274" t="str">
        <f>A1</f>
        <v>LOUISVILLE GAS AND ELECTRIC COMPANY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2"/>
    </row>
    <row r="21" spans="1:19" s="1" customFormat="1" ht="20.100000000000001" customHeight="1" x14ac:dyDescent="0.2">
      <c r="A21" s="274" t="str">
        <f>A2</f>
        <v>CASE NO. 2017-00477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2"/>
    </row>
    <row r="22" spans="1:19" s="1" customFormat="1" ht="20.100000000000001" customHeight="1" x14ac:dyDescent="0.2">
      <c r="A22" s="274" t="str">
        <f>A3</f>
        <v>COST OF CAPITAL SUMMARY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2"/>
    </row>
    <row r="23" spans="1:19" s="1" customFormat="1" ht="20.100000000000001" customHeight="1" x14ac:dyDescent="0.2">
      <c r="A23" s="274" t="str">
        <f>A4</f>
        <v>SEVENTEEN MONTH AVERAGE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2"/>
    </row>
    <row r="24" spans="1:19" s="1" customFormat="1" ht="20.100000000000001" customHeight="1" x14ac:dyDescent="0.2">
      <c r="A24" s="274" t="str">
        <f>A5</f>
        <v>FROM JANUARY 1, 2018 TO APRIL 30, 2019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2"/>
    </row>
    <row r="25" spans="1:19" s="1" customFormat="1" ht="20.100000000000001" customHeight="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9" s="1" customFormat="1" ht="20.100000000000001" customHeight="1" x14ac:dyDescent="0.2"/>
    <row r="27" spans="1:19" ht="66" customHeight="1" x14ac:dyDescent="0.2">
      <c r="A27" s="13" t="s">
        <v>2</v>
      </c>
      <c r="B27" s="13" t="s">
        <v>10</v>
      </c>
      <c r="C27" s="13" t="s">
        <v>142</v>
      </c>
      <c r="D27" s="13" t="s">
        <v>35</v>
      </c>
      <c r="E27" s="13" t="s">
        <v>24</v>
      </c>
      <c r="F27" s="13" t="s">
        <v>27</v>
      </c>
      <c r="G27" s="13" t="s">
        <v>11</v>
      </c>
      <c r="H27" s="13" t="s">
        <v>25</v>
      </c>
      <c r="I27" s="13" t="s">
        <v>12</v>
      </c>
      <c r="J27" s="13" t="s">
        <v>13</v>
      </c>
      <c r="K27" s="13" t="s">
        <v>36</v>
      </c>
      <c r="L27" s="10"/>
    </row>
    <row r="28" spans="1:19" ht="18.95" customHeight="1" x14ac:dyDescent="0.2">
      <c r="A28" s="6"/>
      <c r="B28" s="23" t="s">
        <v>14</v>
      </c>
      <c r="C28" s="23" t="s">
        <v>15</v>
      </c>
      <c r="D28" s="23" t="s">
        <v>16</v>
      </c>
      <c r="E28" s="23" t="s">
        <v>17</v>
      </c>
      <c r="F28" s="23" t="s">
        <v>58</v>
      </c>
      <c r="G28" s="23" t="s">
        <v>18</v>
      </c>
      <c r="H28" s="23" t="s">
        <v>59</v>
      </c>
      <c r="I28" s="23" t="s">
        <v>26</v>
      </c>
      <c r="J28" s="23" t="s">
        <v>60</v>
      </c>
      <c r="K28" s="23" t="s">
        <v>61</v>
      </c>
      <c r="L28" s="23"/>
    </row>
    <row r="29" spans="1:19" ht="18.95" customHeight="1" x14ac:dyDescent="0.2">
      <c r="A29" s="6"/>
      <c r="B29" s="11"/>
      <c r="C29" s="11"/>
      <c r="D29" s="12" t="s">
        <v>3</v>
      </c>
      <c r="E29" s="12" t="s">
        <v>19</v>
      </c>
      <c r="F29" s="12" t="s">
        <v>3</v>
      </c>
      <c r="G29" s="12" t="s">
        <v>3</v>
      </c>
      <c r="H29" s="12" t="s">
        <v>3</v>
      </c>
      <c r="I29" s="12"/>
      <c r="J29" s="12" t="s">
        <v>19</v>
      </c>
      <c r="K29" s="12" t="s">
        <v>19</v>
      </c>
      <c r="L29" s="12"/>
    </row>
    <row r="30" spans="1:19" ht="18.95" customHeight="1" x14ac:dyDescent="0.2">
      <c r="A30" s="9"/>
      <c r="B30" s="7" t="s">
        <v>74</v>
      </c>
      <c r="C30" s="10"/>
      <c r="D30" s="8"/>
      <c r="E30" s="8"/>
      <c r="F30" s="8"/>
      <c r="G30" s="8"/>
      <c r="H30" s="8"/>
      <c r="I30" s="8"/>
      <c r="J30" s="8"/>
      <c r="K30" s="8"/>
      <c r="L30" s="8"/>
      <c r="O30" s="1"/>
      <c r="P30" s="33"/>
      <c r="Q30" s="33"/>
      <c r="R30" s="33"/>
      <c r="S30" s="33"/>
    </row>
    <row r="31" spans="1:19" ht="18.95" customHeight="1" x14ac:dyDescent="0.2">
      <c r="A31" s="9">
        <v>1</v>
      </c>
      <c r="B31" s="7" t="s">
        <v>20</v>
      </c>
      <c r="C31" s="10"/>
      <c r="D31" s="8">
        <f>D12</f>
        <v>164253636.76010498</v>
      </c>
      <c r="E31" s="24">
        <v>0.17319999999999999</v>
      </c>
      <c r="F31" s="8">
        <f>D31*E31</f>
        <v>28448729.886850182</v>
      </c>
      <c r="G31" s="8">
        <v>-2133819.6884625265</v>
      </c>
      <c r="H31" s="8">
        <f>SUM(F31:G31)</f>
        <v>26314910.198387656</v>
      </c>
      <c r="I31" s="24">
        <f>H31/H$37</f>
        <v>3.8219320965742258E-2</v>
      </c>
      <c r="J31" s="24">
        <f>J12</f>
        <v>2.8985466479654654E-2</v>
      </c>
      <c r="K31" s="24">
        <f>I31*J31</f>
        <v>1.1078048467276845E-3</v>
      </c>
      <c r="L31" s="8"/>
      <c r="N31" s="24"/>
      <c r="O31" s="8"/>
      <c r="P31" s="8"/>
      <c r="Q31" s="8"/>
      <c r="R31" s="8"/>
      <c r="S31" s="8"/>
    </row>
    <row r="32" spans="1:19" ht="18.95" customHeight="1" x14ac:dyDescent="0.2">
      <c r="A32" s="9"/>
      <c r="B32" s="7"/>
      <c r="C32" s="10"/>
      <c r="D32" s="8"/>
      <c r="E32" s="25"/>
      <c r="F32" s="8"/>
      <c r="G32" s="8"/>
      <c r="H32" s="8"/>
      <c r="I32" s="24"/>
      <c r="J32" s="25"/>
      <c r="K32" s="24"/>
      <c r="L32" s="8"/>
      <c r="N32" s="24"/>
      <c r="O32" s="8"/>
      <c r="P32" s="8"/>
      <c r="Q32" s="8"/>
      <c r="R32" s="8"/>
      <c r="S32" s="8"/>
    </row>
    <row r="33" spans="1:19" ht="18.95" customHeight="1" x14ac:dyDescent="0.2">
      <c r="A33" s="9">
        <v>2</v>
      </c>
      <c r="B33" s="7" t="s">
        <v>21</v>
      </c>
      <c r="C33" s="10"/>
      <c r="D33" s="8">
        <f>D14</f>
        <v>1844220474.7447608</v>
      </c>
      <c r="E33" s="26">
        <f>E$31</f>
        <v>0.17319999999999999</v>
      </c>
      <c r="F33" s="8">
        <f>D33*E33</f>
        <v>319418986.22579253</v>
      </c>
      <c r="G33" s="8">
        <v>-23958275.971834641</v>
      </c>
      <c r="H33" s="8">
        <f>SUM(F33:G33)</f>
        <v>295460710.25395787</v>
      </c>
      <c r="I33" s="24">
        <f>H33/H$37</f>
        <v>0.42912203130581394</v>
      </c>
      <c r="J33" s="26">
        <f>J14</f>
        <v>4.1840506422896467E-2</v>
      </c>
      <c r="K33" s="24">
        <f>I33*J33</f>
        <v>1.7954683107057286E-2</v>
      </c>
      <c r="N33" s="24"/>
      <c r="O33" s="8"/>
      <c r="P33" s="8"/>
      <c r="Q33" s="8"/>
      <c r="R33" s="8"/>
      <c r="S33" s="8"/>
    </row>
    <row r="34" spans="1:19" ht="18.95" customHeight="1" x14ac:dyDescent="0.2">
      <c r="A34" s="9"/>
      <c r="B34" s="7"/>
      <c r="C34" s="10"/>
      <c r="D34" s="27"/>
      <c r="E34" s="29"/>
      <c r="F34" s="27"/>
      <c r="G34" s="27"/>
      <c r="H34" s="27"/>
      <c r="I34" s="28"/>
      <c r="J34" s="29"/>
      <c r="K34" s="28"/>
      <c r="L34" s="27"/>
      <c r="N34" s="28"/>
      <c r="O34" s="27"/>
      <c r="P34" s="27"/>
      <c r="Q34" s="27"/>
      <c r="R34" s="27"/>
      <c r="S34" s="27"/>
    </row>
    <row r="35" spans="1:19" ht="18.95" customHeight="1" x14ac:dyDescent="0.2">
      <c r="A35" s="9">
        <v>3</v>
      </c>
      <c r="B35" s="7" t="s">
        <v>22</v>
      </c>
      <c r="C35" s="10"/>
      <c r="D35" s="59">
        <f>D16</f>
        <v>2289185622.0977564</v>
      </c>
      <c r="E35" s="26">
        <f>E$31</f>
        <v>0.17319999999999999</v>
      </c>
      <c r="F35" s="14">
        <f>D35*E35</f>
        <v>396486949.74733138</v>
      </c>
      <c r="G35" s="14">
        <v>-29738820.079288255</v>
      </c>
      <c r="H35" s="14">
        <f>SUM(F35:G35)</f>
        <v>366748129.66804314</v>
      </c>
      <c r="I35" s="30">
        <f>H35/H$37</f>
        <v>0.53265864772844373</v>
      </c>
      <c r="J35" s="24">
        <v>9.7000000000000003E-2</v>
      </c>
      <c r="K35" s="30">
        <f>I35*J35</f>
        <v>5.1667888829659045E-2</v>
      </c>
      <c r="L35" s="8"/>
      <c r="N35" s="24"/>
      <c r="O35" s="8"/>
      <c r="P35" s="8"/>
      <c r="Q35" s="8"/>
      <c r="R35" s="8"/>
      <c r="S35" s="8"/>
    </row>
    <row r="36" spans="1:19" ht="18.95" customHeight="1" x14ac:dyDescent="0.2">
      <c r="A36" s="9"/>
      <c r="B36" s="7"/>
      <c r="C36" s="10"/>
      <c r="D36" s="8"/>
      <c r="E36" s="25"/>
      <c r="F36" s="8"/>
      <c r="G36" s="8"/>
      <c r="H36" s="8"/>
      <c r="I36" s="24"/>
      <c r="J36" s="25"/>
      <c r="K36" s="24"/>
      <c r="L36" s="8"/>
      <c r="N36" s="25"/>
      <c r="O36" s="8"/>
      <c r="P36" s="8"/>
      <c r="Q36" s="8"/>
      <c r="R36" s="8"/>
      <c r="S36" s="8"/>
    </row>
    <row r="37" spans="1:19" ht="18.95" customHeight="1" thickBot="1" x14ac:dyDescent="0.25">
      <c r="A37" s="9">
        <v>4</v>
      </c>
      <c r="B37" s="7" t="s">
        <v>23</v>
      </c>
      <c r="C37" s="10"/>
      <c r="D37" s="15">
        <f>SUM(D31:D35)</f>
        <v>4297659733.602622</v>
      </c>
      <c r="E37" s="25"/>
      <c r="F37" s="15">
        <f>SUM(F31:F35)</f>
        <v>744354665.85997415</v>
      </c>
      <c r="G37" s="15">
        <f>SUM(G31:G35)</f>
        <v>-55830915.739585422</v>
      </c>
      <c r="H37" s="15">
        <f>SUM(H31:H35)</f>
        <v>688523750.12038875</v>
      </c>
      <c r="I37" s="31">
        <f>SUM(I31:I35)</f>
        <v>1</v>
      </c>
      <c r="J37" s="25"/>
      <c r="K37" s="31">
        <f>SUM(K31:K35)</f>
        <v>7.0730376783444016E-2</v>
      </c>
      <c r="L37" s="8"/>
      <c r="N37" s="24"/>
      <c r="O37" s="8"/>
      <c r="P37" s="8"/>
      <c r="Q37" s="8"/>
      <c r="R37" s="8"/>
      <c r="S37" s="8"/>
    </row>
    <row r="38" spans="1:19" ht="18.95" customHeight="1" thickTop="1" x14ac:dyDescent="0.2">
      <c r="A38" s="9"/>
      <c r="B38" s="7"/>
      <c r="C38" s="10"/>
      <c r="D38" s="19"/>
      <c r="E38" s="19"/>
      <c r="F38" s="19"/>
      <c r="G38" s="19"/>
      <c r="H38" s="19"/>
      <c r="I38" s="19"/>
      <c r="J38" s="19"/>
      <c r="K38" s="19"/>
      <c r="L38" s="19"/>
      <c r="O38" s="32"/>
      <c r="P38" s="32"/>
      <c r="Q38" s="32"/>
      <c r="R38" s="32"/>
      <c r="S38" s="32"/>
    </row>
    <row r="39" spans="1:19" ht="18.95" customHeight="1" x14ac:dyDescent="0.2">
      <c r="A39" s="9"/>
      <c r="B39" s="2"/>
      <c r="C39" s="10"/>
    </row>
    <row r="40" spans="1:19" ht="18.95" customHeight="1" x14ac:dyDescent="0.2"/>
    <row r="41" spans="1:19" ht="18.95" customHeight="1" x14ac:dyDescent="0.2"/>
    <row r="42" spans="1:19" ht="18.95" customHeight="1" x14ac:dyDescent="0.2"/>
    <row r="43" spans="1:19" ht="18.95" customHeight="1" x14ac:dyDescent="0.2"/>
    <row r="44" spans="1:19" ht="18.95" customHeight="1" x14ac:dyDescent="0.2"/>
    <row r="45" spans="1:19" ht="18.95" customHeight="1" x14ac:dyDescent="0.2"/>
    <row r="46" spans="1:19" ht="18.95" customHeight="1" x14ac:dyDescent="0.2"/>
    <row r="47" spans="1:19" ht="18.95" customHeight="1" x14ac:dyDescent="0.2"/>
    <row r="48" spans="1:19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</sheetData>
  <mergeCells count="10">
    <mergeCell ref="A1:K1"/>
    <mergeCell ref="A2:K2"/>
    <mergeCell ref="A3:K3"/>
    <mergeCell ref="A4:K4"/>
    <mergeCell ref="A5:K5"/>
    <mergeCell ref="A20:K20"/>
    <mergeCell ref="A21:K21"/>
    <mergeCell ref="A22:K22"/>
    <mergeCell ref="A23:K23"/>
    <mergeCell ref="A24:K24"/>
  </mergeCells>
  <pageMargins left="0.7" right="0.7" top="1" bottom="0.75" header="0.3" footer="0.3"/>
  <pageSetup scale="65" fitToHeight="0" orientation="landscape" r:id="rId1"/>
  <rowBreaks count="2" manualBreakCount="2">
    <brk id="19" max="12" man="1"/>
    <brk id="40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zoomScaleNormal="100" workbookViewId="0">
      <selection activeCell="L23" sqref="L23"/>
    </sheetView>
  </sheetViews>
  <sheetFormatPr defaultRowHeight="12.75" x14ac:dyDescent="0.2"/>
  <cols>
    <col min="1" max="1" width="6.85546875" style="5" customWidth="1"/>
    <col min="2" max="2" width="26.7109375" style="5" customWidth="1"/>
    <col min="3" max="3" width="16" style="5" customWidth="1"/>
    <col min="4" max="4" width="16.7109375" style="5" customWidth="1"/>
    <col min="5" max="5" width="17.7109375" style="5" customWidth="1"/>
    <col min="6" max="6" width="17.28515625" style="5" customWidth="1"/>
    <col min="7" max="8" width="19" style="5" customWidth="1"/>
    <col min="9" max="9" width="11.5703125" style="5" customWidth="1"/>
    <col min="10" max="10" width="10.85546875" style="5" customWidth="1"/>
    <col min="11" max="11" width="12.85546875" style="5" customWidth="1"/>
    <col min="12" max="12" width="15" style="5" customWidth="1"/>
    <col min="13" max="13" width="12.85546875" style="5" customWidth="1"/>
    <col min="14" max="14" width="14" style="5" customWidth="1"/>
    <col min="15" max="15" width="1.85546875" style="5" customWidth="1"/>
    <col min="16" max="16" width="9.140625" style="5"/>
    <col min="17" max="17" width="16.5703125" style="5" customWidth="1"/>
    <col min="18" max="18" width="16.42578125" style="5" customWidth="1"/>
    <col min="19" max="19" width="15.5703125" style="5" customWidth="1"/>
    <col min="20" max="20" width="11.5703125" style="5" customWidth="1"/>
    <col min="21" max="21" width="13.140625" style="5" customWidth="1"/>
    <col min="22" max="16384" width="9.140625" style="5"/>
  </cols>
  <sheetData>
    <row r="1" spans="1:21" s="1" customFormat="1" ht="20.100000000000001" customHeight="1" x14ac:dyDescent="0.2">
      <c r="A1" s="274" t="s">
        <v>63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94"/>
      <c r="M1" s="194"/>
      <c r="N1" s="22"/>
    </row>
    <row r="2" spans="1:21" s="1" customFormat="1" ht="20.100000000000001" customHeight="1" x14ac:dyDescent="0.2">
      <c r="A2" s="274" t="s">
        <v>294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94"/>
      <c r="M2" s="194"/>
      <c r="N2" s="22"/>
    </row>
    <row r="3" spans="1:21" s="1" customFormat="1" ht="20.100000000000001" customHeight="1" x14ac:dyDescent="0.2">
      <c r="A3" s="274" t="s">
        <v>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194"/>
      <c r="M3" s="194"/>
      <c r="N3" s="22"/>
    </row>
    <row r="4" spans="1:21" s="1" customFormat="1" ht="20.100000000000001" customHeight="1" x14ac:dyDescent="0.2">
      <c r="A4" s="274" t="s">
        <v>295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194"/>
      <c r="M4" s="194"/>
      <c r="N4" s="22"/>
    </row>
    <row r="5" spans="1:21" s="1" customFormat="1" ht="20.100000000000001" customHeight="1" x14ac:dyDescent="0.2">
      <c r="A5" s="273" t="s">
        <v>296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194"/>
      <c r="M5" s="194"/>
      <c r="N5" s="22"/>
    </row>
    <row r="6" spans="1:21" s="1" customFormat="1" ht="20.100000000000001" customHeight="1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21" s="1" customFormat="1" ht="20.100000000000001" customHeight="1" x14ac:dyDescent="0.2">
      <c r="A7" s="2" t="s">
        <v>297</v>
      </c>
      <c r="K7" s="3"/>
      <c r="L7" s="3"/>
      <c r="M7" s="3"/>
    </row>
    <row r="8" spans="1:21" s="1" customFormat="1" ht="20.100000000000001" customHeight="1" x14ac:dyDescent="0.2">
      <c r="A8" s="2" t="s">
        <v>298</v>
      </c>
      <c r="K8" s="3" t="s">
        <v>299</v>
      </c>
      <c r="L8" s="3"/>
      <c r="M8" s="3"/>
    </row>
    <row r="9" spans="1:21" s="1" customFormat="1" ht="20.100000000000001" customHeight="1" x14ac:dyDescent="0.2">
      <c r="A9" s="203" t="s">
        <v>300</v>
      </c>
      <c r="K9" s="3" t="s">
        <v>301</v>
      </c>
      <c r="L9" s="3"/>
      <c r="M9" s="3"/>
    </row>
    <row r="10" spans="1:21" s="1" customFormat="1" ht="20.100000000000001" customHeight="1" x14ac:dyDescent="0.2">
      <c r="A10" s="2" t="s">
        <v>302</v>
      </c>
      <c r="K10" s="4" t="s">
        <v>303</v>
      </c>
      <c r="L10" s="4"/>
      <c r="M10" s="4"/>
    </row>
    <row r="11" spans="1:21" s="1" customFormat="1" ht="20.100000000000001" customHeight="1" x14ac:dyDescent="0.2"/>
    <row r="12" spans="1:21" ht="66" customHeight="1" x14ac:dyDescent="0.2">
      <c r="A12" s="13" t="s">
        <v>2</v>
      </c>
      <c r="B12" s="13" t="s">
        <v>10</v>
      </c>
      <c r="C12" s="13" t="s">
        <v>304</v>
      </c>
      <c r="D12" s="13" t="s">
        <v>305</v>
      </c>
      <c r="E12" s="13" t="s">
        <v>24</v>
      </c>
      <c r="F12" s="13" t="s">
        <v>27</v>
      </c>
      <c r="G12" s="13" t="s">
        <v>11</v>
      </c>
      <c r="H12" s="13" t="s">
        <v>25</v>
      </c>
      <c r="I12" s="13" t="s">
        <v>12</v>
      </c>
      <c r="J12" s="13" t="s">
        <v>13</v>
      </c>
      <c r="K12" s="13" t="s">
        <v>306</v>
      </c>
      <c r="L12" s="13" t="s">
        <v>31</v>
      </c>
      <c r="M12" s="13" t="s">
        <v>32</v>
      </c>
      <c r="N12" s="10"/>
      <c r="Q12" s="13" t="s">
        <v>11</v>
      </c>
      <c r="R12" s="13" t="s">
        <v>307</v>
      </c>
      <c r="S12" s="13" t="s">
        <v>11</v>
      </c>
    </row>
    <row r="13" spans="1:21" ht="18.95" customHeight="1" x14ac:dyDescent="0.2">
      <c r="A13" s="6"/>
      <c r="B13" s="23" t="s">
        <v>14</v>
      </c>
      <c r="C13" s="23" t="s">
        <v>15</v>
      </c>
      <c r="D13" s="23" t="s">
        <v>16</v>
      </c>
      <c r="E13" s="23" t="s">
        <v>17</v>
      </c>
      <c r="F13" s="23" t="s">
        <v>58</v>
      </c>
      <c r="G13" s="23" t="s">
        <v>18</v>
      </c>
      <c r="H13" s="23" t="s">
        <v>59</v>
      </c>
      <c r="I13" s="23" t="s">
        <v>26</v>
      </c>
      <c r="J13" s="23" t="s">
        <v>60</v>
      </c>
      <c r="K13" s="23" t="s">
        <v>61</v>
      </c>
      <c r="L13" s="39">
        <f>'SCH H-1 (ORDER)'!E24+'SCH H-1 (ORDER)'!E30</f>
        <v>0.38652480699999997</v>
      </c>
      <c r="M13" s="39"/>
      <c r="N13" s="23"/>
      <c r="Q13" s="23" t="s">
        <v>18</v>
      </c>
      <c r="S13" s="23" t="s">
        <v>18</v>
      </c>
    </row>
    <row r="14" spans="1:21" ht="18.95" customHeight="1" x14ac:dyDescent="0.2">
      <c r="A14" s="6"/>
      <c r="B14" s="11"/>
      <c r="C14" s="11"/>
      <c r="D14" s="12" t="s">
        <v>3</v>
      </c>
      <c r="E14" s="12" t="s">
        <v>19</v>
      </c>
      <c r="F14" s="12" t="s">
        <v>3</v>
      </c>
      <c r="G14" s="12" t="s">
        <v>3</v>
      </c>
      <c r="H14" s="12" t="s">
        <v>3</v>
      </c>
      <c r="I14" s="12"/>
      <c r="J14" s="12" t="s">
        <v>19</v>
      </c>
      <c r="K14" s="12" t="s">
        <v>19</v>
      </c>
      <c r="L14" s="12" t="s">
        <v>19</v>
      </c>
      <c r="M14" s="12" t="s">
        <v>19</v>
      </c>
      <c r="N14" s="12"/>
      <c r="Q14" s="12" t="s">
        <v>3</v>
      </c>
      <c r="R14" s="12" t="s">
        <v>3</v>
      </c>
      <c r="S14" s="12" t="s">
        <v>3</v>
      </c>
    </row>
    <row r="15" spans="1:21" ht="18.95" customHeight="1" x14ac:dyDescent="0.2">
      <c r="A15" s="9"/>
      <c r="B15" s="7" t="s">
        <v>64</v>
      </c>
      <c r="C15" s="10"/>
      <c r="D15" s="8"/>
      <c r="E15" s="8"/>
      <c r="F15" s="8"/>
      <c r="G15" s="8"/>
      <c r="H15" s="8"/>
      <c r="I15" s="8"/>
      <c r="J15" s="8"/>
      <c r="K15" s="8"/>
      <c r="L15" s="8"/>
      <c r="N15" s="8"/>
      <c r="Q15" s="8"/>
      <c r="R15" s="8"/>
      <c r="S15" s="8"/>
      <c r="T15" s="33"/>
      <c r="U15" s="33"/>
    </row>
    <row r="16" spans="1:21" ht="18.95" customHeight="1" x14ac:dyDescent="0.2">
      <c r="A16" s="9">
        <v>1</v>
      </c>
      <c r="B16" s="7" t="s">
        <v>20</v>
      </c>
      <c r="C16" s="10" t="s">
        <v>308</v>
      </c>
      <c r="D16" s="8">
        <v>159467796.15777439</v>
      </c>
      <c r="E16" s="24">
        <v>0.82679999999999998</v>
      </c>
      <c r="F16" s="8">
        <f>D16*E16</f>
        <v>131847973.86324786</v>
      </c>
      <c r="G16" s="8">
        <f>S16</f>
        <v>-40566630.433415323</v>
      </c>
      <c r="H16" s="8">
        <f>SUM(F16:G16)</f>
        <v>91281343.429832533</v>
      </c>
      <c r="I16" s="24">
        <f>H16/H$22</f>
        <v>3.8219320965742258E-2</v>
      </c>
      <c r="J16" s="24">
        <v>7.1687229005509669E-3</v>
      </c>
      <c r="K16" s="24">
        <f>I16*J16</f>
        <v>2.7398372145062423E-4</v>
      </c>
      <c r="L16" s="24"/>
      <c r="M16" s="24">
        <f>SUM(K16:L16)</f>
        <v>2.7398372145062423E-4</v>
      </c>
      <c r="N16" s="8"/>
      <c r="P16" s="24">
        <v>3.8219320965742258E-2</v>
      </c>
      <c r="Q16" s="8">
        <v>-39787057.813342631</v>
      </c>
      <c r="R16" s="8">
        <f>P16*R$22</f>
        <v>-779572.62007269007</v>
      </c>
      <c r="S16" s="8">
        <f>SUM(Q16:R16)</f>
        <v>-40566630.433415323</v>
      </c>
      <c r="T16" s="8"/>
      <c r="U16" s="8"/>
    </row>
    <row r="17" spans="1:21" ht="18.95" customHeight="1" x14ac:dyDescent="0.2">
      <c r="A17" s="9"/>
      <c r="B17" s="7"/>
      <c r="C17" s="10"/>
      <c r="D17" s="8"/>
      <c r="E17" s="25"/>
      <c r="F17" s="8"/>
      <c r="G17" s="8"/>
      <c r="H17" s="8"/>
      <c r="I17" s="24"/>
      <c r="J17" s="25"/>
      <c r="K17" s="24"/>
      <c r="L17" s="25"/>
      <c r="M17" s="25"/>
      <c r="N17" s="8"/>
      <c r="P17" s="24"/>
      <c r="Q17" s="8"/>
      <c r="R17" s="8"/>
      <c r="S17" s="8"/>
      <c r="T17" s="8"/>
      <c r="U17" s="8"/>
    </row>
    <row r="18" spans="1:21" ht="18.95" customHeight="1" x14ac:dyDescent="0.2">
      <c r="A18" s="9">
        <v>2</v>
      </c>
      <c r="B18" s="7" t="s">
        <v>21</v>
      </c>
      <c r="C18" s="10" t="s">
        <v>309</v>
      </c>
      <c r="D18" s="8">
        <v>1790485620.5170054</v>
      </c>
      <c r="E18" s="26">
        <f>E$16</f>
        <v>0.82679999999999998</v>
      </c>
      <c r="F18" s="8">
        <f>D18*E18</f>
        <v>1480373511.0434601</v>
      </c>
      <c r="G18" s="8">
        <f>S18</f>
        <v>-455477345.35689574</v>
      </c>
      <c r="H18" s="8">
        <f>SUM(F18:G18)</f>
        <v>1024896165.6865644</v>
      </c>
      <c r="I18" s="24">
        <f>H18/H$22</f>
        <v>0.42912203130581406</v>
      </c>
      <c r="J18" s="26">
        <v>4.1167863220251344E-2</v>
      </c>
      <c r="K18" s="24">
        <f>I18*J18</f>
        <v>1.7666037089594168E-2</v>
      </c>
      <c r="L18" s="24"/>
      <c r="M18" s="24">
        <f>SUM(K18:L18)</f>
        <v>1.7666037089594168E-2</v>
      </c>
      <c r="P18" s="24">
        <v>0.42912203130581406</v>
      </c>
      <c r="Q18" s="8">
        <v>-446724395.85850346</v>
      </c>
      <c r="R18" s="8">
        <f>P18*R$22</f>
        <v>-8752949.49839231</v>
      </c>
      <c r="S18" s="8">
        <f>SUM(Q18:R18)</f>
        <v>-455477345.35689574</v>
      </c>
      <c r="T18" s="8"/>
      <c r="U18" s="8"/>
    </row>
    <row r="19" spans="1:21" ht="18.95" customHeight="1" x14ac:dyDescent="0.2">
      <c r="A19" s="9"/>
      <c r="B19" s="7"/>
      <c r="C19" s="10"/>
      <c r="D19" s="27"/>
      <c r="E19" s="29"/>
      <c r="F19" s="27"/>
      <c r="G19" s="27"/>
      <c r="H19" s="27"/>
      <c r="I19" s="28"/>
      <c r="J19" s="29"/>
      <c r="K19" s="28"/>
      <c r="L19" s="28"/>
      <c r="M19" s="28"/>
      <c r="N19" s="27"/>
      <c r="P19" s="28"/>
      <c r="Q19" s="27"/>
      <c r="R19" s="27"/>
      <c r="S19" s="27"/>
      <c r="T19" s="27"/>
      <c r="U19" s="27"/>
    </row>
    <row r="20" spans="1:21" ht="18.95" customHeight="1" x14ac:dyDescent="0.2">
      <c r="A20" s="9">
        <v>3</v>
      </c>
      <c r="B20" s="7" t="s">
        <v>22</v>
      </c>
      <c r="C20" s="10"/>
      <c r="D20" s="59">
        <v>2222485866.0825648</v>
      </c>
      <c r="E20" s="26">
        <f>E$16</f>
        <v>0.82679999999999998</v>
      </c>
      <c r="F20" s="14">
        <f>D20*E20</f>
        <v>1837551314.0770645</v>
      </c>
      <c r="G20" s="14">
        <f>S20</f>
        <v>-565372852.35734379</v>
      </c>
      <c r="H20" s="14">
        <f>SUM(F20:G20)</f>
        <v>1272178461.7197208</v>
      </c>
      <c r="I20" s="30">
        <f>H20/H$22</f>
        <v>0.53265864772844373</v>
      </c>
      <c r="J20" s="24">
        <v>9.7000000000000003E-2</v>
      </c>
      <c r="K20" s="30">
        <f>I20*J20</f>
        <v>5.1667888829659045E-2</v>
      </c>
      <c r="L20" s="30">
        <f>K20*(L13/(1-L13))</f>
        <v>3.2553754391143601E-2</v>
      </c>
      <c r="M20" s="30">
        <f>SUM(K20:L20)</f>
        <v>8.4221643220802639E-2</v>
      </c>
      <c r="N20" s="8"/>
      <c r="P20" s="24">
        <v>0.53265864772844373</v>
      </c>
      <c r="Q20" s="14">
        <v>-554508030.92353964</v>
      </c>
      <c r="R20" s="14">
        <f>P20*R$22</f>
        <v>-10864821.433804207</v>
      </c>
      <c r="S20" s="14">
        <f>SUM(Q20:R20)</f>
        <v>-565372852.35734379</v>
      </c>
      <c r="T20" s="8"/>
      <c r="U20" s="8"/>
    </row>
    <row r="21" spans="1:21" ht="18.95" customHeight="1" x14ac:dyDescent="0.2">
      <c r="A21" s="9"/>
      <c r="B21" s="7"/>
      <c r="C21" s="10"/>
      <c r="D21" s="8"/>
      <c r="E21" s="25"/>
      <c r="F21" s="8"/>
      <c r="G21" s="8"/>
      <c r="H21" s="8"/>
      <c r="I21" s="24"/>
      <c r="J21" s="25"/>
      <c r="K21" s="24"/>
      <c r="L21" s="24"/>
      <c r="M21" s="24"/>
      <c r="N21" s="8"/>
      <c r="P21" s="25"/>
      <c r="Q21" s="8"/>
      <c r="R21" s="8"/>
      <c r="S21" s="8"/>
      <c r="T21" s="8"/>
      <c r="U21" s="8"/>
    </row>
    <row r="22" spans="1:21" ht="18.95" customHeight="1" thickBot="1" x14ac:dyDescent="0.25">
      <c r="A22" s="9">
        <v>4</v>
      </c>
      <c r="B22" s="7" t="s">
        <v>23</v>
      </c>
      <c r="C22" s="10"/>
      <c r="D22" s="15">
        <f>SUM(D16:D20)</f>
        <v>4172439282.7573447</v>
      </c>
      <c r="E22" s="25"/>
      <c r="F22" s="15">
        <f>SUM(F16:F20)</f>
        <v>3449772798.9837723</v>
      </c>
      <c r="G22" s="15">
        <f>SUM(G16:G20)</f>
        <v>-1061416828.1476549</v>
      </c>
      <c r="H22" s="15">
        <f>SUM(H16:H20)</f>
        <v>2388355970.8361177</v>
      </c>
      <c r="I22" s="31">
        <f>SUM(I16:I20)</f>
        <v>1</v>
      </c>
      <c r="J22" s="25"/>
      <c r="K22" s="31">
        <f>SUM(K16:K20)</f>
        <v>6.9607909640703833E-2</v>
      </c>
      <c r="L22" s="31">
        <f t="shared" ref="L22:M22" si="0">SUM(L16:L20)</f>
        <v>3.2553754391143601E-2</v>
      </c>
      <c r="M22" s="31">
        <f t="shared" si="0"/>
        <v>0.10216166403184743</v>
      </c>
      <c r="N22" s="8"/>
      <c r="P22" s="24">
        <v>1</v>
      </c>
      <c r="Q22" s="15">
        <f>SUM(Q16:Q20)</f>
        <v>-1041019484.5953858</v>
      </c>
      <c r="R22" s="15">
        <f>R24+R25</f>
        <v>-20397343.552269205</v>
      </c>
      <c r="S22" s="15">
        <f>SUM(S16:S20)</f>
        <v>-1061416828.1476549</v>
      </c>
      <c r="T22" s="8"/>
      <c r="U22" s="8"/>
    </row>
    <row r="23" spans="1:21" ht="18.95" customHeight="1" thickTop="1" x14ac:dyDescent="0.2">
      <c r="A23" s="9"/>
      <c r="B23" s="7"/>
      <c r="C23" s="1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Q23" s="32"/>
      <c r="R23" s="32"/>
      <c r="S23" s="32"/>
      <c r="T23" s="32"/>
      <c r="U23" s="32"/>
    </row>
    <row r="24" spans="1:21" s="1" customFormat="1" ht="20.100000000000001" customHeight="1" x14ac:dyDescent="0.2">
      <c r="A24" s="274" t="str">
        <f>A1</f>
        <v>LOUISVILLE GAS AND ELECTRIC COMPANY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194"/>
      <c r="M24" s="194"/>
      <c r="N24" s="22"/>
      <c r="R24" s="8">
        <v>-3659428.2952692062</v>
      </c>
      <c r="S24" s="1" t="s">
        <v>310</v>
      </c>
    </row>
    <row r="25" spans="1:21" s="1" customFormat="1" ht="20.100000000000001" customHeight="1" x14ac:dyDescent="0.2">
      <c r="A25" s="274" t="str">
        <f>A2</f>
        <v>CASE NO. 2016-00371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194"/>
      <c r="M25" s="194"/>
      <c r="N25" s="22"/>
      <c r="R25" s="8">
        <v>-16737915.256999999</v>
      </c>
      <c r="S25" s="1" t="s">
        <v>311</v>
      </c>
    </row>
    <row r="26" spans="1:21" s="1" customFormat="1" ht="20.100000000000001" customHeight="1" x14ac:dyDescent="0.2">
      <c r="A26" s="274" t="str">
        <f>A3</f>
        <v>COST OF CAPITAL SUMMARY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194"/>
      <c r="M26" s="194"/>
      <c r="N26" s="22"/>
      <c r="R26" s="8"/>
    </row>
    <row r="27" spans="1:21" s="1" customFormat="1" ht="20.100000000000001" customHeight="1" x14ac:dyDescent="0.2">
      <c r="A27" s="274" t="str">
        <f>A4</f>
        <v>THIRTEEN MONTH AVERAGE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194"/>
      <c r="M27" s="194"/>
      <c r="N27" s="22"/>
      <c r="R27" s="8"/>
    </row>
    <row r="28" spans="1:21" s="1" customFormat="1" ht="20.100000000000001" customHeight="1" x14ac:dyDescent="0.2">
      <c r="A28" s="274" t="str">
        <f>A5</f>
        <v>FROM JULY 1, 2017 TO JUNE 30, 2018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194"/>
      <c r="M28" s="194"/>
      <c r="N28" s="22"/>
      <c r="R28" s="8"/>
    </row>
    <row r="29" spans="1:21" s="1" customFormat="1" ht="20.100000000000001" customHeight="1" x14ac:dyDescent="0.2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</row>
    <row r="30" spans="1:21" s="1" customFormat="1" ht="20.100000000000001" customHeight="1" x14ac:dyDescent="0.2">
      <c r="A30" s="2" t="str">
        <f>A7</f>
        <v>DATA:____BASE  PERIOD__X__FORECASTED  PERIOD</v>
      </c>
      <c r="K30" s="3"/>
      <c r="L30" s="3"/>
      <c r="M30" s="3"/>
    </row>
    <row r="31" spans="1:21" s="1" customFormat="1" ht="20.100000000000001" customHeight="1" x14ac:dyDescent="0.2">
      <c r="A31" s="2" t="str">
        <f>A8</f>
        <v>DATE OF CAPITAL STRUCTURE: 13 MO AVG FOR FORECASTED  PERIOD</v>
      </c>
      <c r="K31" s="3" t="s">
        <v>299</v>
      </c>
      <c r="L31" s="3"/>
      <c r="M31" s="3"/>
    </row>
    <row r="32" spans="1:21" s="1" customFormat="1" ht="20.100000000000001" customHeight="1" x14ac:dyDescent="0.2">
      <c r="A32" s="1" t="str">
        <f>A9</f>
        <v>TYPE OF FILING: _____ ORIGINAL  _____ UPDATED  __X__ REVISED</v>
      </c>
      <c r="K32" s="3" t="s">
        <v>312</v>
      </c>
      <c r="L32" s="3"/>
      <c r="M32" s="3"/>
    </row>
    <row r="33" spans="1:21" s="1" customFormat="1" ht="20.100000000000001" customHeight="1" x14ac:dyDescent="0.2">
      <c r="A33" s="2" t="str">
        <f>A10</f>
        <v xml:space="preserve">WORKPAPER REFERENCE NO(S).: </v>
      </c>
      <c r="K33" s="4" t="str">
        <f>K10</f>
        <v>WITNESS:   D. K. ARBOUGH</v>
      </c>
      <c r="L33" s="4"/>
      <c r="M33" s="4"/>
    </row>
    <row r="34" spans="1:21" s="1" customFormat="1" ht="20.100000000000001" customHeight="1" x14ac:dyDescent="0.2"/>
    <row r="35" spans="1:21" ht="66" customHeight="1" x14ac:dyDescent="0.2">
      <c r="A35" s="13" t="s">
        <v>2</v>
      </c>
      <c r="B35" s="13" t="s">
        <v>10</v>
      </c>
      <c r="C35" s="13" t="s">
        <v>304</v>
      </c>
      <c r="D35" s="13" t="s">
        <v>305</v>
      </c>
      <c r="E35" s="13" t="s">
        <v>24</v>
      </c>
      <c r="F35" s="13" t="s">
        <v>27</v>
      </c>
      <c r="G35" s="13" t="s">
        <v>11</v>
      </c>
      <c r="H35" s="13" t="s">
        <v>25</v>
      </c>
      <c r="I35" s="13" t="s">
        <v>12</v>
      </c>
      <c r="J35" s="13" t="s">
        <v>13</v>
      </c>
      <c r="K35" s="13" t="s">
        <v>306</v>
      </c>
      <c r="L35" s="13" t="s">
        <v>31</v>
      </c>
      <c r="M35" s="13" t="s">
        <v>32</v>
      </c>
      <c r="N35" s="10"/>
    </row>
    <row r="36" spans="1:21" ht="18.95" customHeight="1" x14ac:dyDescent="0.2">
      <c r="A36" s="6"/>
      <c r="B36" s="23" t="s">
        <v>14</v>
      </c>
      <c r="C36" s="23" t="s">
        <v>15</v>
      </c>
      <c r="D36" s="23" t="s">
        <v>16</v>
      </c>
      <c r="E36" s="23" t="s">
        <v>17</v>
      </c>
      <c r="F36" s="23" t="s">
        <v>58</v>
      </c>
      <c r="G36" s="23" t="s">
        <v>18</v>
      </c>
      <c r="H36" s="23" t="s">
        <v>59</v>
      </c>
      <c r="I36" s="23" t="s">
        <v>26</v>
      </c>
      <c r="J36" s="23" t="s">
        <v>60</v>
      </c>
      <c r="K36" s="23" t="s">
        <v>61</v>
      </c>
      <c r="L36" s="39">
        <f>'SCH H-1 (ORDER)'!E24+'SCH H-1 (ORDER)'!E30</f>
        <v>0.38652480699999997</v>
      </c>
      <c r="M36" s="39"/>
      <c r="N36" s="23"/>
    </row>
    <row r="37" spans="1:21" ht="18.95" customHeight="1" x14ac:dyDescent="0.2">
      <c r="A37" s="6"/>
      <c r="B37" s="11"/>
      <c r="C37" s="11"/>
      <c r="D37" s="12" t="s">
        <v>3</v>
      </c>
      <c r="E37" s="12" t="s">
        <v>19</v>
      </c>
      <c r="F37" s="12" t="s">
        <v>3</v>
      </c>
      <c r="G37" s="12" t="s">
        <v>3</v>
      </c>
      <c r="H37" s="12" t="s">
        <v>3</v>
      </c>
      <c r="I37" s="12"/>
      <c r="J37" s="12" t="s">
        <v>19</v>
      </c>
      <c r="K37" s="12" t="s">
        <v>19</v>
      </c>
      <c r="L37" s="12" t="s">
        <v>19</v>
      </c>
      <c r="M37" s="12" t="s">
        <v>19</v>
      </c>
      <c r="N37" s="12"/>
    </row>
    <row r="38" spans="1:21" ht="18.95" customHeight="1" x14ac:dyDescent="0.2">
      <c r="A38" s="9"/>
      <c r="B38" s="7" t="s">
        <v>74</v>
      </c>
      <c r="C38" s="10"/>
      <c r="D38" s="8"/>
      <c r="E38" s="8"/>
      <c r="F38" s="8"/>
      <c r="G38" s="8"/>
      <c r="H38" s="8"/>
      <c r="I38" s="8"/>
      <c r="J38" s="8"/>
      <c r="K38" s="8"/>
      <c r="L38" s="8"/>
      <c r="N38" s="8"/>
      <c r="Q38" s="1"/>
      <c r="R38" s="33"/>
      <c r="S38" s="33"/>
      <c r="T38" s="33"/>
      <c r="U38" s="33"/>
    </row>
    <row r="39" spans="1:21" ht="18.95" customHeight="1" x14ac:dyDescent="0.2">
      <c r="A39" s="9">
        <v>1</v>
      </c>
      <c r="B39" s="7" t="s">
        <v>20</v>
      </c>
      <c r="C39" s="10" t="s">
        <v>308</v>
      </c>
      <c r="D39" s="8">
        <f>D16</f>
        <v>159467796.15777439</v>
      </c>
      <c r="E39" s="24">
        <v>0.17319999999999999</v>
      </c>
      <c r="F39" s="8">
        <f>D39*E39</f>
        <v>27619822.294526525</v>
      </c>
      <c r="G39" s="8">
        <v>-1036294.2310528322</v>
      </c>
      <c r="H39" s="8">
        <f>SUM(F39:G39)</f>
        <v>26583528.063473694</v>
      </c>
      <c r="I39" s="24">
        <f>H39/H$45</f>
        <v>3.8219320965742265E-2</v>
      </c>
      <c r="J39" s="24">
        <f>J16</f>
        <v>7.1687229005509669E-3</v>
      </c>
      <c r="K39" s="24">
        <f>I39*J39</f>
        <v>2.7398372145062428E-4</v>
      </c>
      <c r="L39" s="24"/>
      <c r="M39" s="24">
        <f>SUM(K39:L39)</f>
        <v>2.7398372145062428E-4</v>
      </c>
      <c r="N39" s="8"/>
      <c r="P39" s="24"/>
      <c r="Q39" s="8"/>
      <c r="R39" s="8"/>
      <c r="S39" s="8"/>
      <c r="T39" s="8"/>
      <c r="U39" s="8"/>
    </row>
    <row r="40" spans="1:21" ht="18.95" customHeight="1" x14ac:dyDescent="0.2">
      <c r="A40" s="9"/>
      <c r="B40" s="7"/>
      <c r="C40" s="10"/>
      <c r="D40" s="8"/>
      <c r="E40" s="25"/>
      <c r="F40" s="8"/>
      <c r="G40" s="8"/>
      <c r="H40" s="8"/>
      <c r="I40" s="24"/>
      <c r="J40" s="25"/>
      <c r="K40" s="24"/>
      <c r="L40" s="25"/>
      <c r="M40" s="25"/>
      <c r="N40" s="8"/>
      <c r="P40" s="24"/>
      <c r="Q40" s="8"/>
      <c r="R40" s="8"/>
      <c r="S40" s="8"/>
      <c r="T40" s="8"/>
      <c r="U40" s="8"/>
    </row>
    <row r="41" spans="1:21" ht="18.95" customHeight="1" x14ac:dyDescent="0.2">
      <c r="A41" s="9">
        <v>2</v>
      </c>
      <c r="B41" s="7" t="s">
        <v>21</v>
      </c>
      <c r="C41" s="10" t="s">
        <v>309</v>
      </c>
      <c r="D41" s="8">
        <f>D18</f>
        <v>1790485620.5170054</v>
      </c>
      <c r="E41" s="26">
        <f>E$39</f>
        <v>0.17319999999999999</v>
      </c>
      <c r="F41" s="8">
        <f>D41*E41</f>
        <v>310112109.47354531</v>
      </c>
      <c r="G41" s="8">
        <v>-11635389.489480728</v>
      </c>
      <c r="H41" s="8">
        <f>SUM(F41:G41)</f>
        <v>298476719.98406458</v>
      </c>
      <c r="I41" s="24">
        <f>H41/H$45</f>
        <v>0.429122031305814</v>
      </c>
      <c r="J41" s="26">
        <f>J18</f>
        <v>4.1167863220251344E-2</v>
      </c>
      <c r="K41" s="24">
        <f>I41*J41</f>
        <v>1.7666037089594164E-2</v>
      </c>
      <c r="L41" s="24"/>
      <c r="M41" s="24">
        <f>SUM(K41:L41)</f>
        <v>1.7666037089594164E-2</v>
      </c>
      <c r="P41" s="24"/>
      <c r="Q41" s="8"/>
      <c r="R41" s="8"/>
      <c r="S41" s="8"/>
      <c r="T41" s="8"/>
      <c r="U41" s="8"/>
    </row>
    <row r="42" spans="1:21" ht="18.95" customHeight="1" x14ac:dyDescent="0.2">
      <c r="A42" s="9"/>
      <c r="B42" s="7"/>
      <c r="C42" s="10"/>
      <c r="D42" s="27"/>
      <c r="E42" s="29"/>
      <c r="F42" s="27"/>
      <c r="G42" s="27"/>
      <c r="H42" s="27"/>
      <c r="I42" s="28"/>
      <c r="J42" s="29"/>
      <c r="K42" s="28"/>
      <c r="L42" s="28"/>
      <c r="M42" s="28"/>
      <c r="N42" s="27"/>
      <c r="P42" s="28"/>
      <c r="Q42" s="27"/>
      <c r="R42" s="27"/>
      <c r="S42" s="27"/>
      <c r="T42" s="27"/>
      <c r="U42" s="27"/>
    </row>
    <row r="43" spans="1:21" ht="18.95" customHeight="1" x14ac:dyDescent="0.2">
      <c r="A43" s="9">
        <v>3</v>
      </c>
      <c r="B43" s="7" t="s">
        <v>22</v>
      </c>
      <c r="C43" s="10"/>
      <c r="D43" s="59">
        <f>D20</f>
        <v>2222485866.0825648</v>
      </c>
      <c r="E43" s="26">
        <f>E$39</f>
        <v>0.17319999999999999</v>
      </c>
      <c r="F43" s="14">
        <f>D43*E43</f>
        <v>384934552.0055002</v>
      </c>
      <c r="G43" s="14">
        <v>-14442723.465865973</v>
      </c>
      <c r="H43" s="14">
        <f>SUM(F43:G43)</f>
        <v>370491828.53963423</v>
      </c>
      <c r="I43" s="30">
        <f>H43/H$45</f>
        <v>0.53265864772844373</v>
      </c>
      <c r="J43" s="24">
        <v>9.7000000000000003E-2</v>
      </c>
      <c r="K43" s="30">
        <f>I43*J43</f>
        <v>5.1667888829659045E-2</v>
      </c>
      <c r="L43" s="30">
        <f>K43*(L36/(1-L36))</f>
        <v>3.2553754391143601E-2</v>
      </c>
      <c r="M43" s="30">
        <f>SUM(K43:L43)</f>
        <v>8.4221643220802639E-2</v>
      </c>
      <c r="N43" s="8"/>
      <c r="P43" s="24"/>
      <c r="Q43" s="8"/>
      <c r="R43" s="8"/>
      <c r="S43" s="8"/>
      <c r="T43" s="8"/>
      <c r="U43" s="8"/>
    </row>
    <row r="44" spans="1:21" ht="18.95" customHeight="1" x14ac:dyDescent="0.2">
      <c r="A44" s="9"/>
      <c r="B44" s="7"/>
      <c r="C44" s="10"/>
      <c r="D44" s="8"/>
      <c r="E44" s="25"/>
      <c r="F44" s="8"/>
      <c r="G44" s="8"/>
      <c r="H44" s="8"/>
      <c r="I44" s="24"/>
      <c r="J44" s="25"/>
      <c r="K44" s="24"/>
      <c r="L44" s="24"/>
      <c r="M44" s="24"/>
      <c r="N44" s="8"/>
      <c r="P44" s="25"/>
      <c r="Q44" s="8"/>
      <c r="R44" s="8"/>
      <c r="S44" s="8"/>
      <c r="T44" s="8"/>
      <c r="U44" s="8"/>
    </row>
    <row r="45" spans="1:21" ht="18.95" customHeight="1" thickBot="1" x14ac:dyDescent="0.25">
      <c r="A45" s="9">
        <v>4</v>
      </c>
      <c r="B45" s="7" t="s">
        <v>23</v>
      </c>
      <c r="C45" s="10"/>
      <c r="D45" s="15">
        <f>SUM(D39:D43)</f>
        <v>4172439282.7573447</v>
      </c>
      <c r="E45" s="25"/>
      <c r="F45" s="15">
        <f>SUM(F39:F43)</f>
        <v>722666483.77357197</v>
      </c>
      <c r="G45" s="15">
        <f>SUM(G39:G43)</f>
        <v>-27114407.186399534</v>
      </c>
      <c r="H45" s="15">
        <f>SUM(H39:H43)</f>
        <v>695552076.58717251</v>
      </c>
      <c r="I45" s="31">
        <f>SUM(I39:I43)</f>
        <v>1</v>
      </c>
      <c r="J45" s="25"/>
      <c r="K45" s="31">
        <f>SUM(K39:K43)</f>
        <v>6.9607909640703833E-2</v>
      </c>
      <c r="L45" s="31">
        <f t="shared" ref="L45:M45" si="1">SUM(L39:L43)</f>
        <v>3.2553754391143601E-2</v>
      </c>
      <c r="M45" s="31">
        <f t="shared" si="1"/>
        <v>0.10216166403184743</v>
      </c>
      <c r="N45" s="8"/>
      <c r="P45" s="24"/>
      <c r="Q45" s="8"/>
      <c r="R45" s="8"/>
      <c r="S45" s="8"/>
      <c r="T45" s="8"/>
      <c r="U45" s="8"/>
    </row>
    <row r="46" spans="1:21" ht="18.95" customHeight="1" thickTop="1" x14ac:dyDescent="0.2">
      <c r="A46" s="9"/>
      <c r="B46" s="7"/>
      <c r="C46" s="1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32"/>
      <c r="R46" s="32"/>
      <c r="S46" s="32"/>
      <c r="T46" s="32"/>
      <c r="U46" s="32"/>
    </row>
    <row r="47" spans="1:21" ht="18.95" customHeight="1" x14ac:dyDescent="0.2">
      <c r="A47" s="9"/>
      <c r="B47" s="2"/>
      <c r="C47" s="10"/>
    </row>
    <row r="48" spans="1:21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</sheetData>
  <mergeCells count="10">
    <mergeCell ref="A25:K25"/>
    <mergeCell ref="A26:K26"/>
    <mergeCell ref="A27:K27"/>
    <mergeCell ref="A28:K28"/>
    <mergeCell ref="A1:K1"/>
    <mergeCell ref="A2:K2"/>
    <mergeCell ref="A3:K3"/>
    <mergeCell ref="A4:K4"/>
    <mergeCell ref="A5:K5"/>
    <mergeCell ref="A24:K24"/>
  </mergeCells>
  <pageMargins left="0.95" right="0.5" top="0.75" bottom="0.75" header="0.3" footer="0.3"/>
  <pageSetup scale="61" fitToHeight="0" orientation="landscape" r:id="rId1"/>
  <rowBreaks count="2" manualBreakCount="2">
    <brk id="23" max="12" man="1"/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Normal="100" workbookViewId="0">
      <selection activeCell="J22" sqref="J22"/>
    </sheetView>
  </sheetViews>
  <sheetFormatPr defaultRowHeight="12.75" x14ac:dyDescent="0.2"/>
  <cols>
    <col min="1" max="1" width="6.85546875" style="5" customWidth="1"/>
    <col min="2" max="2" width="59.42578125" style="5" customWidth="1"/>
    <col min="3" max="3" width="14.42578125" style="5" customWidth="1"/>
    <col min="4" max="4" width="18.85546875" style="5" customWidth="1"/>
    <col min="5" max="5" width="15.7109375" style="5" customWidth="1"/>
    <col min="6" max="6" width="1.85546875" style="5" customWidth="1"/>
    <col min="7" max="16384" width="9.140625" style="5"/>
  </cols>
  <sheetData>
    <row r="1" spans="1:5" s="1" customFormat="1" ht="20.100000000000001" customHeight="1" x14ac:dyDescent="0.2">
      <c r="A1" s="273" t="s">
        <v>63</v>
      </c>
      <c r="B1" s="274"/>
      <c r="C1" s="274"/>
      <c r="D1" s="274"/>
      <c r="E1" s="274"/>
    </row>
    <row r="2" spans="1:5" s="1" customFormat="1" ht="20.100000000000001" customHeight="1" x14ac:dyDescent="0.2">
      <c r="A2" s="273" t="s">
        <v>294</v>
      </c>
      <c r="B2" s="274"/>
      <c r="C2" s="274"/>
      <c r="D2" s="274"/>
      <c r="E2" s="274"/>
    </row>
    <row r="3" spans="1:5" s="1" customFormat="1" ht="20.100000000000001" customHeight="1" x14ac:dyDescent="0.2">
      <c r="A3" s="274" t="s">
        <v>313</v>
      </c>
      <c r="B3" s="274"/>
      <c r="C3" s="274"/>
      <c r="D3" s="274"/>
      <c r="E3" s="274"/>
    </row>
    <row r="4" spans="1:5" s="1" customFormat="1" ht="20.100000000000001" customHeight="1" x14ac:dyDescent="0.2">
      <c r="A4" s="273" t="s">
        <v>314</v>
      </c>
      <c r="B4" s="274"/>
      <c r="C4" s="274"/>
      <c r="D4" s="274"/>
      <c r="E4" s="274"/>
    </row>
    <row r="5" spans="1:5" s="1" customFormat="1" ht="20.100000000000001" customHeight="1" x14ac:dyDescent="0.2">
      <c r="A5" s="273" t="s">
        <v>315</v>
      </c>
      <c r="B5" s="274"/>
      <c r="C5" s="274"/>
      <c r="D5" s="274"/>
      <c r="E5" s="274"/>
    </row>
    <row r="6" spans="1:5" s="1" customFormat="1" ht="20.100000000000001" customHeight="1" x14ac:dyDescent="0.2">
      <c r="A6" s="193"/>
      <c r="B6" s="193"/>
      <c r="C6" s="193"/>
      <c r="D6" s="193"/>
      <c r="E6" s="193"/>
    </row>
    <row r="7" spans="1:5" s="1" customFormat="1" ht="20.100000000000001" customHeight="1" x14ac:dyDescent="0.2">
      <c r="A7" s="2" t="s">
        <v>316</v>
      </c>
      <c r="E7" s="3" t="s">
        <v>317</v>
      </c>
    </row>
    <row r="8" spans="1:5" s="1" customFormat="1" ht="20.100000000000001" customHeight="1" x14ac:dyDescent="0.2">
      <c r="A8" s="203" t="s">
        <v>300</v>
      </c>
      <c r="E8" s="3" t="s">
        <v>318</v>
      </c>
    </row>
    <row r="9" spans="1:5" s="1" customFormat="1" ht="20.100000000000001" customHeight="1" x14ac:dyDescent="0.2">
      <c r="A9" s="2" t="s">
        <v>319</v>
      </c>
      <c r="D9" s="2"/>
      <c r="E9" s="4" t="s">
        <v>320</v>
      </c>
    </row>
    <row r="10" spans="1:5" s="1" customFormat="1" ht="18.95" customHeight="1" x14ac:dyDescent="0.2"/>
    <row r="11" spans="1:5" s="1" customFormat="1" ht="30" customHeight="1" x14ac:dyDescent="0.2">
      <c r="A11" s="20"/>
      <c r="B11" s="20"/>
      <c r="C11" s="20"/>
      <c r="D11" s="286" t="s">
        <v>321</v>
      </c>
      <c r="E11" s="286"/>
    </row>
    <row r="12" spans="1:5" ht="24" customHeight="1" x14ac:dyDescent="0.2">
      <c r="A12" s="21" t="s">
        <v>2</v>
      </c>
      <c r="B12" s="21" t="s">
        <v>0</v>
      </c>
      <c r="C12" s="21"/>
      <c r="D12" s="21" t="s">
        <v>1</v>
      </c>
      <c r="E12" s="21" t="s">
        <v>5</v>
      </c>
    </row>
    <row r="13" spans="1:5" ht="18.95" customHeight="1" x14ac:dyDescent="0.2">
      <c r="A13" s="6"/>
      <c r="B13" s="11"/>
      <c r="C13" s="12"/>
      <c r="D13" s="12"/>
      <c r="E13" s="12"/>
    </row>
    <row r="14" spans="1:5" ht="18.95" customHeight="1" x14ac:dyDescent="0.2">
      <c r="A14" s="6">
        <v>1</v>
      </c>
      <c r="B14" s="7" t="s">
        <v>6</v>
      </c>
      <c r="C14" s="8"/>
      <c r="D14" s="204">
        <v>1</v>
      </c>
      <c r="E14" s="204">
        <v>1</v>
      </c>
    </row>
    <row r="15" spans="1:5" ht="18.95" customHeight="1" x14ac:dyDescent="0.2">
      <c r="A15" s="9"/>
      <c r="B15" s="7"/>
      <c r="C15" s="8"/>
      <c r="D15" s="204"/>
      <c r="E15" s="204"/>
    </row>
    <row r="16" spans="1:5" ht="18.95" customHeight="1" x14ac:dyDescent="0.2">
      <c r="A16" s="9">
        <v>2</v>
      </c>
      <c r="B16" s="7" t="s">
        <v>7</v>
      </c>
      <c r="C16" s="8"/>
      <c r="D16" s="204">
        <v>1.9400000000000001E-3</v>
      </c>
      <c r="E16" s="204">
        <f>D16</f>
        <v>1.9400000000000001E-3</v>
      </c>
    </row>
    <row r="17" spans="1:5" ht="18.95" customHeight="1" x14ac:dyDescent="0.2">
      <c r="A17" s="9"/>
      <c r="B17" s="7"/>
      <c r="C17" s="8"/>
      <c r="D17" s="204"/>
      <c r="E17" s="204"/>
    </row>
    <row r="18" spans="1:5" ht="18.95" customHeight="1" x14ac:dyDescent="0.2">
      <c r="A18" s="9">
        <v>3</v>
      </c>
      <c r="B18" s="7" t="s">
        <v>8</v>
      </c>
      <c r="D18" s="204">
        <v>1.941E-3</v>
      </c>
      <c r="E18" s="204">
        <f>D18</f>
        <v>1.941E-3</v>
      </c>
    </row>
    <row r="19" spans="1:5" ht="18.95" customHeight="1" x14ac:dyDescent="0.2">
      <c r="A19" s="9"/>
      <c r="B19" s="16"/>
      <c r="C19" s="8"/>
      <c r="D19" s="204"/>
      <c r="E19" s="204"/>
    </row>
    <row r="20" spans="1:5" ht="18.95" customHeight="1" x14ac:dyDescent="0.2">
      <c r="A20" s="9">
        <v>4</v>
      </c>
      <c r="B20" s="7" t="s">
        <v>322</v>
      </c>
      <c r="D20" s="205">
        <v>2.4756E-2</v>
      </c>
      <c r="E20" s="205"/>
    </row>
    <row r="21" spans="1:5" ht="18.95" customHeight="1" x14ac:dyDescent="0.2">
      <c r="A21" s="9"/>
      <c r="B21" s="206"/>
      <c r="D21" s="204"/>
      <c r="E21" s="204"/>
    </row>
    <row r="22" spans="1:5" ht="18.95" customHeight="1" x14ac:dyDescent="0.2">
      <c r="A22" s="9">
        <v>5</v>
      </c>
      <c r="B22" s="7" t="s">
        <v>323</v>
      </c>
      <c r="C22" s="8"/>
      <c r="D22" s="204">
        <f>D14-D16-D18-D20</f>
        <v>0.97136299999999998</v>
      </c>
      <c r="E22" s="204">
        <f>E14-E16-E18-E20</f>
        <v>0.99611899999999998</v>
      </c>
    </row>
    <row r="23" spans="1:5" ht="18.95" customHeight="1" x14ac:dyDescent="0.2">
      <c r="A23" s="9"/>
      <c r="B23" s="207"/>
      <c r="C23" s="8"/>
      <c r="D23" s="204"/>
      <c r="E23" s="204"/>
    </row>
    <row r="24" spans="1:5" ht="18.95" customHeight="1" x14ac:dyDescent="0.2">
      <c r="A24" s="9">
        <v>6</v>
      </c>
      <c r="B24" s="207" t="s">
        <v>324</v>
      </c>
      <c r="C24" s="18">
        <v>0.06</v>
      </c>
      <c r="D24" s="204">
        <f>D22*C24</f>
        <v>5.8281779999999998E-2</v>
      </c>
      <c r="E24" s="204">
        <f>D24</f>
        <v>5.8281779999999998E-2</v>
      </c>
    </row>
    <row r="25" spans="1:5" ht="18.95" customHeight="1" x14ac:dyDescent="0.2">
      <c r="A25" s="9"/>
      <c r="B25" s="207"/>
      <c r="C25" s="8"/>
      <c r="D25" s="204"/>
      <c r="E25" s="204"/>
    </row>
    <row r="26" spans="1:5" ht="18.95" customHeight="1" x14ac:dyDescent="0.2">
      <c r="A26" s="9">
        <v>7</v>
      </c>
      <c r="B26" s="7" t="s">
        <v>325</v>
      </c>
      <c r="C26" s="8"/>
      <c r="D26" s="204"/>
      <c r="E26" s="205">
        <v>0</v>
      </c>
    </row>
    <row r="27" spans="1:5" ht="18.95" customHeight="1" x14ac:dyDescent="0.2">
      <c r="A27" s="9"/>
      <c r="B27" s="207"/>
      <c r="C27" s="8"/>
      <c r="D27" s="204"/>
      <c r="E27" s="204"/>
    </row>
    <row r="28" spans="1:5" ht="18.95" customHeight="1" x14ac:dyDescent="0.2">
      <c r="A28" s="9">
        <v>8</v>
      </c>
      <c r="B28" s="7" t="s">
        <v>326</v>
      </c>
      <c r="D28" s="204"/>
      <c r="E28" s="204">
        <f>E22-E24-E26</f>
        <v>0.93783722000000003</v>
      </c>
    </row>
    <row r="29" spans="1:5" ht="18.95" customHeight="1" x14ac:dyDescent="0.2">
      <c r="A29" s="9"/>
      <c r="B29" s="208"/>
      <c r="C29" s="8"/>
      <c r="D29" s="204"/>
      <c r="E29" s="204"/>
    </row>
    <row r="30" spans="1:5" ht="18.95" customHeight="1" x14ac:dyDescent="0.2">
      <c r="A30" s="9">
        <v>9</v>
      </c>
      <c r="B30" s="207" t="s">
        <v>327</v>
      </c>
      <c r="C30" s="18">
        <v>0.35</v>
      </c>
      <c r="D30" s="209"/>
      <c r="E30" s="205">
        <f>E28*C30</f>
        <v>0.32824302699999997</v>
      </c>
    </row>
    <row r="31" spans="1:5" ht="18.95" customHeight="1" x14ac:dyDescent="0.2">
      <c r="A31" s="9"/>
      <c r="B31" s="208"/>
      <c r="C31" s="8"/>
      <c r="D31" s="204"/>
      <c r="E31" s="204"/>
    </row>
    <row r="32" spans="1:5" ht="18.95" customHeight="1" thickBot="1" x14ac:dyDescent="0.25">
      <c r="A32" s="9">
        <v>10</v>
      </c>
      <c r="B32" s="207" t="s">
        <v>328</v>
      </c>
      <c r="E32" s="210">
        <f>E22-E24-E30</f>
        <v>0.60959419300000006</v>
      </c>
    </row>
    <row r="33" spans="1:5" ht="18.95" customHeight="1" thickTop="1" x14ac:dyDescent="0.2">
      <c r="A33" s="9"/>
      <c r="B33" s="208"/>
      <c r="C33" s="8"/>
      <c r="D33" s="8"/>
      <c r="E33" s="8"/>
    </row>
    <row r="34" spans="1:5" ht="18.95" customHeight="1" thickBot="1" x14ac:dyDescent="0.25">
      <c r="A34" s="9">
        <v>11</v>
      </c>
      <c r="B34" s="207" t="s">
        <v>329</v>
      </c>
      <c r="E34" s="211">
        <f>E14/E32</f>
        <v>1.6404355741623673</v>
      </c>
    </row>
    <row r="35" spans="1:5" ht="18.95" customHeight="1" thickTop="1" x14ac:dyDescent="0.2">
      <c r="A35" s="9"/>
      <c r="B35" s="208"/>
      <c r="C35" s="18"/>
      <c r="D35" s="8"/>
      <c r="E35" s="18"/>
    </row>
    <row r="36" spans="1:5" ht="18.95" customHeight="1" x14ac:dyDescent="0.2"/>
    <row r="37" spans="1:5" ht="18.95" customHeight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0"/>
  <sheetViews>
    <sheetView showGridLines="0" zoomScaleNormal="100" workbookViewId="0">
      <selection activeCell="C7" sqref="C7"/>
    </sheetView>
  </sheetViews>
  <sheetFormatPr defaultColWidth="12.42578125" defaultRowHeight="12.75" x14ac:dyDescent="0.2"/>
  <cols>
    <col min="1" max="1" width="16.42578125" style="234" customWidth="1"/>
    <col min="2" max="2" width="36.7109375" style="234" customWidth="1"/>
    <col min="3" max="3" width="16.42578125" style="234" customWidth="1"/>
    <col min="4" max="4" width="6.5703125" style="234" customWidth="1"/>
    <col min="5" max="5" width="15.7109375" style="234" customWidth="1"/>
    <col min="6" max="6" width="15.7109375" style="236" customWidth="1"/>
    <col min="7" max="7" width="16.42578125" style="234" customWidth="1"/>
    <col min="8" max="16384" width="12.42578125" style="234"/>
  </cols>
  <sheetData>
    <row r="1" spans="1:7" ht="20.100000000000001" customHeight="1" x14ac:dyDescent="0.2">
      <c r="F1" s="3" t="s">
        <v>355</v>
      </c>
    </row>
    <row r="2" spans="1:7" ht="20.100000000000001" customHeight="1" x14ac:dyDescent="0.2">
      <c r="F2" s="3" t="s">
        <v>356</v>
      </c>
    </row>
    <row r="3" spans="1:7" ht="15.75" x14ac:dyDescent="0.25">
      <c r="A3" s="235"/>
      <c r="B3" s="287" t="s">
        <v>63</v>
      </c>
      <c r="C3" s="287"/>
      <c r="D3" s="287"/>
      <c r="E3" s="287"/>
      <c r="G3" s="237"/>
    </row>
    <row r="4" spans="1:7" ht="15.75" x14ac:dyDescent="0.25">
      <c r="A4" s="235"/>
      <c r="B4" s="287" t="s">
        <v>357</v>
      </c>
      <c r="C4" s="287"/>
      <c r="D4" s="287"/>
      <c r="E4" s="287"/>
      <c r="G4" s="237"/>
    </row>
    <row r="5" spans="1:7" ht="15.75" x14ac:dyDescent="0.25">
      <c r="A5" s="235"/>
      <c r="B5" s="287" t="s">
        <v>358</v>
      </c>
      <c r="C5" s="287"/>
      <c r="D5" s="287"/>
      <c r="E5" s="287"/>
      <c r="G5" s="238"/>
    </row>
    <row r="6" spans="1:7" ht="15.75" x14ac:dyDescent="0.25">
      <c r="A6" s="235"/>
      <c r="B6" s="288" t="s">
        <v>359</v>
      </c>
      <c r="C6" s="288"/>
      <c r="D6" s="288"/>
      <c r="E6" s="288"/>
      <c r="F6" s="239"/>
    </row>
    <row r="7" spans="1:7" ht="15.75" x14ac:dyDescent="0.25">
      <c r="B7" s="240"/>
      <c r="C7" s="240"/>
      <c r="D7" s="240"/>
      <c r="E7" s="240"/>
      <c r="F7" s="240"/>
    </row>
    <row r="8" spans="1:7" ht="15" x14ac:dyDescent="0.2">
      <c r="A8" s="241"/>
      <c r="B8" s="241"/>
      <c r="C8" s="242"/>
      <c r="D8" s="243"/>
      <c r="E8" s="244"/>
      <c r="F8" s="245"/>
    </row>
    <row r="9" spans="1:7" ht="15" x14ac:dyDescent="0.2">
      <c r="A9" s="241" t="s">
        <v>360</v>
      </c>
      <c r="B9" s="241"/>
      <c r="C9" s="246"/>
      <c r="D9" s="247"/>
      <c r="E9" s="248"/>
      <c r="F9" s="249">
        <v>1</v>
      </c>
    </row>
    <row r="10" spans="1:7" ht="15" x14ac:dyDescent="0.2">
      <c r="A10" s="250"/>
      <c r="B10" s="241"/>
      <c r="C10" s="244"/>
      <c r="D10" s="251"/>
      <c r="E10" s="244"/>
      <c r="F10" s="252"/>
    </row>
    <row r="11" spans="1:7" ht="15" x14ac:dyDescent="0.2">
      <c r="A11" s="250" t="s">
        <v>361</v>
      </c>
      <c r="B11" s="241"/>
      <c r="C11" s="244"/>
      <c r="D11" s="244"/>
      <c r="E11" s="244"/>
      <c r="F11" s="253">
        <f>F35</f>
        <v>0.06</v>
      </c>
    </row>
    <row r="12" spans="1:7" ht="15" x14ac:dyDescent="0.2">
      <c r="A12" s="250"/>
      <c r="B12" s="241"/>
      <c r="C12" s="244"/>
      <c r="D12" s="244"/>
      <c r="E12" s="244"/>
      <c r="F12" s="254"/>
    </row>
    <row r="13" spans="1:7" ht="15" x14ac:dyDescent="0.2">
      <c r="A13" s="255" t="s">
        <v>362</v>
      </c>
      <c r="B13" s="241"/>
      <c r="C13" s="256"/>
      <c r="D13" s="248"/>
      <c r="E13" s="256"/>
      <c r="F13" s="257">
        <f>+F9-F11</f>
        <v>0.94</v>
      </c>
    </row>
    <row r="14" spans="1:7" ht="15" x14ac:dyDescent="0.2">
      <c r="A14" s="258" t="s">
        <v>363</v>
      </c>
      <c r="B14" s="241"/>
      <c r="C14" s="256"/>
      <c r="D14" s="248"/>
      <c r="E14" s="259">
        <v>0.09</v>
      </c>
    </row>
    <row r="15" spans="1:7" ht="15" x14ac:dyDescent="0.2">
      <c r="A15" s="258" t="s">
        <v>364</v>
      </c>
      <c r="B15" s="241"/>
      <c r="C15" s="256"/>
      <c r="D15" s="248"/>
      <c r="E15" s="260">
        <v>0.54920000000000002</v>
      </c>
    </row>
    <row r="16" spans="1:7" ht="15" x14ac:dyDescent="0.2">
      <c r="A16" s="261" t="s">
        <v>365</v>
      </c>
      <c r="B16" s="241"/>
      <c r="C16" s="256"/>
      <c r="D16" s="248"/>
      <c r="E16" s="262">
        <v>0</v>
      </c>
    </row>
    <row r="17" spans="1:7" ht="15" x14ac:dyDescent="0.2">
      <c r="A17" s="261" t="str">
        <f xml:space="preserve"> CONCATENATE("4.  Less: Production tax deduction (",TEXT($E$16,"0.0000%")," of Line 3)")</f>
        <v>4.  Less: Production tax deduction (0.0000% of Line 3)</v>
      </c>
      <c r="B17" s="241"/>
      <c r="C17" s="256"/>
      <c r="D17" s="248"/>
      <c r="E17" s="256"/>
      <c r="F17" s="253">
        <f>E16*F13</f>
        <v>0</v>
      </c>
      <c r="G17" s="263"/>
    </row>
    <row r="18" spans="1:7" ht="15" x14ac:dyDescent="0.2">
      <c r="A18" s="261"/>
      <c r="B18" s="241"/>
      <c r="C18" s="256"/>
      <c r="D18" s="248"/>
      <c r="E18" s="256"/>
      <c r="F18" s="263"/>
    </row>
    <row r="19" spans="1:7" ht="15" x14ac:dyDescent="0.2">
      <c r="A19" s="261" t="s">
        <v>366</v>
      </c>
      <c r="B19" s="241"/>
      <c r="C19" s="256"/>
      <c r="D19" s="248"/>
      <c r="E19" s="256"/>
      <c r="F19" s="257">
        <f>F13-F17</f>
        <v>0.94</v>
      </c>
    </row>
    <row r="20" spans="1:7" ht="15" x14ac:dyDescent="0.2">
      <c r="A20" s="255"/>
      <c r="B20" s="241"/>
      <c r="C20" s="251"/>
      <c r="D20" s="244"/>
      <c r="E20" s="244"/>
      <c r="F20" s="254"/>
    </row>
    <row r="21" spans="1:7" ht="15" x14ac:dyDescent="0.2">
      <c r="A21" s="255" t="s">
        <v>367</v>
      </c>
      <c r="B21" s="241"/>
      <c r="C21" s="251"/>
      <c r="D21" s="244"/>
      <c r="E21" s="244"/>
      <c r="F21" s="253">
        <f>ROUND(+F19*0.21,10)</f>
        <v>0.19739999999999999</v>
      </c>
    </row>
    <row r="22" spans="1:7" ht="15" x14ac:dyDescent="0.2">
      <c r="A22" s="255"/>
      <c r="B22" s="241"/>
      <c r="C22" s="251"/>
      <c r="D22" s="244"/>
      <c r="E22" s="244"/>
      <c r="F22" s="252"/>
    </row>
    <row r="23" spans="1:7" ht="15.75" thickBot="1" x14ac:dyDescent="0.25">
      <c r="A23" s="255" t="s">
        <v>368</v>
      </c>
      <c r="B23" s="241"/>
      <c r="C23" s="251"/>
      <c r="D23" s="244"/>
      <c r="E23" s="244"/>
      <c r="F23" s="264">
        <f>ROUND(+F11+F21,10)</f>
        <v>0.25740000000000002</v>
      </c>
    </row>
    <row r="24" spans="1:7" ht="15.75" thickTop="1" x14ac:dyDescent="0.2">
      <c r="A24" s="255"/>
      <c r="B24" s="241"/>
      <c r="C24" s="265"/>
      <c r="D24" s="244"/>
      <c r="E24" s="244"/>
      <c r="F24" s="266"/>
    </row>
    <row r="26" spans="1:7" ht="15" x14ac:dyDescent="0.2">
      <c r="A26" s="267" t="s">
        <v>369</v>
      </c>
    </row>
    <row r="27" spans="1:7" ht="15" x14ac:dyDescent="0.2">
      <c r="A27" s="241" t="s">
        <v>360</v>
      </c>
      <c r="F27" s="249">
        <v>1</v>
      </c>
    </row>
    <row r="28" spans="1:7" ht="15" x14ac:dyDescent="0.2">
      <c r="A28" s="268"/>
      <c r="F28" s="269"/>
    </row>
    <row r="29" spans="1:7" ht="15" x14ac:dyDescent="0.2">
      <c r="A29" s="261" t="str">
        <f xml:space="preserve"> CONCATENATE("2.  Less: Production activities deduction @ 0% X ",TEXT($E$15,"0.00%")," (1)")</f>
        <v>2.  Less: Production activities deduction @ 0% X 54.92% (1)</v>
      </c>
      <c r="F29" s="253">
        <f>E15*0</f>
        <v>0</v>
      </c>
    </row>
    <row r="30" spans="1:7" ht="15" x14ac:dyDescent="0.2">
      <c r="A30" s="203"/>
      <c r="F30" s="254"/>
    </row>
    <row r="31" spans="1:7" ht="15" x14ac:dyDescent="0.2">
      <c r="A31" s="270" t="s">
        <v>370</v>
      </c>
      <c r="F31" s="257">
        <f>+F27-F29</f>
        <v>1</v>
      </c>
    </row>
    <row r="32" spans="1:7" ht="15" x14ac:dyDescent="0.2">
      <c r="A32" s="270"/>
      <c r="F32" s="263"/>
    </row>
    <row r="33" spans="1:6" ht="15" x14ac:dyDescent="0.2">
      <c r="A33" s="270" t="s">
        <v>371</v>
      </c>
      <c r="F33" s="253">
        <v>0.06</v>
      </c>
    </row>
    <row r="34" spans="1:6" ht="15" x14ac:dyDescent="0.2">
      <c r="A34" s="261"/>
      <c r="F34" s="254"/>
    </row>
    <row r="35" spans="1:6" ht="15.75" thickBot="1" x14ac:dyDescent="0.25">
      <c r="A35" s="268" t="s">
        <v>372</v>
      </c>
      <c r="F35" s="271">
        <f>ROUND(+F31*F33,10)</f>
        <v>0.06</v>
      </c>
    </row>
    <row r="36" spans="1:6" ht="13.5" thickTop="1" x14ac:dyDescent="0.2"/>
    <row r="38" spans="1:6" ht="14.25" x14ac:dyDescent="0.2">
      <c r="A38" s="272"/>
    </row>
    <row r="39" spans="1:6" ht="14.25" x14ac:dyDescent="0.2">
      <c r="A39" s="272"/>
    </row>
    <row r="40" spans="1:6" ht="14.25" x14ac:dyDescent="0.2">
      <c r="A40" s="272"/>
    </row>
  </sheetData>
  <mergeCells count="4">
    <mergeCell ref="B3:E3"/>
    <mergeCell ref="B4:E4"/>
    <mergeCell ref="B5:E5"/>
    <mergeCell ref="B6:E6"/>
  </mergeCells>
  <printOptions horizontalCentered="1" gridLinesSet="0"/>
  <pageMargins left="1" right="1" top="1" bottom="1" header="0.5" footer="0.5"/>
  <pageSetup scale="9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07 - Post Hearing Data Request</Review_x0020_Case_x0020_Doc_x0020_Types>
    <Case_x0020__x0023_ xmlns="f789fa03-9022-4931-acb2-79f11ac92edf" xsi:nil="true"/>
    <Data_x0020_Request_x0020_Party xmlns="f789fa03-9022-4931-acb2-79f11ac92edf">Ky. Industrial Utility Cust.</Data_x0020_Request_x0020_Party>
    <Status_x0020__x0028_Internal_x0020_Use_x0020_Only_x0029_ xmlns="2ad705b9-adad-42ba-803b-2580de5ca47a"/>
    <Company xmlns="65bfb563-8fe2-4d34-a09f-38a217d8feea">
      <Value>LGE</Value>
    </Compa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B1B0F3-97ED-4C53-B677-73D143BBC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BADF1-4DC6-4139-B44F-02145C4A7004}">
  <ds:schemaRefs>
    <ds:schemaRef ds:uri="2ad705b9-adad-42ba-803b-2580de5ca47a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789fa03-9022-4931-acb2-79f11ac92edf"/>
    <ds:schemaRef ds:uri="65bfb563-8fe2-4d34-a09f-38a217d8feea"/>
  </ds:schemaRefs>
</ds:datastoreItem>
</file>

<file path=customXml/itemProps3.xml><?xml version="1.0" encoding="utf-8"?>
<ds:datastoreItem xmlns:ds="http://schemas.openxmlformats.org/officeDocument/2006/customXml" ds:itemID="{F4D9EBFF-427B-45A6-BF65-878AEE193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1-SUMMARY (AS FILED)</vt:lpstr>
      <vt:lpstr>2-UPDATED TAX RATE IMPACT</vt:lpstr>
      <vt:lpstr>3-UPDATED COST OF DEBT IMPACT</vt:lpstr>
      <vt:lpstr>4-SUMMARY (UPDATED)</vt:lpstr>
      <vt:lpstr>5-TCJA CAP IMPACT</vt:lpstr>
      <vt:lpstr>6-OTHER CAP IMPACT</vt:lpstr>
      <vt:lpstr>7-COST OF DEBT IMPACT</vt:lpstr>
      <vt:lpstr>SUPPORT&gt;&gt;&gt;</vt:lpstr>
      <vt:lpstr>Cost of Capital (21%)</vt:lpstr>
      <vt:lpstr>Cost of Capital (21%) (FILED)</vt:lpstr>
      <vt:lpstr>Cost of Capital Adj</vt:lpstr>
      <vt:lpstr>CapTable</vt:lpstr>
      <vt:lpstr>ST Debt</vt:lpstr>
      <vt:lpstr>LT Debt </vt:lpstr>
      <vt:lpstr>Composite Tax Rate (21%)</vt:lpstr>
      <vt:lpstr>TY TARIFF BILLING</vt:lpstr>
      <vt:lpstr>TY BILLING</vt:lpstr>
      <vt:lpstr>Excess DIT</vt:lpstr>
      <vt:lpstr>SCH J-1.1|J-1.2</vt:lpstr>
      <vt:lpstr>SCH J-1 (ORDER)</vt:lpstr>
      <vt:lpstr>SCH H-1 (ORDER)</vt:lpstr>
      <vt:lpstr>Effective Tax Rate</vt:lpstr>
      <vt:lpstr>'1-SUMMARY (AS FILED)'!Print_Area</vt:lpstr>
      <vt:lpstr>'2-UPDATED TAX RATE IMPACT'!Print_Area</vt:lpstr>
      <vt:lpstr>'3-UPDATED COST OF DEBT IMPACT'!Print_Area</vt:lpstr>
      <vt:lpstr>'4-SUMMARY (UPDATED)'!Print_Area</vt:lpstr>
      <vt:lpstr>'5-TCJA CAP IMPACT'!Print_Area</vt:lpstr>
      <vt:lpstr>'6-OTHER CAP IMPACT'!Print_Area</vt:lpstr>
      <vt:lpstr>'7-COST OF DEBT IMPACT'!Print_Area</vt:lpstr>
      <vt:lpstr>CapTable!Print_Area</vt:lpstr>
      <vt:lpstr>'Cost of Capital (21%)'!Print_Area</vt:lpstr>
      <vt:lpstr>'Cost of Capital (21%) (FILED)'!Print_Area</vt:lpstr>
      <vt:lpstr>'Cost of Capital Adj'!Print_Area</vt:lpstr>
      <vt:lpstr>'SCH J-1 (ORDER)'!Print_Area</vt:lpstr>
      <vt:lpstr>'SCH J-1.1|J-1.2'!Print_Area</vt:lpstr>
      <vt:lpstr>'TY BILLING'!Print_Area</vt:lpstr>
      <vt:lpstr>'TY TARIFF BILLING'!Print_Area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2014-12-04T19:33:26Z</dcterms:created>
  <dcterms:modified xsi:type="dcterms:W3CDTF">2018-06-06T14:04:11Z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