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8" tabRatio="855"/>
  </bookViews>
  <sheets>
    <sheet name="SUMMARY (PG1)" sheetId="22" r:id="rId1"/>
    <sheet name="SUPPORT&gt;&gt;&gt;" sheetId="44" r:id="rId2"/>
    <sheet name="UPDATED SCH J-1 (ORDER) (21%)" sheetId="46" r:id="rId3"/>
    <sheet name="PENSION CONTRIBUTION" sheetId="47" r:id="rId4"/>
    <sheet name="KU Composite Tax Rate (21%)" sheetId="45" r:id="rId5"/>
    <sheet name="TY TARIFF BILLING" sheetId="43" r:id="rId6"/>
    <sheet name="TY KWH-RS vs Non-RS" sheetId="42" r:id="rId7"/>
    <sheet name="Excess DIT" sheetId="35" r:id="rId8"/>
    <sheet name="SCH J-1 (ORDER)" sheetId="32" r:id="rId9"/>
    <sheet name="SCH H-1 (ORDER)" sheetId="33" r:id="rId10"/>
  </sheets>
  <externalReferences>
    <externalReference r:id="rId11"/>
  </externalReferences>
  <definedNames>
    <definedName name="\\" localSheetId="4" hidden="1">#REF!</definedName>
    <definedName name="\\" localSheetId="3" hidden="1">#REF!</definedName>
    <definedName name="\\" localSheetId="2" hidden="1">#REF!</definedName>
    <definedName name="\\" hidden="1">#REF!</definedName>
    <definedName name="\\\" localSheetId="4" hidden="1">#REF!</definedName>
    <definedName name="\\\" localSheetId="3" hidden="1">#REF!</definedName>
    <definedName name="\\\" localSheetId="2" hidden="1">#REF!</definedName>
    <definedName name="\\\" hidden="1">#REF!</definedName>
    <definedName name="\\\\" localSheetId="4" hidden="1">#REF!</definedName>
    <definedName name="\\\\" localSheetId="3" hidden="1">#REF!</definedName>
    <definedName name="\\\\" localSheetId="2" hidden="1">#REF!</definedName>
    <definedName name="\\\\" hidden="1">#REF!</definedName>
    <definedName name="__123Graph_1" localSheetId="4" hidden="1">#REF!</definedName>
    <definedName name="__123Graph_1" localSheetId="2" hidden="1">#REF!</definedName>
    <definedName name="__123Graph_1" hidden="1">#REF!</definedName>
    <definedName name="__123Graph_2" localSheetId="4" hidden="1">#REF!</definedName>
    <definedName name="__123Graph_2" localSheetId="2" hidden="1">#REF!</definedName>
    <definedName name="__123Graph_2" hidden="1">#REF!</definedName>
    <definedName name="__123Graph_3" localSheetId="4" hidden="1">#REF!</definedName>
    <definedName name="__123Graph_3" localSheetId="2" hidden="1">#REF!</definedName>
    <definedName name="__123Graph_3" hidden="1">#REF!</definedName>
    <definedName name="__123Graph_4" localSheetId="4" hidden="1">#REF!</definedName>
    <definedName name="__123Graph_4" localSheetId="2" hidden="1">#REF!</definedName>
    <definedName name="__123Graph_4" hidden="1">#REF!</definedName>
    <definedName name="__123Graph_5" localSheetId="4" hidden="1">#REF!</definedName>
    <definedName name="__123Graph_5" localSheetId="2" hidden="1">#REF!</definedName>
    <definedName name="__123Graph_5" hidden="1">#REF!</definedName>
    <definedName name="__123Graph_6" localSheetId="4" hidden="1">#REF!</definedName>
    <definedName name="__123Graph_6" localSheetId="2" hidden="1">#REF!</definedName>
    <definedName name="__123Graph_6" hidden="1">#REF!</definedName>
    <definedName name="__123Graph_8" localSheetId="4" hidden="1">#REF!</definedName>
    <definedName name="__123Graph_8" localSheetId="2" hidden="1">#REF!</definedName>
    <definedName name="__123Graph_8" hidden="1">#REF!</definedName>
    <definedName name="__123Graph_A" localSheetId="4" hidden="1">#REF!</definedName>
    <definedName name="__123Graph_A" localSheetId="2" hidden="1">#REF!</definedName>
    <definedName name="__123Graph_A" hidden="1">#REF!</definedName>
    <definedName name="__123Graph_B" localSheetId="4" hidden="1">#REF!</definedName>
    <definedName name="__123Graph_B" localSheetId="2" hidden="1">#REF!</definedName>
    <definedName name="__123Graph_B" hidden="1">#REF!</definedName>
    <definedName name="__123Graph_C" localSheetId="4" hidden="1">#REF!</definedName>
    <definedName name="__123Graph_C" localSheetId="2" hidden="1">#REF!</definedName>
    <definedName name="__123Graph_C" hidden="1">#REF!</definedName>
    <definedName name="__123Graph_D" localSheetId="4" hidden="1">#REF!</definedName>
    <definedName name="__123Graph_D" localSheetId="2" hidden="1">#REF!</definedName>
    <definedName name="__123Graph_D" hidden="1">#REF!</definedName>
    <definedName name="__123Graph_E" localSheetId="4" hidden="1">#REF!</definedName>
    <definedName name="__123Graph_E" localSheetId="2" hidden="1">#REF!</definedName>
    <definedName name="__123Graph_E" hidden="1">#REF!</definedName>
    <definedName name="__123Graph_F" localSheetId="4" hidden="1">#REF!</definedName>
    <definedName name="__123Graph_F" localSheetId="2" hidden="1">#REF!</definedName>
    <definedName name="__123Graph_F" hidden="1">#REF!</definedName>
    <definedName name="__123Graph_X" localSheetId="4" hidden="1">#REF!</definedName>
    <definedName name="__123Graph_X" localSheetId="2" hidden="1">#REF!</definedName>
    <definedName name="__123Graph_X" hidden="1">#REF!</definedName>
    <definedName name="_Fill" localSheetId="4" hidden="1">#REF!</definedName>
    <definedName name="_Fill" localSheetId="2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BNE_MESSAGES_HIDDEN" localSheetId="2" hidden="1">#REF!</definedName>
    <definedName name="BNE_MESSAGES_HIDDEN" hidden="1">#REF!</definedName>
    <definedName name="DolUnitFactor">[1]ListsValues!$M$29</definedName>
    <definedName name="HTML_CodePage" hidden="1">1252</definedName>
    <definedName name="HTML_Control" localSheetId="4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'SUMMARY (PG1)'!$A$1:$H$42</definedName>
    <definedName name="_xlnm.Print_Area" localSheetId="5">'TY TARIFF BILLING'!$A$1:$H$32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D20" i="46" l="1"/>
  <c r="D18" i="46"/>
  <c r="D16" i="46"/>
  <c r="F13" i="47"/>
  <c r="C13" i="47"/>
  <c r="E13" i="47" s="1"/>
  <c r="F11" i="47"/>
  <c r="F15" i="47" s="1"/>
  <c r="F17" i="47" s="1"/>
  <c r="C11" i="47"/>
  <c r="E11" i="47" s="1"/>
  <c r="E15" i="47" s="1"/>
  <c r="E17" i="47" s="1"/>
  <c r="C15" i="47" l="1"/>
  <c r="C17" i="47" s="1"/>
  <c r="D11" i="47"/>
  <c r="D13" i="47"/>
  <c r="D15" i="47" l="1"/>
  <c r="D17" i="47" s="1"/>
  <c r="N13" i="46" l="1"/>
  <c r="H73" i="46"/>
  <c r="H70" i="46"/>
  <c r="A53" i="46"/>
  <c r="A50" i="46"/>
  <c r="A49" i="46"/>
  <c r="G46" i="46"/>
  <c r="G44" i="46" s="1"/>
  <c r="F44" i="46"/>
  <c r="D44" i="46"/>
  <c r="G42" i="46"/>
  <c r="D42" i="46"/>
  <c r="G40" i="46"/>
  <c r="D40" i="46"/>
  <c r="D22" i="46"/>
  <c r="G20" i="46"/>
  <c r="G18" i="46"/>
  <c r="E27" i="22"/>
  <c r="B27" i="22"/>
  <c r="D46" i="46" l="1"/>
  <c r="E44" i="46"/>
  <c r="E40" i="46"/>
  <c r="E42" i="46"/>
  <c r="E21" i="45"/>
  <c r="D21" i="45"/>
  <c r="E19" i="45"/>
  <c r="D19" i="45"/>
  <c r="E17" i="45"/>
  <c r="E15" i="45"/>
  <c r="H42" i="46" l="1"/>
  <c r="I42" i="46"/>
  <c r="E46" i="46"/>
  <c r="I40" i="46"/>
  <c r="H40" i="46"/>
  <c r="H44" i="46"/>
  <c r="I44" i="46"/>
  <c r="E23" i="45"/>
  <c r="E25" i="45" s="1"/>
  <c r="E27" i="45" s="1"/>
  <c r="J44" i="46" l="1"/>
  <c r="E20" i="46" s="1"/>
  <c r="F20" i="46" s="1"/>
  <c r="H20" i="46" s="1"/>
  <c r="D68" i="46" s="1"/>
  <c r="J40" i="46"/>
  <c r="J42" i="46"/>
  <c r="E18" i="46" s="1"/>
  <c r="F18" i="46" s="1"/>
  <c r="H18" i="46" s="1"/>
  <c r="E16" i="46" l="1"/>
  <c r="J46" i="46"/>
  <c r="D66" i="46"/>
  <c r="F16" i="46" l="1"/>
  <c r="E22" i="46"/>
  <c r="F22" i="46" l="1"/>
  <c r="H16" i="46"/>
  <c r="D64" i="46" l="1"/>
  <c r="H22" i="46"/>
  <c r="D70" i="46" l="1"/>
  <c r="E64" i="46" s="1"/>
  <c r="K20" i="46"/>
  <c r="M20" i="46" s="1"/>
  <c r="K18" i="46"/>
  <c r="M18" i="46" s="1"/>
  <c r="O18" i="46" s="1"/>
  <c r="K16" i="46"/>
  <c r="F64" i="46" l="1"/>
  <c r="G64" i="46"/>
  <c r="H64" i="46"/>
  <c r="N20" i="46"/>
  <c r="N22" i="46" s="1"/>
  <c r="K22" i="46"/>
  <c r="M16" i="46"/>
  <c r="E68" i="46"/>
  <c r="E66" i="46"/>
  <c r="O16" i="46" l="1"/>
  <c r="M22" i="46"/>
  <c r="G66" i="46"/>
  <c r="F66" i="46"/>
  <c r="H66" i="46"/>
  <c r="O20" i="46"/>
  <c r="E70" i="46"/>
  <c r="F68" i="46"/>
  <c r="G68" i="46"/>
  <c r="H68" i="46"/>
  <c r="J64" i="46"/>
  <c r="J68" i="46" l="1"/>
  <c r="I20" i="46" s="1"/>
  <c r="J20" i="46" s="1"/>
  <c r="J66" i="46"/>
  <c r="I18" i="46" s="1"/>
  <c r="J18" i="46" s="1"/>
  <c r="O22" i="46"/>
  <c r="E13" i="22" s="1"/>
  <c r="I16" i="46"/>
  <c r="J70" i="46" l="1"/>
  <c r="I22" i="46"/>
  <c r="J16" i="46"/>
  <c r="J22" i="46" s="1"/>
  <c r="E11" i="22" s="1"/>
  <c r="H40" i="22" l="1"/>
  <c r="H33" i="22"/>
  <c r="G40" i="22"/>
  <c r="G33" i="22"/>
  <c r="B7" i="42"/>
  <c r="C5" i="42" s="1"/>
  <c r="G31" i="43"/>
  <c r="G30" i="43"/>
  <c r="G29" i="43"/>
  <c r="G28" i="43"/>
  <c r="G24" i="43"/>
  <c r="G22" i="43"/>
  <c r="G21" i="43"/>
  <c r="G20" i="43"/>
  <c r="G19" i="43"/>
  <c r="G18" i="43"/>
  <c r="G15" i="43"/>
  <c r="G14" i="43"/>
  <c r="G13" i="43"/>
  <c r="G12" i="43"/>
  <c r="G10" i="43"/>
  <c r="G9" i="43"/>
  <c r="G8" i="43"/>
  <c r="G7" i="43"/>
  <c r="G6" i="43"/>
  <c r="G5" i="43"/>
  <c r="E28" i="43"/>
  <c r="E24" i="43"/>
  <c r="B23" i="43"/>
  <c r="E23" i="43" s="1"/>
  <c r="E22" i="43"/>
  <c r="E21" i="43"/>
  <c r="E20" i="43"/>
  <c r="E19" i="43"/>
  <c r="E18" i="43"/>
  <c r="E17" i="43"/>
  <c r="E16" i="43"/>
  <c r="E15" i="43"/>
  <c r="E14" i="43"/>
  <c r="E13" i="43"/>
  <c r="E12" i="43"/>
  <c r="D11" i="43"/>
  <c r="D25" i="43" s="1"/>
  <c r="B11" i="43"/>
  <c r="G11" i="43" s="1"/>
  <c r="E10" i="43"/>
  <c r="E9" i="43"/>
  <c r="E8" i="43"/>
  <c r="E7" i="43"/>
  <c r="J6" i="43"/>
  <c r="E6" i="43"/>
  <c r="J5" i="43"/>
  <c r="E5" i="43"/>
  <c r="F33" i="22" l="1"/>
  <c r="F40" i="22"/>
  <c r="E11" i="43"/>
  <c r="C6" i="42"/>
  <c r="C7" i="42" s="1"/>
  <c r="G23" i="43"/>
  <c r="G25" i="43"/>
  <c r="H24" i="43" s="1"/>
  <c r="D32" i="43"/>
  <c r="J7" i="43"/>
  <c r="E29" i="43"/>
  <c r="B25" i="43"/>
  <c r="E25" i="43" s="1"/>
  <c r="E30" i="43"/>
  <c r="E31" i="43"/>
  <c r="H12" i="43" l="1"/>
  <c r="H23" i="43"/>
  <c r="H8" i="43"/>
  <c r="H19" i="43"/>
  <c r="G32" i="43"/>
  <c r="H25" i="43"/>
  <c r="H17" i="43"/>
  <c r="H18" i="43"/>
  <c r="H16" i="43"/>
  <c r="H10" i="43"/>
  <c r="H22" i="43"/>
  <c r="H14" i="43"/>
  <c r="H6" i="43"/>
  <c r="H20" i="43"/>
  <c r="H15" i="43"/>
  <c r="H9" i="43"/>
  <c r="H13" i="43"/>
  <c r="H7" i="43"/>
  <c r="H11" i="43"/>
  <c r="H21" i="43"/>
  <c r="H5" i="43"/>
  <c r="J25" i="43"/>
  <c r="K7" i="43" s="1"/>
  <c r="B32" i="43"/>
  <c r="E32" i="43" s="1"/>
  <c r="E7" i="42" l="1"/>
  <c r="E79" i="35" l="1"/>
  <c r="D79" i="35"/>
  <c r="C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D28" i="35"/>
  <c r="C29" i="35"/>
  <c r="G16" i="35"/>
  <c r="F15" i="35"/>
  <c r="E22" i="35" s="1"/>
  <c r="D14" i="35"/>
  <c r="G8" i="35"/>
  <c r="G9" i="35" s="1"/>
  <c r="F8" i="35"/>
  <c r="D7" i="35"/>
  <c r="C7" i="35" s="1"/>
  <c r="F16" i="35" l="1"/>
  <c r="F9" i="35"/>
  <c r="D15" i="35"/>
  <c r="D16" i="35" s="1"/>
  <c r="C28" i="35"/>
  <c r="E28" i="35" s="1"/>
  <c r="D8" i="35"/>
  <c r="F79" i="35"/>
  <c r="E14" i="35"/>
  <c r="E15" i="35" l="1"/>
  <c r="D22" i="35" s="1"/>
  <c r="E24" i="35"/>
  <c r="C30" i="35"/>
  <c r="C31" i="35" s="1"/>
  <c r="D9" i="35"/>
  <c r="C14" i="35"/>
  <c r="E8" i="35"/>
  <c r="E9" i="35" s="1"/>
  <c r="C22" i="35" l="1"/>
  <c r="C15" i="35"/>
  <c r="C16" i="35" s="1"/>
  <c r="D36" i="35"/>
  <c r="E23" i="22" s="1"/>
  <c r="C23" i="35"/>
  <c r="E16" i="35"/>
  <c r="C8" i="35"/>
  <c r="C9" i="35" l="1"/>
  <c r="C24" i="35"/>
  <c r="C17" i="35"/>
  <c r="D24" i="35"/>
  <c r="D35" i="35"/>
  <c r="D37" i="35" s="1"/>
  <c r="E21" i="22" l="1"/>
  <c r="E25" i="22" l="1"/>
  <c r="F17" i="22"/>
  <c r="D22" i="33"/>
  <c r="D24" i="33" s="1"/>
  <c r="E24" i="33" s="1"/>
  <c r="E18" i="33"/>
  <c r="E16" i="33"/>
  <c r="H73" i="32"/>
  <c r="H70" i="32" s="1"/>
  <c r="A53" i="32"/>
  <c r="A50" i="32"/>
  <c r="A49" i="32"/>
  <c r="G46" i="32"/>
  <c r="G44" i="32" s="1"/>
  <c r="F44" i="32"/>
  <c r="D44" i="32"/>
  <c r="G42" i="32"/>
  <c r="D42" i="32"/>
  <c r="G40" i="32"/>
  <c r="D40" i="32"/>
  <c r="D22" i="32"/>
  <c r="G20" i="32"/>
  <c r="G18" i="32"/>
  <c r="E22" i="33" l="1"/>
  <c r="E36" i="33" s="1"/>
  <c r="D46" i="32"/>
  <c r="E40" i="32" s="1"/>
  <c r="E44" i="32" l="1"/>
  <c r="E28" i="33"/>
  <c r="E30" i="33" s="1"/>
  <c r="N13" i="32" s="1"/>
  <c r="E42" i="32"/>
  <c r="I40" i="32"/>
  <c r="H40" i="32"/>
  <c r="H44" i="32"/>
  <c r="I44" i="32"/>
  <c r="E46" i="32" l="1"/>
  <c r="J40" i="32"/>
  <c r="H42" i="32"/>
  <c r="E32" i="33"/>
  <c r="E34" i="33" s="1"/>
  <c r="I42" i="32"/>
  <c r="J44" i="32"/>
  <c r="E20" i="32" s="1"/>
  <c r="F20" i="32" s="1"/>
  <c r="H20" i="32" s="1"/>
  <c r="D68" i="32" s="1"/>
  <c r="F29" i="22"/>
  <c r="E16" i="32"/>
  <c r="J42" i="32" l="1"/>
  <c r="E18" i="32" s="1"/>
  <c r="F18" i="32" s="1"/>
  <c r="H18" i="32" s="1"/>
  <c r="D66" i="32" s="1"/>
  <c r="F16" i="32"/>
  <c r="E22" i="32" l="1"/>
  <c r="J46" i="32"/>
  <c r="H16" i="32"/>
  <c r="F22" i="32"/>
  <c r="D64" i="32" l="1"/>
  <c r="H22" i="32"/>
  <c r="K16" i="32" s="1"/>
  <c r="M16" i="32" l="1"/>
  <c r="O16" i="32" s="1"/>
  <c r="K18" i="32"/>
  <c r="M18" i="32" s="1"/>
  <c r="O18" i="32" s="1"/>
  <c r="K20" i="32"/>
  <c r="M20" i="32" s="1"/>
  <c r="D70" i="32"/>
  <c r="E64" i="32" s="1"/>
  <c r="N20" i="32" l="1"/>
  <c r="O20" i="32" s="1"/>
  <c r="F64" i="32"/>
  <c r="H64" i="32"/>
  <c r="G64" i="32"/>
  <c r="M22" i="32"/>
  <c r="E66" i="32"/>
  <c r="E68" i="32"/>
  <c r="K22" i="32"/>
  <c r="N22" i="32" l="1"/>
  <c r="O22" i="32"/>
  <c r="D13" i="22" s="1"/>
  <c r="J64" i="32"/>
  <c r="F68" i="32"/>
  <c r="H68" i="32"/>
  <c r="G68" i="32"/>
  <c r="G66" i="32"/>
  <c r="F66" i="32"/>
  <c r="H66" i="32"/>
  <c r="E70" i="32"/>
  <c r="I16" i="32" l="1"/>
  <c r="J66" i="32"/>
  <c r="I18" i="32" s="1"/>
  <c r="J18" i="32" s="1"/>
  <c r="J68" i="32"/>
  <c r="I20" i="32" s="1"/>
  <c r="J20" i="32" s="1"/>
  <c r="J16" i="32" l="1"/>
  <c r="J22" i="32" s="1"/>
  <c r="D11" i="22" s="1"/>
  <c r="D15" i="22" s="1"/>
  <c r="I22" i="32"/>
  <c r="J70" i="32"/>
  <c r="F11" i="22" l="1"/>
  <c r="F13" i="22" l="1"/>
  <c r="E15" i="22" l="1"/>
  <c r="F15" i="22" s="1"/>
  <c r="F19" i="22" s="1"/>
  <c r="F31" i="22" s="1"/>
  <c r="G31" i="22" s="1"/>
  <c r="H31" i="22" l="1"/>
  <c r="F38" i="22"/>
  <c r="F42" i="22" s="1"/>
  <c r="H35" i="22" l="1"/>
  <c r="H38" i="22"/>
  <c r="H42" i="22" s="1"/>
  <c r="G35" i="22"/>
  <c r="G38" i="22"/>
  <c r="G42" i="22" s="1"/>
</calcChain>
</file>

<file path=xl/comments1.xml><?xml version="1.0" encoding="utf-8"?>
<comments xmlns="http://schemas.openxmlformats.org/spreadsheetml/2006/main">
  <authors>
    <author>Author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</commentList>
</comments>
</file>

<file path=xl/sharedStrings.xml><?xml version="1.0" encoding="utf-8"?>
<sst xmlns="http://schemas.openxmlformats.org/spreadsheetml/2006/main" count="494" uniqueCount="246">
  <si>
    <t>KENTUCKY UTILITIES COMPANY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</si>
  <si>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</si>
  <si>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DESCRIPTION</t>
  </si>
  <si>
    <t>STATE</t>
  </si>
  <si>
    <t xml:space="preserve">WORKPAPER REFERENCE NO(S).: </t>
  </si>
  <si>
    <t>LINE NO.</t>
  </si>
  <si>
    <t>$</t>
  </si>
  <si>
    <t>DATA:__X__BASE  PERIOD__X__FORECASTED  PERIOD</t>
  </si>
  <si>
    <t>PAGE 1 OF 1</t>
  </si>
  <si>
    <t>OVERALL FINANCIAL SUMMARY</t>
  </si>
  <si>
    <t>SUPPORTING SCHEDULE REFERENCE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</si>
  <si>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</si>
  <si>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</si>
  <si>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</si>
  <si>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</si>
  <si>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</si>
  <si>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</si>
  <si>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</si>
  <si>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</si>
  <si>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</si>
  <si>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</si>
  <si>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</si>
  <si>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</si>
  <si>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</si>
  <si>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</si>
  <si>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</si>
  <si>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</si>
  <si>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</si>
  <si>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</si>
  <si>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</si>
  <si>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</si>
  <si>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</si>
  <si>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</si>
  <si>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</si>
  <si>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</si>
  <si>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</si>
  <si>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</si>
  <si>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</si>
  <si>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</si>
  <si>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</si>
  <si>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</si>
  <si>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</si>
  <si>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</si>
  <si>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</si>
  <si>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</si>
  <si>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</si>
  <si>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</si>
  <si>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</si>
  <si>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</si>
  <si>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JURISDICTIONAL RATE BASE PERCENTAGE</t>
  </si>
  <si>
    <t>JURISDICTIONAL ADJUSTED CAPITAL</t>
  </si>
  <si>
    <t>(G=ExF)</t>
  </si>
  <si>
    <t>(H)</t>
  </si>
  <si>
    <t>CAPITALIZATION ALLOCATED TO KENTUCKY JURISDICTION</t>
  </si>
  <si>
    <t>JURISDICTIONAL CAPITAL</t>
  </si>
  <si>
    <t>JURISDICTIONAL ADJUSTMENTS</t>
  </si>
  <si>
    <t>(I=G+H)</t>
  </si>
  <si>
    <t>(J)</t>
  </si>
  <si>
    <t>(K)</t>
  </si>
  <si>
    <t>(L=JxK)</t>
  </si>
  <si>
    <t>FOR THE 12 MONTHS ENDED FEBRUARY 28, 2017</t>
  </si>
  <si>
    <t>WITNESS:   C. M. GARRETT</t>
  </si>
  <si>
    <t>WITNESS:   D. K. ARBOUGH</t>
  </si>
  <si>
    <t>THIRTEEN MONTH AVERAGE</t>
  </si>
  <si>
    <t>DATE OF CAPITAL STRUCTURE: 13 MO AVG FOR FORECASTED  PERIOD</t>
  </si>
  <si>
    <t>SCHEDULE J-1.1/J-1.2</t>
  </si>
  <si>
    <t>PAGE 1 OF 3</t>
  </si>
  <si>
    <t>13 MONTH AVERAGE AMOUNT</t>
  </si>
  <si>
    <t>TAX GROSS-UP</t>
  </si>
  <si>
    <t>WEIGHTED COST ADJUSTED FOR INCOME TAXES</t>
  </si>
  <si>
    <t>(L+M)</t>
  </si>
  <si>
    <t>CASE NO. 2016-00370</t>
  </si>
  <si>
    <t>FROM JULY 1, 2017 TO JUNE 30, 2018</t>
  </si>
  <si>
    <t>COST OF CAPITAL SUMMARY - ADJUSTMENT AMOUNT</t>
  </si>
  <si>
    <t>PAGE 2 OF 3</t>
  </si>
  <si>
    <t>OTHER COMPREHENSIVE INCOME - EEI</t>
  </si>
  <si>
    <t>EEI DEFERRED TAXES</t>
  </si>
  <si>
    <t>INVESTMENT IN OVEC</t>
  </si>
  <si>
    <t>NET NONUTILITY PROPERTY</t>
  </si>
  <si>
    <t>(E)</t>
  </si>
  <si>
    <t>(G)</t>
  </si>
  <si>
    <t>(I=E+F+G+H)</t>
  </si>
  <si>
    <t>COST OF CAPITAL SUMMARY - JURISDICTIONAL ADJUSTMENTS</t>
  </si>
  <si>
    <t>PAGE 3 OF 3</t>
  </si>
  <si>
    <t>ECR RATE BASE</t>
  </si>
  <si>
    <t>DSM RATE BASE</t>
  </si>
  <si>
    <t>STIPULATION ADJUSTMENTS</t>
  </si>
  <si>
    <t>(C=PAGE 1 COL G)</t>
  </si>
  <si>
    <t>(H=E+F+G)</t>
  </si>
  <si>
    <t>AMS-AG (reflects slippage reduction)</t>
  </si>
  <si>
    <t>SLIPPAGE-AG</t>
  </si>
  <si>
    <t>REQUIRED RATE OF RETURN ADJUSTED FOR INCOME TAXES</t>
  </si>
  <si>
    <t>FOR THE 12 MONTHS ENDED JUNE 30, 2018</t>
  </si>
  <si>
    <t>REVENUE REQUIREMENT IMPACT</t>
  </si>
  <si>
    <t>YEARS EQUIVALENT TO 16 MONTHS (16/12)</t>
  </si>
  <si>
    <t>Kentucky Utilities Company</t>
  </si>
  <si>
    <t>Excess Deferred Tax Forecast</t>
  </si>
  <si>
    <t>Reg Liab before Gross Up</t>
  </si>
  <si>
    <t>Excess Deferred Amortization</t>
  </si>
  <si>
    <t>Total</t>
  </si>
  <si>
    <t>Electric</t>
  </si>
  <si>
    <t>NOL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</si>
  <si>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</si>
  <si>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</si>
  <si>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</si>
  <si>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</si>
  <si>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</si>
  <si>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</si>
  <si>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</si>
  <si>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</si>
  <si>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</si>
  <si>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KY Juris</t>
  </si>
  <si>
    <t>Jurisdictional Factor (ADIT)</t>
  </si>
  <si>
    <t>TOTAL AMORTIZATION OF EXCESS ADIT (6 + 7)</t>
  </si>
  <si>
    <t xml:space="preserve"> TOTAL REDUCTION IN INCOME TAX EXPENSE (3 x 4)</t>
  </si>
  <si>
    <t>REQUIRED ANNUAL OPERATING INCOME BEFORE TAXES (1 x 2)</t>
  </si>
  <si>
    <t>TOTAL REDUCTION IN DEFERRED INCOME TAX EXPENSE (8 x 9)</t>
  </si>
  <si>
    <t>TOTAL REDUCTION IN REVENUE REQUIREMENTS (5 + 10)</t>
  </si>
  <si>
    <t>Kentucky Utilities</t>
  </si>
  <si>
    <t>Test Year Total</t>
  </si>
  <si>
    <t>Sch M-2.3/
Sch M-2.2 Totals</t>
  </si>
  <si>
    <t>Difference</t>
  </si>
  <si>
    <t>ENERGY CREDIT PER KWH (APRIL 1, 2018 - APRIL 30, 2019) (11 / 12)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</si>
  <si>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</si>
  <si>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</si>
  <si>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</si>
  <si>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</si>
  <si>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</si>
  <si>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</si>
  <si>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</si>
  <si>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</si>
  <si>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</si>
  <si>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</si>
  <si>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</si>
  <si>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</si>
  <si>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</si>
  <si>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</si>
  <si>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Deferred Rent Payable</t>
  </si>
  <si>
    <t>Demand Side Management</t>
  </si>
  <si>
    <t>Emission Allowances</t>
  </si>
  <si>
    <t>Environmental Cost Recovery - Current</t>
  </si>
  <si>
    <t>FAC Under Recovery KY</t>
  </si>
  <si>
    <t>FAS 106 Cost Write-Off (Post Retirement)</t>
  </si>
  <si>
    <t>FAS 112 Cost Write-Off (Post Employment)</t>
  </si>
  <si>
    <t>FAS 87 Pensions</t>
  </si>
  <si>
    <t>Green River Regulatory Asset</t>
  </si>
  <si>
    <t>Interest Rate Swaps</t>
  </si>
  <si>
    <t>Muni True-up - Reg Asset</t>
  </si>
  <si>
    <t>Off-System Sales Tracker - Reg Liab</t>
  </si>
  <si>
    <t>Over/Under Accrual FICA</t>
  </si>
  <si>
    <t>Over/Under Accrual of PSC Tax</t>
  </si>
  <si>
    <t>Over/Under Accrual of UN/INS</t>
  </si>
  <si>
    <t>Performance Incentive</t>
  </si>
  <si>
    <t xml:space="preserve">Plant Outage Normalization - Reg Liability </t>
  </si>
  <si>
    <t>Refined Coal - KY - Reg Liab</t>
  </si>
  <si>
    <t>Refined Coal - VA - Reg Liab</t>
  </si>
  <si>
    <t>Regulatory Expenses</t>
  </si>
  <si>
    <t>Research Dev. &amp; Demo Exp.</t>
  </si>
  <si>
    <t>State Tax Current</t>
  </si>
  <si>
    <t>Tenant Incentive Amortization</t>
  </si>
  <si>
    <t>VA over/under Recovery Fuel Clause - Current</t>
  </si>
  <si>
    <t>Vacation Pay</t>
  </si>
  <si>
    <t>Workers Compensation</t>
  </si>
  <si>
    <t>PAGE 2</t>
  </si>
  <si>
    <t>ENERGY BILLING UNITS (TY KWH / 12 MO x 13 MO)</t>
  </si>
  <si>
    <t>AMORTIZATION OF EXCESS ADIT (UNPROTECTED) - (SL OVER 15 YEARS)</t>
  </si>
  <si>
    <t>AMORTIZATION OF EXCESS ADIT (PROTECTED) -  ($309,333,049 USING ARAM)</t>
  </si>
  <si>
    <t>BASE RATES</t>
  </si>
  <si>
    <t>MECHANISMS</t>
  </si>
  <si>
    <t>DSM</t>
  </si>
  <si>
    <t>4 Months 2019</t>
  </si>
  <si>
    <t>16 Month Period</t>
  </si>
  <si>
    <t>Protected Deferreds under ARAM</t>
  </si>
  <si>
    <t>Electric - Base</t>
  </si>
  <si>
    <t>Mechanisms</t>
  </si>
  <si>
    <t>TOTAL MONTHLY REDUCTION IN REVENUE REQUIREMENTS (11 / 16 MO)</t>
  </si>
  <si>
    <t>ENERGY BILLING UNITS PER MONTH (TY KWH / 12 MO)</t>
  </si>
  <si>
    <t>RATE PER MONTH CALCULATIONS:</t>
  </si>
  <si>
    <t>% of Total</t>
  </si>
  <si>
    <t>Based on Rates per June 29, 2017 Order</t>
  </si>
  <si>
    <t>Rates RS, RTOD-D, RTOD-E</t>
  </si>
  <si>
    <t>All Other Rates</t>
  </si>
  <si>
    <t>Total kWh</t>
  </si>
  <si>
    <t>Per PSC Order (6/29/17)</t>
  </si>
  <si>
    <t>Forecasted Test Year Revenues</t>
  </si>
  <si>
    <t>Increase</t>
  </si>
  <si>
    <t>Percentage Increase</t>
  </si>
  <si>
    <t>Tariffed Revenues:</t>
  </si>
  <si>
    <t>Residential Service - RS</t>
  </si>
  <si>
    <t>Residential Time-of-Day Rate - RTOD</t>
  </si>
  <si>
    <t>General Service Rate</t>
  </si>
  <si>
    <t>All Electric School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</si>
  <si>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</si>
  <si>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</si>
  <si>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</si>
  <si>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</si>
  <si>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</si>
  <si>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</si>
  <si>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</si>
  <si>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</si>
  <si>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</si>
  <si>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</si>
  <si>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</si>
  <si>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</si>
  <si>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</si>
  <si>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</si>
  <si>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</si>
  <si>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</si>
  <si>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</si>
  <si>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</si>
  <si>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</si>
  <si>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</si>
  <si>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</si>
  <si>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</si>
  <si>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</si>
  <si>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Percent of Total</t>
  </si>
  <si>
    <t>Forecasted Test Year Data per KPSC's June 29, 2017 Order</t>
  </si>
  <si>
    <t>OTHER TARIFFS (61% OF TOTAL REVENUES)</t>
  </si>
  <si>
    <t>RESIDENTIAL TARIFF            (39% OF TOTAL REVENUES)</t>
  </si>
  <si>
    <t>Total Revenues per Updated Final Order</t>
  </si>
  <si>
    <t>(15 year amort for unprotected - Base)</t>
  </si>
  <si>
    <t>CASE NO. 2018-00034</t>
  </si>
  <si>
    <t>MONTHLY ENERGY CREDIT PER KWH  (14 / 15)</t>
  </si>
  <si>
    <t>BLAKE</t>
  </si>
  <si>
    <t>COMPUTATION OF COMPOSITE FEDERAL AND STATE INCOME TAX RATE</t>
  </si>
  <si>
    <t>BASED ON 21% FEDERAL INCOME TAX RATE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</si>
  <si>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</si>
  <si>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</si>
  <si>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</si>
  <si>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</si>
  <si>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</si>
  <si>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CASE NO. 2016-00370 FINAL ORDER                                    (7/1/2017 - 6/30/2018) (35%)</t>
  </si>
  <si>
    <t>EXHIBIT KWB-3</t>
  </si>
  <si>
    <t>PAGE 2 OF 5</t>
  </si>
  <si>
    <t>PENSION CONTRIBUTION IMPACT ON CAPITALIZATION</t>
  </si>
  <si>
    <t>TOTAL COMPANY</t>
  </si>
  <si>
    <t>EQUITY</t>
  </si>
  <si>
    <t>THIRTEEN MONTH CAPITALIZATION PER CASE 2016-00370</t>
  </si>
  <si>
    <t>LESS: PENSION INCLUDED IN LAST RATE CASE (THIRTEEN MONTH AVERAGE)</t>
  </si>
  <si>
    <t>ADD: UPDATED PENSION CONTRIBUTION (THIRTEEN MONTH AVERAGE)</t>
  </si>
  <si>
    <t xml:space="preserve">REVISED CAPITALIZATION </t>
  </si>
  <si>
    <t>DIFFERENCE (LINE 4 - 1)</t>
  </si>
  <si>
    <t>UPDATED 13 MONTH AVERAGE AMOUNT (PENSION CONTRIBUTION)</t>
  </si>
  <si>
    <t>UPDATED COST RATE</t>
  </si>
  <si>
    <t>ATTACHMENT TO RESPONSE TO STAFF POST HEARING QUESTION NO. 7</t>
  </si>
  <si>
    <t>UPDATED                       CASE NO. 2016-00370 FINAL ORDER                                    (7/1/2017 - 6/30/2018) (21%)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</si>
</sst>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_(&quot;$&quot;* #,##0_);_(&quot;$&quot;* \(#,##0\);_(&quot;$&quot;* &quot;-&quot;??_);_(@_)"/>
    <numFmt numFmtId="188" formatCode="_(* #,##0.00000_);_(* \(#,##0.00000\);_(* &quot;-&quot;??_);_(@_)"/>
    <numFmt numFmtId="189" formatCode="0.0%"/>
    <numFmt numFmtId="190" formatCode="0.00000000%"/>
    <numFmt numFmtId="191" formatCode="0.000000000%"/>
  </numFmts>
  <fonts count="1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9847407452621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655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37" fontId="19" fillId="0" borderId="0"/>
    <xf numFmtId="0" fontId="11" fillId="15" borderId="0"/>
    <xf numFmtId="0" fontId="11" fillId="15" borderId="0"/>
    <xf numFmtId="165" fontId="11" fillId="0" borderId="0"/>
    <xf numFmtId="165" fontId="1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25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0" fontId="22" fillId="26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0" fontId="22" fillId="23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17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0" fontId="22" fillId="28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25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0" fontId="22" fillId="26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0" fontId="22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0" fontId="22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30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0" fontId="24" fillId="33" borderId="0" applyNumberFormat="0" applyBorder="0" applyAlignment="0" applyProtection="0"/>
    <xf numFmtId="166" fontId="25" fillId="23" borderId="0" applyNumberFormat="0" applyBorder="0" applyAlignment="0" applyProtection="0"/>
    <xf numFmtId="166" fontId="25" fillId="23" borderId="0" applyNumberFormat="0" applyBorder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166" fontId="29" fillId="36" borderId="9" applyNumberFormat="0" applyAlignment="0" applyProtection="0"/>
    <xf numFmtId="166" fontId="29" fillId="36" borderId="9" applyNumberFormat="0" applyAlignment="0" applyProtection="0"/>
    <xf numFmtId="167" fontId="30" fillId="0" borderId="10" applyBorder="0">
      <alignment horizontal="center" vertical="center"/>
    </xf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2" fillId="34" borderId="0">
      <alignment horizontal="center"/>
    </xf>
    <xf numFmtId="0" fontId="32" fillId="34" borderId="0">
      <alignment horizontal="center"/>
    </xf>
    <xf numFmtId="166" fontId="32" fillId="34" borderId="0">
      <alignment horizontal="center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3" fillId="34" borderId="0">
      <alignment horizontal="left"/>
    </xf>
    <xf numFmtId="0" fontId="33" fillId="34" borderId="0">
      <alignment horizontal="left"/>
    </xf>
    <xf numFmtId="166" fontId="33" fillId="34" borderId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37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38" borderId="11" applyNumberFormat="0" applyFont="0" applyAlignment="0">
      <protection locked="0"/>
    </xf>
    <xf numFmtId="0" fontId="11" fillId="38" borderId="11" applyNumberFormat="0" applyFont="0" applyAlignment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10" fillId="0" borderId="0" applyProtection="0"/>
    <xf numFmtId="166" fontId="10" fillId="0" borderId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9" fillId="0" borderId="0" applyProtection="0"/>
    <xf numFmtId="166" fontId="9" fillId="0" borderId="0" applyProtection="0"/>
    <xf numFmtId="166" fontId="9" fillId="0" borderId="0" applyProtection="0"/>
    <xf numFmtId="0" fontId="11" fillId="0" borderId="0" applyProtection="0"/>
    <xf numFmtId="0" fontId="11" fillId="0" borderId="0" applyProtection="0"/>
    <xf numFmtId="166" fontId="11" fillId="0" borderId="0" applyProtection="0"/>
    <xf numFmtId="166" fontId="11" fillId="0" borderId="0" applyProtection="0"/>
    <xf numFmtId="0" fontId="10" fillId="0" borderId="0" applyProtection="0"/>
    <xf numFmtId="166" fontId="10" fillId="0" borderId="0" applyProtection="0"/>
    <xf numFmtId="0" fontId="41" fillId="0" borderId="0" applyProtection="0"/>
    <xf numFmtId="166" fontId="41" fillId="0" borderId="0" applyProtection="0"/>
    <xf numFmtId="2" fontId="16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2" fillId="21" borderId="0" applyNumberFormat="0" applyBorder="0" applyAlignment="0" applyProtection="0"/>
    <xf numFmtId="166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43" fillId="0" borderId="12" applyNumberFormat="0" applyFill="0" applyAlignment="0" applyProtection="0"/>
    <xf numFmtId="166" fontId="44" fillId="0" borderId="13" applyNumberFormat="0" applyFill="0" applyAlignment="0" applyProtection="0"/>
    <xf numFmtId="0" fontId="13" fillId="0" borderId="4" applyNumberFormat="0" applyFill="0" applyAlignment="0" applyProtection="0"/>
    <xf numFmtId="166" fontId="44" fillId="0" borderId="13" applyNumberFormat="0" applyFill="0" applyAlignment="0" applyProtection="0"/>
    <xf numFmtId="0" fontId="45" fillId="0" borderId="14" applyNumberFormat="0" applyFill="0" applyAlignment="0" applyProtection="0"/>
    <xf numFmtId="166" fontId="46" fillId="0" borderId="15" applyNumberFormat="0" applyFill="0" applyAlignment="0" applyProtection="0"/>
    <xf numFmtId="0" fontId="14" fillId="0" borderId="5" applyNumberFormat="0" applyFill="0" applyAlignment="0" applyProtection="0"/>
    <xf numFmtId="166" fontId="46" fillId="0" borderId="15" applyNumberFormat="0" applyFill="0" applyAlignment="0" applyProtection="0"/>
    <xf numFmtId="0" fontId="47" fillId="0" borderId="16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0" fontId="47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8" fontId="49" fillId="0" borderId="0" applyNumberFormat="0" applyFill="0" applyBorder="0" applyAlignment="0" applyProtection="0">
      <alignment vertical="top"/>
      <protection locked="0"/>
    </xf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52" fillId="34" borderId="0">
      <alignment horizontal="left"/>
    </xf>
    <xf numFmtId="0" fontId="52" fillId="34" borderId="0">
      <alignment horizontal="left"/>
    </xf>
    <xf numFmtId="0" fontId="52" fillId="34" borderId="0">
      <alignment horizontal="left"/>
    </xf>
    <xf numFmtId="166" fontId="52" fillId="34" borderId="0">
      <alignment horizontal="left"/>
    </xf>
    <xf numFmtId="0" fontId="53" fillId="0" borderId="18" applyNumberFormat="0" applyFill="0" applyAlignment="0" applyProtection="0"/>
    <xf numFmtId="166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5" fillId="22" borderId="0" applyNumberFormat="0" applyBorder="0" applyAlignment="0" applyProtection="0"/>
    <xf numFmtId="166" fontId="56" fillId="22" borderId="0" applyNumberFormat="0" applyBorder="0" applyAlignment="0" applyProtection="0"/>
    <xf numFmtId="166" fontId="56" fillId="22" borderId="0" applyNumberFormat="0" applyBorder="0" applyAlignment="0" applyProtection="0"/>
    <xf numFmtId="168" fontId="11" fillId="0" borderId="0"/>
    <xf numFmtId="0" fontId="11" fillId="0" borderId="0"/>
    <xf numFmtId="166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166" fontId="11" fillId="0" borderId="0"/>
    <xf numFmtId="165" fontId="11" fillId="0" borderId="0"/>
    <xf numFmtId="165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66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166" fontId="11" fillId="0" borderId="0"/>
    <xf numFmtId="0" fontId="11" fillId="0" borderId="0"/>
    <xf numFmtId="0" fontId="21" fillId="0" borderId="0"/>
    <xf numFmtId="171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171" fontId="11" fillId="0" borderId="0"/>
    <xf numFmtId="0" fontId="8" fillId="0" borderId="0"/>
    <xf numFmtId="0" fontId="11" fillId="0" borderId="0"/>
    <xf numFmtId="171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166" fontId="11" fillId="0" borderId="0"/>
    <xf numFmtId="37" fontId="39" fillId="0" borderId="0"/>
    <xf numFmtId="0" fontId="8" fillId="0" borderId="0"/>
    <xf numFmtId="0" fontId="8" fillId="0" borderId="0"/>
    <xf numFmtId="0" fontId="35" fillId="0" borderId="0"/>
    <xf numFmtId="37" fontId="19" fillId="0" borderId="0"/>
    <xf numFmtId="168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8" fillId="0" borderId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8" fillId="0" borderId="0"/>
    <xf numFmtId="0" fontId="8" fillId="0" borderId="0"/>
    <xf numFmtId="0" fontId="8" fillId="0" borderId="0"/>
    <xf numFmtId="172" fontId="59" fillId="34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0" fontId="8" fillId="0" borderId="0"/>
    <xf numFmtId="40" fontId="60" fillId="40" borderId="0">
      <alignment horizontal="right"/>
    </xf>
    <xf numFmtId="168" fontId="61" fillId="41" borderId="0">
      <alignment horizontal="center"/>
    </xf>
    <xf numFmtId="0" fontId="62" fillId="40" borderId="0">
      <alignment horizontal="right"/>
    </xf>
    <xf numFmtId="0" fontId="8" fillId="0" borderId="0"/>
    <xf numFmtId="0" fontId="61" fillId="40" borderId="0">
      <alignment horizontal="center" vertical="center"/>
    </xf>
    <xf numFmtId="0" fontId="8" fillId="0" borderId="0"/>
    <xf numFmtId="0" fontId="62" fillId="40" borderId="0">
      <alignment horizontal="right"/>
    </xf>
    <xf numFmtId="168" fontId="29" fillId="42" borderId="0"/>
    <xf numFmtId="0" fontId="63" fillId="40" borderId="10"/>
    <xf numFmtId="0" fontId="52" fillId="40" borderId="10"/>
    <xf numFmtId="0" fontId="8" fillId="0" borderId="0"/>
    <xf numFmtId="0" fontId="52" fillId="40" borderId="10"/>
    <xf numFmtId="0" fontId="8" fillId="0" borderId="0"/>
    <xf numFmtId="0" fontId="63" fillId="40" borderId="10"/>
    <xf numFmtId="168" fontId="64" fillId="34" borderId="0" applyBorder="0">
      <alignment horizontal="centerContinuous"/>
    </xf>
    <xf numFmtId="0" fontId="63" fillId="0" borderId="0" applyBorder="0">
      <alignment horizontal="centerContinuous"/>
    </xf>
    <xf numFmtId="0" fontId="8" fillId="0" borderId="0"/>
    <xf numFmtId="0" fontId="61" fillId="40" borderId="0" applyBorder="0">
      <alignment horizontal="centerContinuous"/>
    </xf>
    <xf numFmtId="0" fontId="8" fillId="0" borderId="0"/>
    <xf numFmtId="0" fontId="63" fillId="0" borderId="0" applyBorder="0">
      <alignment horizontal="centerContinuous"/>
    </xf>
    <xf numFmtId="168" fontId="65" fillId="42" borderId="0" applyBorder="0">
      <alignment horizontal="centerContinuous"/>
    </xf>
    <xf numFmtId="0" fontId="66" fillId="0" borderId="0" applyBorder="0">
      <alignment horizontal="centerContinuous"/>
    </xf>
    <xf numFmtId="0" fontId="8" fillId="0" borderId="0"/>
    <xf numFmtId="0" fontId="67" fillId="40" borderId="0" applyBorder="0">
      <alignment horizontal="centerContinuous"/>
    </xf>
    <xf numFmtId="0" fontId="8" fillId="0" borderId="0"/>
    <xf numFmtId="0" fontId="66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69" fillId="0" borderId="3">
      <alignment horizontal="center"/>
    </xf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168" fontId="52" fillId="22" borderId="0">
      <alignment horizontal="center"/>
    </xf>
    <xf numFmtId="0" fontId="52" fillId="22" borderId="0">
      <alignment horizontal="center"/>
    </xf>
    <xf numFmtId="0" fontId="52" fillId="22" borderId="0">
      <alignment horizontal="center"/>
    </xf>
    <xf numFmtId="0" fontId="8" fillId="0" borderId="0"/>
    <xf numFmtId="49" fontId="70" fillId="34" borderId="0">
      <alignment horizontal="center"/>
    </xf>
    <xf numFmtId="0" fontId="8" fillId="0" borderId="0"/>
    <xf numFmtId="168" fontId="31" fillId="37" borderId="0">
      <alignment horizontal="center"/>
    </xf>
    <xf numFmtId="0" fontId="31" fillId="37" borderId="0">
      <alignment horizontal="center"/>
    </xf>
    <xf numFmtId="0" fontId="8" fillId="0" borderId="0"/>
    <xf numFmtId="168" fontId="31" fillId="37" borderId="0">
      <alignment horizontal="centerContinuous"/>
    </xf>
    <xf numFmtId="0" fontId="31" fillId="37" borderId="0">
      <alignment horizontal="centerContinuous"/>
    </xf>
    <xf numFmtId="0" fontId="8" fillId="0" borderId="0"/>
    <xf numFmtId="168" fontId="71" fillId="34" borderId="0">
      <alignment horizontal="left"/>
    </xf>
    <xf numFmtId="0" fontId="71" fillId="34" borderId="0">
      <alignment horizontal="left"/>
    </xf>
    <xf numFmtId="0" fontId="8" fillId="0" borderId="0"/>
    <xf numFmtId="49" fontId="71" fillId="34" borderId="0">
      <alignment horizontal="center"/>
    </xf>
    <xf numFmtId="0" fontId="8" fillId="0" borderId="0"/>
    <xf numFmtId="168" fontId="29" fillId="37" borderId="0">
      <alignment horizontal="left"/>
    </xf>
    <xf numFmtId="0" fontId="29" fillId="37" borderId="0">
      <alignment horizontal="left"/>
    </xf>
    <xf numFmtId="0" fontId="8" fillId="0" borderId="0"/>
    <xf numFmtId="49" fontId="71" fillId="34" borderId="0">
      <alignment horizontal="left"/>
    </xf>
    <xf numFmtId="0" fontId="8" fillId="0" borderId="0"/>
    <xf numFmtId="168" fontId="29" fillId="37" borderId="0">
      <alignment horizontal="centerContinuous"/>
    </xf>
    <xf numFmtId="0" fontId="29" fillId="37" borderId="0">
      <alignment horizontal="centerContinuous"/>
    </xf>
    <xf numFmtId="0" fontId="8" fillId="0" borderId="0"/>
    <xf numFmtId="168" fontId="29" fillId="37" borderId="0">
      <alignment horizontal="right"/>
    </xf>
    <xf numFmtId="0" fontId="29" fillId="37" borderId="0">
      <alignment horizontal="right"/>
    </xf>
    <xf numFmtId="0" fontId="8" fillId="0" borderId="0"/>
    <xf numFmtId="49" fontId="52" fillId="34" borderId="0">
      <alignment horizontal="left"/>
    </xf>
    <xf numFmtId="49" fontId="52" fillId="34" borderId="0">
      <alignment horizontal="left"/>
    </xf>
    <xf numFmtId="0" fontId="8" fillId="0" borderId="0"/>
    <xf numFmtId="168" fontId="31" fillId="37" borderId="0">
      <alignment horizontal="right"/>
    </xf>
    <xf numFmtId="0" fontId="31" fillId="37" borderId="0">
      <alignment horizontal="right"/>
    </xf>
    <xf numFmtId="0" fontId="8" fillId="0" borderId="0"/>
    <xf numFmtId="168" fontId="71" fillId="20" borderId="0">
      <alignment horizontal="center"/>
    </xf>
    <xf numFmtId="0" fontId="71" fillId="20" borderId="0">
      <alignment horizontal="center"/>
    </xf>
    <xf numFmtId="0" fontId="8" fillId="0" borderId="0"/>
    <xf numFmtId="168" fontId="72" fillId="20" borderId="0">
      <alignment horizontal="center"/>
    </xf>
    <xf numFmtId="0" fontId="72" fillId="20" borderId="0">
      <alignment horizontal="center"/>
    </xf>
    <xf numFmtId="0" fontId="8" fillId="0" borderId="0"/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0" fillId="42" borderId="0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0" fillId="49" borderId="0" applyNumberFormat="0" applyProtection="0">
      <alignment horizontal="left" vertical="center" indent="1"/>
    </xf>
    <xf numFmtId="4" fontId="10" fillId="49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76" fillId="0" borderId="0" applyNumberFormat="0" applyProtection="0">
      <alignment horizontal="left" vertical="center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 applyNumberFormat="0" applyFill="0" applyBorder="0" applyAlignment="0" applyProtection="0"/>
    <xf numFmtId="0" fontId="8" fillId="0" borderId="0"/>
    <xf numFmtId="0" fontId="8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" fillId="0" borderId="0"/>
    <xf numFmtId="0" fontId="15" fillId="0" borderId="7" applyNumberFormat="0" applyFill="0" applyAlignment="0" applyProtection="0"/>
    <xf numFmtId="0" fontId="8" fillId="0" borderId="0"/>
    <xf numFmtId="0" fontId="8" fillId="0" borderId="0"/>
    <xf numFmtId="0" fontId="19" fillId="0" borderId="0"/>
    <xf numFmtId="168" fontId="79" fillId="34" borderId="0">
      <alignment horizontal="center"/>
    </xf>
    <xf numFmtId="0" fontId="79" fillId="34" borderId="0">
      <alignment horizontal="center"/>
    </xf>
    <xf numFmtId="0" fontId="8" fillId="0" borderId="0"/>
    <xf numFmtId="0" fontId="5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9" fillId="0" borderId="0" applyFont="0" applyFill="0" applyBorder="0" applyAlignment="0" applyProtection="0"/>
    <xf numFmtId="165" fontId="11" fillId="0" borderId="0"/>
    <xf numFmtId="165" fontId="11" fillId="0" borderId="0"/>
    <xf numFmtId="0" fontId="11" fillId="0" borderId="0"/>
    <xf numFmtId="0" fontId="20" fillId="71" borderId="0" applyNumberFormat="0" applyBorder="0" applyAlignment="0" applyProtection="0"/>
    <xf numFmtId="175" fontId="21" fillId="3" borderId="0" applyNumberFormat="0" applyBorder="0" applyAlignment="0" applyProtection="0"/>
    <xf numFmtId="175" fontId="21" fillId="3" borderId="0" applyNumberFormat="0" applyBorder="0" applyAlignment="0" applyProtection="0"/>
    <xf numFmtId="0" fontId="2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23" borderId="0" applyNumberFormat="0" applyBorder="0" applyAlignment="0" applyProtection="0"/>
    <xf numFmtId="175" fontId="21" fillId="5" borderId="0" applyNumberFormat="0" applyBorder="0" applyAlignment="0" applyProtection="0"/>
    <xf numFmtId="175" fontId="21" fillId="5" borderId="0" applyNumberFormat="0" applyBorder="0" applyAlignment="0" applyProtection="0"/>
    <xf numFmtId="0" fontId="20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39" borderId="0" applyNumberFormat="0" applyBorder="0" applyAlignment="0" applyProtection="0"/>
    <xf numFmtId="175" fontId="21" fillId="7" borderId="0" applyNumberFormat="0" applyBorder="0" applyAlignment="0" applyProtection="0"/>
    <xf numFmtId="175" fontId="21" fillId="7" borderId="0" applyNumberFormat="0" applyBorder="0" applyAlignment="0" applyProtection="0"/>
    <xf numFmtId="0" fontId="20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21" fillId="9" borderId="0" applyNumberFormat="0" applyBorder="0" applyAlignment="0" applyProtection="0"/>
    <xf numFmtId="175" fontId="21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20" fillId="21" borderId="0" applyNumberFormat="0" applyBorder="0" applyAlignment="0" applyProtection="0"/>
    <xf numFmtId="175" fontId="21" fillId="11" borderId="0" applyNumberFormat="0" applyBorder="0" applyAlignment="0" applyProtection="0"/>
    <xf numFmtId="175" fontId="21" fillId="1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20" borderId="0" applyNumberFormat="0" applyBorder="0" applyAlignment="0" applyProtection="0"/>
    <xf numFmtId="175" fontId="21" fillId="13" borderId="0" applyNumberFormat="0" applyBorder="0" applyAlignment="0" applyProtection="0"/>
    <xf numFmtId="175" fontId="21" fillId="13" borderId="0" applyNumberFormat="0" applyBorder="0" applyAlignment="0" applyProtection="0"/>
    <xf numFmtId="0" fontId="20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0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17" borderId="0" applyNumberFormat="0" applyBorder="0" applyAlignment="0" applyProtection="0"/>
    <xf numFmtId="175" fontId="21" fillId="6" borderId="0" applyNumberFormat="0" applyBorder="0" applyAlignment="0" applyProtection="0"/>
    <xf numFmtId="175" fontId="21" fillId="6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38" borderId="0" applyNumberFormat="0" applyBorder="0" applyAlignment="0" applyProtection="0"/>
    <xf numFmtId="175" fontId="21" fillId="8" borderId="0" applyNumberFormat="0" applyBorder="0" applyAlignment="0" applyProtection="0"/>
    <xf numFmtId="175" fontId="21" fillId="8" borderId="0" applyNumberFormat="0" applyBorder="0" applyAlignment="0" applyProtection="0"/>
    <xf numFmtId="0" fontId="20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33" borderId="0" applyNumberFormat="0" applyBorder="0" applyAlignment="0" applyProtection="0"/>
    <xf numFmtId="175" fontId="21" fillId="10" borderId="0" applyNumberFormat="0" applyBorder="0" applyAlignment="0" applyProtection="0"/>
    <xf numFmtId="175" fontId="21" fillId="10" borderId="0" applyNumberFormat="0" applyBorder="0" applyAlignment="0" applyProtection="0"/>
    <xf numFmtId="0" fontId="20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6" borderId="0" applyNumberFormat="0" applyBorder="0" applyAlignment="0" applyProtection="0"/>
    <xf numFmtId="175" fontId="21" fillId="12" borderId="0" applyNumberFormat="0" applyBorder="0" applyAlignment="0" applyProtection="0"/>
    <xf numFmtId="175" fontId="21" fillId="12" borderId="0" applyNumberFormat="0" applyBorder="0" applyAlignment="0" applyProtection="0"/>
    <xf numFmtId="0" fontId="20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26" borderId="0" applyNumberFormat="0" applyBorder="0" applyAlignment="0" applyProtection="0"/>
    <xf numFmtId="175" fontId="21" fillId="14" borderId="0" applyNumberFormat="0" applyBorder="0" applyAlignment="0" applyProtection="0"/>
    <xf numFmtId="175" fontId="21" fillId="14" borderId="0" applyNumberFormat="0" applyBorder="0" applyAlignment="0" applyProtection="0"/>
    <xf numFmtId="0" fontId="2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175" fontId="94" fillId="60" borderId="0" applyNumberFormat="0" applyBorder="0" applyAlignment="0" applyProtection="0"/>
    <xf numFmtId="175" fontId="94" fillId="60" borderId="0" applyNumberFormat="0" applyBorder="0" applyAlignment="0" applyProtection="0"/>
    <xf numFmtId="0" fontId="22" fillId="21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5" fontId="94" fillId="62" borderId="0" applyNumberFormat="0" applyBorder="0" applyAlignment="0" applyProtection="0"/>
    <xf numFmtId="175" fontId="94" fillId="62" borderId="0" applyNumberFormat="0" applyBorder="0" applyAlignment="0" applyProtection="0"/>
    <xf numFmtId="0" fontId="22" fillId="25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5" fontId="94" fillId="64" borderId="0" applyNumberFormat="0" applyBorder="0" applyAlignment="0" applyProtection="0"/>
    <xf numFmtId="175" fontId="94" fillId="64" borderId="0" applyNumberFormat="0" applyBorder="0" applyAlignment="0" applyProtection="0"/>
    <xf numFmtId="0" fontId="22" fillId="26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5" fontId="94" fillId="66" borderId="0" applyNumberFormat="0" applyBorder="0" applyAlignment="0" applyProtection="0"/>
    <xf numFmtId="175" fontId="94" fillId="66" borderId="0" applyNumberFormat="0" applyBorder="0" applyAlignment="0" applyProtection="0"/>
    <xf numFmtId="0" fontId="22" fillId="2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5" fontId="94" fillId="68" borderId="0" applyNumberFormat="0" applyBorder="0" applyAlignment="0" applyProtection="0"/>
    <xf numFmtId="175" fontId="94" fillId="68" borderId="0" applyNumberFormat="0" applyBorder="0" applyAlignment="0" applyProtection="0"/>
    <xf numFmtId="0" fontId="22" fillId="21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175" fontId="94" fillId="70" borderId="0" applyNumberFormat="0" applyBorder="0" applyAlignment="0" applyProtection="0"/>
    <xf numFmtId="175" fontId="94" fillId="70" borderId="0" applyNumberFormat="0" applyBorder="0" applyAlignment="0" applyProtection="0"/>
    <xf numFmtId="0" fontId="22" fillId="17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57" fillId="0" borderId="2" applyBorder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175" fontId="94" fillId="59" borderId="0" applyNumberFormat="0" applyBorder="0" applyAlignment="0" applyProtection="0"/>
    <xf numFmtId="175" fontId="94" fillId="59" borderId="0" applyNumberFormat="0" applyBorder="0" applyAlignment="0" applyProtection="0"/>
    <xf numFmtId="0" fontId="22" fillId="28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75" fontId="94" fillId="61" borderId="0" applyNumberFormat="0" applyBorder="0" applyAlignment="0" applyProtection="0"/>
    <xf numFmtId="175" fontId="94" fillId="61" borderId="0" applyNumberFormat="0" applyBorder="0" applyAlignment="0" applyProtection="0"/>
    <xf numFmtId="0" fontId="22" fillId="25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75" fontId="94" fillId="63" borderId="0" applyNumberFormat="0" applyBorder="0" applyAlignment="0" applyProtection="0"/>
    <xf numFmtId="175" fontId="94" fillId="63" borderId="0" applyNumberFormat="0" applyBorder="0" applyAlignment="0" applyProtection="0"/>
    <xf numFmtId="0" fontId="22" fillId="26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5" fontId="94" fillId="65" borderId="0" applyNumberFormat="0" applyBorder="0" applyAlignment="0" applyProtection="0"/>
    <xf numFmtId="175" fontId="94" fillId="65" borderId="0" applyNumberFormat="0" applyBorder="0" applyAlignment="0" applyProtection="0"/>
    <xf numFmtId="0" fontId="22" fillId="32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5" fontId="94" fillId="67" borderId="0" applyNumberFormat="0" applyBorder="0" applyAlignment="0" applyProtection="0"/>
    <xf numFmtId="175" fontId="94" fillId="67" borderId="0" applyNumberFormat="0" applyBorder="0" applyAlignment="0" applyProtection="0"/>
    <xf numFmtId="0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5" fontId="94" fillId="69" borderId="0" applyNumberFormat="0" applyBorder="0" applyAlignment="0" applyProtection="0"/>
    <xf numFmtId="175" fontId="94" fillId="69" borderId="0" applyNumberFormat="0" applyBorder="0" applyAlignment="0" applyProtection="0"/>
    <xf numFmtId="0" fontId="22" fillId="30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75" fontId="95" fillId="54" borderId="0" applyNumberFormat="0" applyBorder="0" applyAlignment="0" applyProtection="0"/>
    <xf numFmtId="175" fontId="95" fillId="54" borderId="0" applyNumberFormat="0" applyBorder="0" applyAlignment="0" applyProtection="0"/>
    <xf numFmtId="0" fontId="24" fillId="3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0" fontId="24" fillId="23" borderId="0" applyNumberFormat="0" applyBorder="0" applyAlignment="0" applyProtection="0"/>
    <xf numFmtId="164" fontId="96" fillId="0" borderId="26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175" fontId="97" fillId="58" borderId="32" applyNumberFormat="0" applyAlignment="0" applyProtection="0"/>
    <xf numFmtId="175" fontId="97" fillId="58" borderId="32" applyNumberFormat="0" applyAlignment="0" applyProtection="0"/>
    <xf numFmtId="0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0" fontId="28" fillId="36" borderId="9" applyNumberFormat="0" applyAlignment="0" applyProtection="0"/>
    <xf numFmtId="0" fontId="29" fillId="37" borderId="0">
      <alignment horizontal="left"/>
    </xf>
    <xf numFmtId="168" fontId="29" fillId="37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32" fillId="34" borderId="0">
      <alignment horizontal="center"/>
    </xf>
    <xf numFmtId="168" fontId="32" fillId="34" borderId="0">
      <alignment horizontal="center"/>
    </xf>
    <xf numFmtId="0" fontId="31" fillId="37" borderId="0">
      <alignment horizontal="right"/>
    </xf>
    <xf numFmtId="168" fontId="31" fillId="37" borderId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3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99" fillId="0" borderId="0"/>
    <xf numFmtId="0" fontId="99" fillId="0" borderId="33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100" fillId="0" borderId="0" applyNumberFormat="0" applyFill="0" applyBorder="0" applyAlignment="0" applyProtection="0"/>
    <xf numFmtId="175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5" fontId="39" fillId="0" borderId="0" applyProtection="0"/>
    <xf numFmtId="175" fontId="39" fillId="0" borderId="0" applyProtection="0"/>
    <xf numFmtId="0" fontId="3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5" fontId="40" fillId="0" borderId="0" applyProtection="0"/>
    <xf numFmtId="175" fontId="40" fillId="0" borderId="0" applyProtection="0"/>
    <xf numFmtId="0" fontId="40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5" fontId="11" fillId="0" borderId="0" applyProtection="0"/>
    <xf numFmtId="175" fontId="11" fillId="0" borderId="0" applyProtection="0"/>
    <xf numFmtId="0" fontId="11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5" fontId="41" fillId="0" borderId="0" applyProtection="0"/>
    <xf numFmtId="175" fontId="41" fillId="0" borderId="0" applyProtection="0"/>
    <xf numFmtId="0" fontId="41" fillId="0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5" fontId="101" fillId="53" borderId="0" applyNumberFormat="0" applyBorder="0" applyAlignment="0" applyProtection="0"/>
    <xf numFmtId="175" fontId="101" fillId="53" borderId="0" applyNumberFormat="0" applyBorder="0" applyAlignment="0" applyProtection="0"/>
    <xf numFmtId="0" fontId="42" fillId="21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175" fontId="103" fillId="0" borderId="4" applyNumberFormat="0" applyFill="0" applyAlignment="0" applyProtection="0"/>
    <xf numFmtId="175" fontId="103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5" fillId="0" borderId="0" applyNumberFormat="0" applyFon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175" fontId="107" fillId="0" borderId="5" applyNumberFormat="0" applyFill="0" applyAlignment="0" applyProtection="0"/>
    <xf numFmtId="175" fontId="10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9" fillId="0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175" fontId="109" fillId="0" borderId="28" applyNumberFormat="0" applyFill="0" applyAlignment="0" applyProtection="0"/>
    <xf numFmtId="175" fontId="109" fillId="0" borderId="28" applyNumberFormat="0" applyFill="0" applyAlignment="0" applyProtection="0"/>
    <xf numFmtId="0" fontId="47" fillId="0" borderId="1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110" fillId="41" borderId="33"/>
    <xf numFmtId="0" fontId="29" fillId="37" borderId="0">
      <alignment horizontal="left"/>
    </xf>
    <xf numFmtId="168" fontId="29" fillId="37" borderId="0">
      <alignment horizontal="left"/>
    </xf>
    <xf numFmtId="0" fontId="52" fillId="34" borderId="0">
      <alignment horizontal="left"/>
    </xf>
    <xf numFmtId="168" fontId="52" fillId="34" borderId="0">
      <alignment horizontal="left"/>
    </xf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175" fontId="112" fillId="0" borderId="31" applyNumberFormat="0" applyFill="0" applyAlignment="0" applyProtection="0"/>
    <xf numFmtId="175" fontId="112" fillId="0" borderId="31" applyNumberFormat="0" applyFill="0" applyAlignment="0" applyProtection="0"/>
    <xf numFmtId="0" fontId="53" fillId="0" borderId="18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0" fontId="111" fillId="0" borderId="19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175" fontId="114" fillId="55" borderId="0" applyNumberFormat="0" applyBorder="0" applyAlignment="0" applyProtection="0"/>
    <xf numFmtId="175" fontId="114" fillId="55" borderId="0" applyNumberFormat="0" applyBorder="0" applyAlignment="0" applyProtection="0"/>
    <xf numFmtId="0" fontId="55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0" fontId="113" fillId="22" borderId="0" applyNumberFormat="0" applyBorder="0" applyAlignment="0" applyProtection="0"/>
    <xf numFmtId="181" fontId="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168" fontId="11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5" fontId="11" fillId="0" borderId="0"/>
    <xf numFmtId="175" fontId="11" fillId="0" borderId="0"/>
    <xf numFmtId="175" fontId="11" fillId="0" borderId="0"/>
    <xf numFmtId="0" fontId="36" fillId="0" borderId="0"/>
    <xf numFmtId="0" fontId="98" fillId="0" borderId="0"/>
    <xf numFmtId="0" fontId="98" fillId="0" borderId="0"/>
    <xf numFmtId="0" fontId="98" fillId="0" borderId="0"/>
    <xf numFmtId="168" fontId="11" fillId="0" borderId="0"/>
    <xf numFmtId="0" fontId="98" fillId="0" borderId="0"/>
    <xf numFmtId="41" fontId="36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0" fontId="98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8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75" fontId="21" fillId="0" borderId="0"/>
    <xf numFmtId="175" fontId="21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36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21" fillId="0" borderId="0"/>
    <xf numFmtId="165" fontId="11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37" fontId="19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9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37" fontId="19" fillId="0" borderId="0"/>
    <xf numFmtId="37" fontId="19" fillId="0" borderId="0"/>
    <xf numFmtId="0" fontId="11" fillId="0" borderId="0"/>
    <xf numFmtId="0" fontId="11" fillId="0" borderId="0"/>
    <xf numFmtId="0" fontId="98" fillId="0" borderId="0"/>
    <xf numFmtId="0" fontId="98" fillId="0" borderId="0"/>
    <xf numFmtId="0" fontId="98" fillId="0" borderId="0"/>
    <xf numFmtId="37" fontId="19" fillId="0" borderId="0"/>
    <xf numFmtId="0" fontId="7" fillId="0" borderId="0"/>
    <xf numFmtId="0" fontId="11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175" fontId="115" fillId="57" borderId="30" applyNumberFormat="0" applyAlignment="0" applyProtection="0"/>
    <xf numFmtId="175" fontId="115" fillId="57" borderId="30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0" fontId="58" fillId="19" borderId="21" applyNumberForma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0" fontId="60" fillId="40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0" fontId="61" fillId="41" borderId="0">
      <alignment horizontal="center"/>
    </xf>
    <xf numFmtId="0" fontId="61" fillId="41" borderId="0">
      <alignment horizontal="center"/>
    </xf>
    <xf numFmtId="168" fontId="61" fillId="41" borderId="0">
      <alignment horizontal="center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175" fontId="61" fillId="40" borderId="0">
      <alignment horizontal="center" vertical="center"/>
    </xf>
    <xf numFmtId="175" fontId="61" fillId="40" borderId="0">
      <alignment horizontal="center" vertical="center"/>
    </xf>
    <xf numFmtId="0" fontId="29" fillId="42" borderId="0"/>
    <xf numFmtId="0" fontId="29" fillId="42" borderId="0"/>
    <xf numFmtId="168" fontId="29" fillId="42" borderId="0"/>
    <xf numFmtId="165" fontId="63" fillId="40" borderId="10"/>
    <xf numFmtId="0" fontId="52" fillId="40" borderId="10"/>
    <xf numFmtId="0" fontId="29" fillId="42" borderId="0"/>
    <xf numFmtId="0" fontId="63" fillId="40" borderId="10"/>
    <xf numFmtId="0" fontId="63" fillId="40" borderId="10"/>
    <xf numFmtId="0" fontId="63" fillId="40" borderId="10"/>
    <xf numFmtId="0" fontId="63" fillId="40" borderId="10"/>
    <xf numFmtId="0" fontId="63" fillId="40" borderId="10"/>
    <xf numFmtId="0" fontId="29" fillId="42" borderId="0"/>
    <xf numFmtId="165" fontId="63" fillId="40" borderId="10"/>
    <xf numFmtId="0" fontId="63" fillId="40" borderId="10"/>
    <xf numFmtId="0" fontId="63" fillId="40" borderId="10"/>
    <xf numFmtId="0" fontId="52" fillId="40" borderId="10"/>
    <xf numFmtId="0" fontId="52" fillId="40" borderId="10"/>
    <xf numFmtId="0" fontId="52" fillId="40" borderId="10"/>
    <xf numFmtId="175" fontId="52" fillId="40" borderId="10"/>
    <xf numFmtId="175" fontId="52" fillId="40" borderId="10"/>
    <xf numFmtId="0" fontId="64" fillId="34" borderId="0" applyBorder="0">
      <alignment horizontal="centerContinuous"/>
    </xf>
    <xf numFmtId="0" fontId="64" fillId="34" borderId="0" applyBorder="0">
      <alignment horizontal="centerContinuous"/>
    </xf>
    <xf numFmtId="168" fontId="64" fillId="34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75" fontId="61" fillId="40" borderId="0" applyBorder="0">
      <alignment horizontal="centerContinuous"/>
    </xf>
    <xf numFmtId="175" fontId="61" fillId="40" borderId="0" applyBorder="0">
      <alignment horizontal="centerContinuous"/>
    </xf>
    <xf numFmtId="0" fontId="65" fillId="42" borderId="0" applyBorder="0">
      <alignment horizontal="centerContinuous"/>
    </xf>
    <xf numFmtId="0" fontId="65" fillId="42" borderId="0" applyBorder="0">
      <alignment horizontal="centerContinuous"/>
    </xf>
    <xf numFmtId="168" fontId="65" fillId="42" borderId="0" applyBorder="0">
      <alignment horizontal="centerContinuous"/>
    </xf>
    <xf numFmtId="0" fontId="116" fillId="42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175" fontId="67" fillId="40" borderId="0" applyBorder="0">
      <alignment horizontal="centerContinuous"/>
    </xf>
    <xf numFmtId="175" fontId="67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2" fillId="22" borderId="0">
      <alignment horizontal="center"/>
    </xf>
    <xf numFmtId="168" fontId="52" fillId="22" borderId="0">
      <alignment horizontal="center"/>
    </xf>
    <xf numFmtId="49" fontId="70" fillId="34" borderId="0">
      <alignment horizontal="center"/>
    </xf>
    <xf numFmtId="0" fontId="99" fillId="0" borderId="0"/>
    <xf numFmtId="0" fontId="31" fillId="37" borderId="0">
      <alignment horizontal="center"/>
    </xf>
    <xf numFmtId="168" fontId="31" fillId="37" borderId="0">
      <alignment horizontal="center"/>
    </xf>
    <xf numFmtId="0" fontId="31" fillId="37" borderId="0">
      <alignment horizontal="centerContinuous"/>
    </xf>
    <xf numFmtId="168" fontId="31" fillId="37" borderId="0">
      <alignment horizontal="centerContinuous"/>
    </xf>
    <xf numFmtId="0" fontId="71" fillId="34" borderId="0">
      <alignment horizontal="left"/>
    </xf>
    <xf numFmtId="168" fontId="71" fillId="34" borderId="0">
      <alignment horizontal="left"/>
    </xf>
    <xf numFmtId="49" fontId="71" fillId="34" borderId="0">
      <alignment horizontal="center"/>
    </xf>
    <xf numFmtId="0" fontId="29" fillId="37" borderId="0">
      <alignment horizontal="left"/>
    </xf>
    <xf numFmtId="168" fontId="29" fillId="37" borderId="0">
      <alignment horizontal="left"/>
    </xf>
    <xf numFmtId="49" fontId="71" fillId="34" borderId="0">
      <alignment horizontal="left"/>
    </xf>
    <xf numFmtId="0" fontId="29" fillId="37" borderId="0">
      <alignment horizontal="centerContinuous"/>
    </xf>
    <xf numFmtId="168" fontId="29" fillId="37" borderId="0">
      <alignment horizontal="centerContinuous"/>
    </xf>
    <xf numFmtId="0" fontId="29" fillId="37" borderId="0">
      <alignment horizontal="right"/>
    </xf>
    <xf numFmtId="168" fontId="29" fillId="37" borderId="0">
      <alignment horizontal="right"/>
    </xf>
    <xf numFmtId="49" fontId="52" fillId="34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71" fillId="20" borderId="0">
      <alignment horizontal="center"/>
    </xf>
    <xf numFmtId="168" fontId="71" fillId="20" borderId="0">
      <alignment horizontal="center"/>
    </xf>
    <xf numFmtId="0" fontId="72" fillId="20" borderId="0">
      <alignment horizontal="center"/>
    </xf>
    <xf numFmtId="168" fontId="72" fillId="20" borderId="0">
      <alignment horizont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9" fillId="0" borderId="33"/>
    <xf numFmtId="49" fontId="11" fillId="0" borderId="37">
      <alignment horizontal="center" vertical="center"/>
      <protection locked="0"/>
    </xf>
    <xf numFmtId="0" fontId="117" fillId="37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175" fontId="119" fillId="0" borderId="7" applyNumberFormat="0" applyFill="0" applyAlignment="0" applyProtection="0"/>
    <xf numFmtId="175" fontId="119" fillId="0" borderId="7" applyNumberForma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168" fontId="16" fillId="0" borderId="40" applyNumberFormat="0" applyFont="0" applyBorder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1" fillId="0" borderId="39" applyNumberFormat="0" applyFont="0" applyFill="0" applyAlignment="0" applyProtection="0"/>
    <xf numFmtId="165" fontId="78" fillId="0" borderId="38" applyNumberFormat="0" applyFill="0" applyAlignment="0" applyProtection="0"/>
    <xf numFmtId="168" fontId="16" fillId="0" borderId="40" applyNumberFormat="0" applyFont="0" applyBorder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110" fillId="0" borderId="41"/>
    <xf numFmtId="0" fontId="110" fillId="0" borderId="33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7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37" fontId="19" fillId="0" borderId="0"/>
    <xf numFmtId="4" fontId="59" fillId="40" borderId="0">
      <alignment horizontal="right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77" fillId="0" borderId="0" applyNumberFormat="0" applyFill="0" applyBorder="0" applyAlignment="0" applyProtection="0"/>
    <xf numFmtId="0" fontId="11" fillId="0" borderId="0"/>
    <xf numFmtId="0" fontId="11" fillId="0" borderId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7" fillId="3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7" fillId="5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7" fillId="7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7" fillId="13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" fillId="4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7" fillId="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7" fillId="10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" fillId="12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7" fillId="14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93" fillId="60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93" fillId="62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93" fillId="64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93" fillId="66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8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70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93" fillId="59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93" fillId="61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93" fillId="63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93" fillId="65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7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69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84" fillId="54" borderId="0" applyNumberFormat="0" applyBorder="0" applyAlignment="0" applyProtection="0"/>
    <xf numFmtId="165" fontId="24" fillId="23" borderId="0" applyNumberFormat="0" applyBorder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175" fontId="123" fillId="57" borderId="29" applyNumberFormat="0" applyAlignment="0" applyProtection="0"/>
    <xf numFmtId="175" fontId="123" fillId="57" borderId="29" applyNumberFormat="0" applyAlignment="0" applyProtection="0"/>
    <xf numFmtId="0" fontId="88" fillId="57" borderId="29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0" fontId="122" fillId="19" borderId="8" applyNumberFormat="0" applyAlignment="0" applyProtection="0"/>
    <xf numFmtId="0" fontId="90" fillId="58" borderId="32" applyNumberFormat="0" applyAlignment="0" applyProtection="0"/>
    <xf numFmtId="165" fontId="28" fillId="36" borderId="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3" fillId="53" borderId="0" applyNumberFormat="0" applyBorder="0" applyAlignment="0" applyProtection="0"/>
    <xf numFmtId="165" fontId="42" fillId="39" borderId="0" applyNumberFormat="0" applyBorder="0" applyAlignment="0" applyProtection="0"/>
    <xf numFmtId="0" fontId="82" fillId="0" borderId="28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82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175" fontId="124" fillId="56" borderId="29" applyNumberFormat="0" applyAlignment="0" applyProtection="0"/>
    <xf numFmtId="175" fontId="124" fillId="56" borderId="29" applyNumberFormat="0" applyAlignment="0" applyProtection="0"/>
    <xf numFmtId="0" fontId="86" fillId="56" borderId="29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0" fontId="50" fillId="20" borderId="8" applyNumberFormat="0" applyAlignment="0" applyProtection="0"/>
    <xf numFmtId="0" fontId="89" fillId="0" borderId="31" applyNumberFormat="0" applyFill="0" applyAlignment="0" applyProtection="0"/>
    <xf numFmtId="165" fontId="111" fillId="0" borderId="19" applyNumberFormat="0" applyFill="0" applyAlignment="0" applyProtection="0"/>
    <xf numFmtId="0" fontId="85" fillId="55" borderId="0" applyNumberFormat="0" applyBorder="0" applyAlignment="0" applyProtection="0"/>
    <xf numFmtId="165" fontId="113" fillId="22" borderId="0" applyNumberFormat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68" fillId="0" borderId="0"/>
    <xf numFmtId="165" fontId="68" fillId="0" borderId="0"/>
    <xf numFmtId="165" fontId="68" fillId="0" borderId="0"/>
    <xf numFmtId="0" fontId="11" fillId="0" borderId="0"/>
    <xf numFmtId="175" fontId="21" fillId="0" borderId="0"/>
    <xf numFmtId="175" fontId="21" fillId="0" borderId="0"/>
    <xf numFmtId="175" fontId="21" fillId="0" borderId="0"/>
    <xf numFmtId="0" fontId="1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0" fontId="125" fillId="18" borderId="20" applyNumberFormat="0" applyFont="0" applyAlignment="0" applyProtection="0"/>
    <xf numFmtId="0" fontId="87" fillId="57" borderId="30" applyNumberFormat="0" applyAlignment="0" applyProtection="0"/>
    <xf numFmtId="165" fontId="58" fillId="19" borderId="21" applyNumberFormat="0" applyAlignment="0" applyProtection="0"/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8" fontId="33" fillId="34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165" fontId="1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9" fillId="18" borderId="20" applyNumberFormat="0" applyFon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68" fontId="61" fillId="41" borderId="0">
      <alignment horizontal="center"/>
    </xf>
    <xf numFmtId="168" fontId="64" fillId="34" borderId="0" applyBorder="0">
      <alignment horizontal="centerContinuous"/>
    </xf>
    <xf numFmtId="168" fontId="65" fillId="42" borderId="0" applyBorder="0">
      <alignment horizontal="centerContinuous"/>
    </xf>
    <xf numFmtId="9" fontId="11" fillId="0" borderId="0" applyFont="0" applyFill="0" applyBorder="0" applyAlignment="0" applyProtection="0"/>
    <xf numFmtId="182" fontId="121" fillId="76" borderId="42">
      <alignment horizontal="left"/>
    </xf>
    <xf numFmtId="168" fontId="79" fillId="34" borderId="0">
      <alignment horizontal="center"/>
    </xf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0" fillId="71" borderId="0" applyNumberFormat="0" applyBorder="0" applyAlignment="0" applyProtection="0"/>
    <xf numFmtId="0" fontId="7" fillId="3" borderId="0" applyNumberFormat="0" applyBorder="0" applyAlignment="0" applyProtection="0"/>
    <xf numFmtId="0" fontId="20" fillId="23" borderId="0" applyNumberFormat="0" applyBorder="0" applyAlignment="0" applyProtection="0"/>
    <xf numFmtId="0" fontId="7" fillId="5" borderId="0" applyNumberFormat="0" applyBorder="0" applyAlignment="0" applyProtection="0"/>
    <xf numFmtId="0" fontId="20" fillId="39" borderId="0" applyNumberFormat="0" applyBorder="0" applyAlignment="0" applyProtection="0"/>
    <xf numFmtId="0" fontId="7" fillId="7" borderId="0" applyNumberFormat="0" applyBorder="0" applyAlignment="0" applyProtection="0"/>
    <xf numFmtId="0" fontId="2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20" fillId="20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20" fillId="38" borderId="0" applyNumberFormat="0" applyBorder="0" applyAlignment="0" applyProtection="0"/>
    <xf numFmtId="0" fontId="7" fillId="8" borderId="0" applyNumberFormat="0" applyBorder="0" applyAlignment="0" applyProtection="0"/>
    <xf numFmtId="0" fontId="20" fillId="33" borderId="0" applyNumberFormat="0" applyBorder="0" applyAlignment="0" applyProtection="0"/>
    <xf numFmtId="0" fontId="7" fillId="10" borderId="0" applyNumberFormat="0" applyBorder="0" applyAlignment="0" applyProtection="0"/>
    <xf numFmtId="0" fontId="20" fillId="16" borderId="0" applyNumberFormat="0" applyBorder="0" applyAlignment="0" applyProtection="0"/>
    <xf numFmtId="0" fontId="7" fillId="12" borderId="0" applyNumberFormat="0" applyBorder="0" applyAlignment="0" applyProtection="0"/>
    <xf numFmtId="0" fontId="20" fillId="26" borderId="0" applyNumberFormat="0" applyBorder="0" applyAlignment="0" applyProtection="0"/>
    <xf numFmtId="0" fontId="7" fillId="14" borderId="0" applyNumberFormat="0" applyBorder="0" applyAlignment="0" applyProtection="0"/>
    <xf numFmtId="0" fontId="22" fillId="72" borderId="0" applyNumberFormat="0" applyBorder="0" applyAlignment="0" applyProtection="0"/>
    <xf numFmtId="0" fontId="93" fillId="60" borderId="0" applyNumberFormat="0" applyBorder="0" applyAlignment="0" applyProtection="0"/>
    <xf numFmtId="0" fontId="22" fillId="17" borderId="0" applyNumberFormat="0" applyBorder="0" applyAlignment="0" applyProtection="0"/>
    <xf numFmtId="0" fontId="93" fillId="62" borderId="0" applyNumberFormat="0" applyBorder="0" applyAlignment="0" applyProtection="0"/>
    <xf numFmtId="0" fontId="22" fillId="38" borderId="0" applyNumberFormat="0" applyBorder="0" applyAlignment="0" applyProtection="0"/>
    <xf numFmtId="0" fontId="93" fillId="64" borderId="0" applyNumberFormat="0" applyBorder="0" applyAlignment="0" applyProtection="0"/>
    <xf numFmtId="0" fontId="22" fillId="73" borderId="0" applyNumberFormat="0" applyBorder="0" applyAlignment="0" applyProtection="0"/>
    <xf numFmtId="0" fontId="93" fillId="66" borderId="0" applyNumberFormat="0" applyBorder="0" applyAlignment="0" applyProtection="0"/>
    <xf numFmtId="0" fontId="22" fillId="29" borderId="0" applyNumberFormat="0" applyBorder="0" applyAlignment="0" applyProtection="0"/>
    <xf numFmtId="0" fontId="93" fillId="68" borderId="0" applyNumberFormat="0" applyBorder="0" applyAlignment="0" applyProtection="0"/>
    <xf numFmtId="0" fontId="22" fillId="48" borderId="0" applyNumberFormat="0" applyBorder="0" applyAlignment="0" applyProtection="0"/>
    <xf numFmtId="0" fontId="93" fillId="70" borderId="0" applyNumberFormat="0" applyBorder="0" applyAlignment="0" applyProtection="0"/>
    <xf numFmtId="0" fontId="22" fillId="74" borderId="0" applyNumberFormat="0" applyBorder="0" applyAlignment="0" applyProtection="0"/>
    <xf numFmtId="0" fontId="93" fillId="59" borderId="0" applyNumberFormat="0" applyBorder="0" applyAlignment="0" applyProtection="0"/>
    <xf numFmtId="0" fontId="22" fillId="30" borderId="0" applyNumberFormat="0" applyBorder="0" applyAlignment="0" applyProtection="0"/>
    <xf numFmtId="0" fontId="93" fillId="61" borderId="0" applyNumberFormat="0" applyBorder="0" applyAlignment="0" applyProtection="0"/>
    <xf numFmtId="0" fontId="22" fillId="31" borderId="0" applyNumberFormat="0" applyBorder="0" applyAlignment="0" applyProtection="0"/>
    <xf numFmtId="0" fontId="93" fillId="63" borderId="0" applyNumberFormat="0" applyBorder="0" applyAlignment="0" applyProtection="0"/>
    <xf numFmtId="0" fontId="22" fillId="73" borderId="0" applyNumberFormat="0" applyBorder="0" applyAlignment="0" applyProtection="0"/>
    <xf numFmtId="0" fontId="93" fillId="65" borderId="0" applyNumberFormat="0" applyBorder="0" applyAlignment="0" applyProtection="0"/>
    <xf numFmtId="0" fontId="93" fillId="67" borderId="0" applyNumberFormat="0" applyBorder="0" applyAlignment="0" applyProtection="0"/>
    <xf numFmtId="0" fontId="22" fillId="25" borderId="0" applyNumberFormat="0" applyBorder="0" applyAlignment="0" applyProtection="0"/>
    <xf numFmtId="0" fontId="93" fillId="69" borderId="0" applyNumberFormat="0" applyBorder="0" applyAlignment="0" applyProtection="0"/>
    <xf numFmtId="0" fontId="24" fillId="23" borderId="0" applyNumberFormat="0" applyBorder="0" applyAlignment="0" applyProtection="0"/>
    <xf numFmtId="0" fontId="84" fillId="54" borderId="0" applyNumberFormat="0" applyBorder="0" applyAlignment="0" applyProtection="0"/>
    <xf numFmtId="0" fontId="122" fillId="19" borderId="8" applyNumberFormat="0" applyAlignment="0" applyProtection="0"/>
    <xf numFmtId="0" fontId="88" fillId="57" borderId="29" applyNumberFormat="0" applyAlignment="0" applyProtection="0"/>
    <xf numFmtId="0" fontId="90" fillId="58" borderId="32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83" fillId="53" borderId="0" applyNumberFormat="0" applyBorder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82" fillId="0" borderId="28" applyNumberFormat="0" applyFill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20" borderId="8" applyNumberFormat="0" applyAlignment="0" applyProtection="0"/>
    <xf numFmtId="0" fontId="86" fillId="56" borderId="29" applyNumberFormat="0" applyAlignment="0" applyProtection="0"/>
    <xf numFmtId="0" fontId="111" fillId="0" borderId="19" applyNumberFormat="0" applyFill="0" applyAlignment="0" applyProtection="0"/>
    <xf numFmtId="0" fontId="89" fillId="0" borderId="31" applyNumberFormat="0" applyFill="0" applyAlignment="0" applyProtection="0"/>
    <xf numFmtId="0" fontId="113" fillId="22" borderId="0" applyNumberFormat="0" applyBorder="0" applyAlignment="0" applyProtection="0"/>
    <xf numFmtId="0" fontId="85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20" applyNumberFormat="0" applyFont="0" applyAlignment="0" applyProtection="0"/>
    <xf numFmtId="0" fontId="58" fillId="19" borderId="21" applyNumberFormat="0" applyAlignment="0" applyProtection="0"/>
    <xf numFmtId="0" fontId="87" fillId="57" borderId="3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91" fillId="0" borderId="0" applyNumberFormat="0" applyFill="0" applyBorder="0" applyAlignment="0" applyProtection="0"/>
    <xf numFmtId="0" fontId="127" fillId="0" borderId="0"/>
    <xf numFmtId="0" fontId="11" fillId="0" borderId="0"/>
    <xf numFmtId="0" fontId="11" fillId="0" borderId="0"/>
    <xf numFmtId="0" fontId="11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1" fillId="0" borderId="0"/>
    <xf numFmtId="184" fontId="9" fillId="0" borderId="0" applyFill="0"/>
    <xf numFmtId="184" fontId="9" fillId="0" borderId="0">
      <alignment horizontal="center"/>
    </xf>
    <xf numFmtId="0" fontId="9" fillId="0" borderId="0" applyFill="0">
      <alignment horizontal="center"/>
    </xf>
    <xf numFmtId="184" fontId="40" fillId="0" borderId="39" applyFill="0"/>
    <xf numFmtId="0" fontId="11" fillId="0" borderId="0" applyFont="0" applyAlignment="0"/>
    <xf numFmtId="0" fontId="129" fillId="0" borderId="0" applyFill="0">
      <alignment vertical="top"/>
    </xf>
    <xf numFmtId="0" fontId="40" fillId="0" borderId="0" applyFill="0">
      <alignment horizontal="left" vertical="top"/>
    </xf>
    <xf numFmtId="184" fontId="17" fillId="0" borderId="1" applyFill="0"/>
    <xf numFmtId="0" fontId="11" fillId="0" borderId="0" applyNumberFormat="0" applyFont="0" applyAlignment="0"/>
    <xf numFmtId="0" fontId="129" fillId="0" borderId="0" applyFill="0">
      <alignment wrapText="1"/>
    </xf>
    <xf numFmtId="0" fontId="40" fillId="0" borderId="0" applyFill="0">
      <alignment horizontal="left" vertical="top" wrapText="1"/>
    </xf>
    <xf numFmtId="184" fontId="130" fillId="0" borderId="0" applyFill="0"/>
    <xf numFmtId="0" fontId="131" fillId="0" borderId="0" applyNumberFormat="0" applyFont="0" applyAlignment="0">
      <alignment horizontal="center"/>
    </xf>
    <xf numFmtId="0" fontId="132" fillId="0" borderId="0" applyFill="0">
      <alignment vertical="top" wrapText="1"/>
    </xf>
    <xf numFmtId="0" fontId="17" fillId="0" borderId="0" applyFill="0">
      <alignment horizontal="left" vertical="top" wrapText="1"/>
    </xf>
    <xf numFmtId="184" fontId="11" fillId="0" borderId="0" applyFill="0"/>
    <xf numFmtId="0" fontId="131" fillId="0" borderId="0" applyNumberFormat="0" applyFont="0" applyAlignment="0">
      <alignment horizontal="center"/>
    </xf>
    <xf numFmtId="0" fontId="133" fillId="0" borderId="0" applyFill="0">
      <alignment vertical="center" wrapText="1"/>
    </xf>
    <xf numFmtId="0" fontId="16" fillId="0" borderId="0">
      <alignment horizontal="left" vertical="center" wrapText="1"/>
    </xf>
    <xf numFmtId="184" fontId="134" fillId="0" borderId="0" applyFill="0"/>
    <xf numFmtId="0" fontId="131" fillId="0" borderId="0" applyNumberFormat="0" applyFont="0" applyAlignment="0">
      <alignment horizontal="center"/>
    </xf>
    <xf numFmtId="0" fontId="135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4" fontId="136" fillId="0" borderId="0" applyFill="0"/>
    <xf numFmtId="0" fontId="131" fillId="0" borderId="0" applyNumberFormat="0" applyFont="0" applyAlignment="0">
      <alignment horizontal="center"/>
    </xf>
    <xf numFmtId="0" fontId="137" fillId="0" borderId="0" applyFill="0">
      <alignment horizontal="center" vertical="center" wrapText="1"/>
    </xf>
    <xf numFmtId="0" fontId="138" fillId="0" borderId="0" applyFill="0">
      <alignment horizontal="center" vertical="center" wrapText="1"/>
    </xf>
    <xf numFmtId="184" fontId="139" fillId="0" borderId="0" applyFill="0"/>
    <xf numFmtId="0" fontId="131" fillId="0" borderId="0" applyNumberFormat="0" applyFont="0" applyAlignment="0">
      <alignment horizontal="center"/>
    </xf>
    <xf numFmtId="0" fontId="140" fillId="0" borderId="0">
      <alignment horizontal="center" wrapText="1"/>
    </xf>
    <xf numFmtId="0" fontId="136" fillId="0" borderId="0" applyFill="0">
      <alignment horizont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9" fillId="15" borderId="0" applyFill="0"/>
    <xf numFmtId="0" fontId="141" fillId="0" borderId="0">
      <alignment horizontal="left" indent="7"/>
    </xf>
    <xf numFmtId="0" fontId="9" fillId="0" borderId="0" applyFill="0">
      <alignment horizontal="left" indent="7"/>
    </xf>
    <xf numFmtId="7" fontId="142" fillId="0" borderId="26" applyFill="0">
      <alignment horizontal="right"/>
    </xf>
    <xf numFmtId="0" fontId="17" fillId="0" borderId="0" applyNumberFormat="0">
      <alignment horizontal="right"/>
    </xf>
    <xf numFmtId="0" fontId="143" fillId="0" borderId="26" applyFont="0" applyFill="0"/>
    <xf numFmtId="0" fontId="17" fillId="0" borderId="26" applyFill="0"/>
    <xf numFmtId="39" fontId="142" fillId="0" borderId="0" applyFill="0"/>
    <xf numFmtId="0" fontId="11" fillId="0" borderId="0" applyNumberFormat="0" applyFont="0" applyBorder="0" applyAlignment="0"/>
    <xf numFmtId="0" fontId="132" fillId="0" borderId="0" applyFill="0">
      <alignment horizontal="left" indent="1"/>
    </xf>
    <xf numFmtId="0" fontId="17" fillId="0" borderId="0" applyFill="0">
      <alignment horizontal="left" indent="1"/>
    </xf>
    <xf numFmtId="39" fontId="134" fillId="0" borderId="0" applyFill="0"/>
    <xf numFmtId="0" fontId="11" fillId="0" borderId="0" applyNumberFormat="0" applyFont="0" applyFill="0" applyBorder="0" applyAlignment="0"/>
    <xf numFmtId="0" fontId="132" fillId="0" borderId="0" applyFill="0">
      <alignment horizontal="left" indent="2"/>
    </xf>
    <xf numFmtId="0" fontId="70" fillId="0" borderId="0" applyFill="0">
      <alignment horizontal="left" indent="2"/>
    </xf>
    <xf numFmtId="39" fontId="134" fillId="0" borderId="0" applyFill="0"/>
    <xf numFmtId="0" fontId="11" fillId="0" borderId="0" applyNumberFormat="0" applyFont="0" applyBorder="0" applyAlignment="0"/>
    <xf numFmtId="0" fontId="144" fillId="0" borderId="0">
      <alignment horizontal="left" indent="3"/>
    </xf>
    <xf numFmtId="0" fontId="145" fillId="0" borderId="0" applyFill="0">
      <alignment horizontal="left" indent="3"/>
    </xf>
    <xf numFmtId="39" fontId="134" fillId="0" borderId="0" applyFill="0"/>
    <xf numFmtId="0" fontId="11" fillId="0" borderId="0" applyNumberFormat="0" applyFont="0" applyBorder="0" applyAlignment="0"/>
    <xf numFmtId="0" fontId="135" fillId="0" borderId="0">
      <alignment horizontal="left" indent="4"/>
    </xf>
    <xf numFmtId="0" fontId="11" fillId="0" borderId="0" applyFill="0">
      <alignment horizontal="left" indent="4"/>
    </xf>
    <xf numFmtId="39" fontId="134" fillId="0" borderId="0" applyFill="0"/>
    <xf numFmtId="0" fontId="11" fillId="0" borderId="0" applyNumberFormat="0" applyFont="0" applyBorder="0" applyAlignment="0"/>
    <xf numFmtId="0" fontId="137" fillId="0" borderId="0">
      <alignment horizontal="left" indent="5"/>
    </xf>
    <xf numFmtId="0" fontId="138" fillId="0" borderId="0" applyFill="0">
      <alignment horizontal="left" indent="5"/>
    </xf>
    <xf numFmtId="39" fontId="139" fillId="0" borderId="0" applyFill="0"/>
    <xf numFmtId="0" fontId="11" fillId="0" borderId="0" applyNumberFormat="0" applyFont="0" applyFill="0" applyBorder="0" applyAlignment="0"/>
    <xf numFmtId="0" fontId="140" fillId="0" borderId="0" applyFill="0">
      <alignment horizontal="left" indent="6"/>
    </xf>
    <xf numFmtId="0" fontId="136" fillId="0" borderId="0" applyFill="0">
      <alignment horizontal="left" indent="6"/>
    </xf>
    <xf numFmtId="0" fontId="3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185" fontId="146" fillId="0" borderId="43" applyNumberFormat="0" applyProtection="0">
      <alignment horizontal="right" vertical="center"/>
    </xf>
    <xf numFmtId="185" fontId="147" fillId="0" borderId="44" applyNumberFormat="0" applyProtection="0">
      <alignment horizontal="right" vertical="center"/>
    </xf>
    <xf numFmtId="0" fontId="147" fillId="77" borderId="45" applyNumberFormat="0" applyAlignment="0" applyProtection="0">
      <alignment horizontal="left" vertical="center" indent="1"/>
    </xf>
    <xf numFmtId="0" fontId="148" fillId="0" borderId="46" applyNumberFormat="0" applyFill="0" applyBorder="0" applyAlignment="0" applyProtection="0"/>
    <xf numFmtId="0" fontId="149" fillId="78" borderId="45" applyNumberFormat="0" applyAlignment="0" applyProtection="0">
      <alignment horizontal="left" vertical="center" indent="1"/>
    </xf>
    <xf numFmtId="0" fontId="149" fillId="79" borderId="45" applyNumberFormat="0" applyAlignment="0" applyProtection="0">
      <alignment horizontal="left" vertical="center" indent="1"/>
    </xf>
    <xf numFmtId="0" fontId="149" fillId="80" borderId="45" applyNumberFormat="0" applyAlignment="0" applyProtection="0">
      <alignment horizontal="left" vertical="center" indent="1"/>
    </xf>
    <xf numFmtId="0" fontId="149" fillId="81" borderId="45" applyNumberFormat="0" applyAlignment="0" applyProtection="0">
      <alignment horizontal="left" vertical="center" indent="1"/>
    </xf>
    <xf numFmtId="0" fontId="149" fillId="82" borderId="44" applyNumberFormat="0" applyAlignment="0" applyProtection="0">
      <alignment horizontal="left" vertical="center" indent="1"/>
    </xf>
    <xf numFmtId="185" fontId="146" fillId="83" borderId="45" applyNumberFormat="0" applyAlignment="0" applyProtection="0">
      <alignment horizontal="left" vertical="center" indent="1"/>
    </xf>
    <xf numFmtId="0" fontId="147" fillId="77" borderId="44" applyNumberFormat="0" applyAlignment="0" applyProtection="0">
      <alignment horizontal="left" vertical="center" indent="1"/>
    </xf>
    <xf numFmtId="38" fontId="11" fillId="84" borderId="0" applyNumberFormat="0" applyFont="0" applyBorder="0" applyAlignment="0" applyProtection="0"/>
    <xf numFmtId="186" fontId="68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0" fillId="57" borderId="29" applyNumberFormat="0" applyAlignment="0" applyProtection="0"/>
    <xf numFmtId="168" fontId="29" fillId="37" borderId="0">
      <alignment horizontal="left"/>
    </xf>
    <xf numFmtId="168" fontId="31" fillId="37" borderId="0">
      <alignment horizontal="right"/>
    </xf>
    <xf numFmtId="168" fontId="32" fillId="34" borderId="0">
      <alignment horizontal="center"/>
    </xf>
    <xf numFmtId="168" fontId="31" fillId="37" borderId="0">
      <alignment horizontal="right"/>
    </xf>
    <xf numFmtId="168" fontId="33" fillId="34" borderId="0">
      <alignment horizontal="lef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1" fillId="56" borderId="29" applyNumberFormat="0" applyAlignment="0" applyProtection="0"/>
    <xf numFmtId="168" fontId="29" fillId="37" borderId="0">
      <alignment horizontal="left"/>
    </xf>
    <xf numFmtId="168" fontId="52" fillId="34" borderId="0">
      <alignment horizontal="left"/>
    </xf>
    <xf numFmtId="168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168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6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168" fontId="52" fillId="22" borderId="0">
      <alignment horizontal="center"/>
    </xf>
    <xf numFmtId="168" fontId="31" fillId="37" borderId="0">
      <alignment horizontal="center"/>
    </xf>
    <xf numFmtId="168" fontId="31" fillId="37" borderId="0">
      <alignment horizontal="centerContinuous"/>
    </xf>
    <xf numFmtId="168" fontId="71" fillId="34" borderId="0">
      <alignment horizontal="left"/>
    </xf>
    <xf numFmtId="168" fontId="29" fillId="37" borderId="0">
      <alignment horizontal="left"/>
    </xf>
    <xf numFmtId="168" fontId="29" fillId="37" borderId="0">
      <alignment horizontal="centerContinuous"/>
    </xf>
    <xf numFmtId="168" fontId="29" fillId="37" borderId="0">
      <alignment horizontal="right"/>
    </xf>
    <xf numFmtId="168" fontId="31" fillId="37" borderId="0">
      <alignment horizontal="right"/>
    </xf>
    <xf numFmtId="168" fontId="71" fillId="20" borderId="0">
      <alignment horizontal="center"/>
    </xf>
    <xf numFmtId="168" fontId="72" fillId="20" borderId="0">
      <alignment horizontal="center"/>
    </xf>
    <xf numFmtId="168" fontId="79" fillId="34" borderId="0">
      <alignment horizontal="center"/>
    </xf>
    <xf numFmtId="43" fontId="11" fillId="0" borderId="0" applyFont="0" applyFill="0" applyBorder="0" applyAlignment="0" applyProtection="0"/>
    <xf numFmtId="166" fontId="11" fillId="0" borderId="0"/>
    <xf numFmtId="44" fontId="11" fillId="0" borderId="0" applyFont="0" applyFill="0" applyBorder="0" applyAlignment="0" applyProtection="0"/>
    <xf numFmtId="0" fontId="16" fillId="0" borderId="0"/>
    <xf numFmtId="166" fontId="11" fillId="0" borderId="0"/>
    <xf numFmtId="166" fontId="152" fillId="0" borderId="0"/>
    <xf numFmtId="0" fontId="11" fillId="0" borderId="0"/>
    <xf numFmtId="37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11" fillId="0" borderId="0" xfId="8" applyFont="1"/>
    <xf numFmtId="0" fontId="80" fillId="0" borderId="0" xfId="5126" applyFont="1" applyFill="1" applyBorder="1" applyAlignment="1">
      <alignment horizontal="left"/>
    </xf>
    <xf numFmtId="0" fontId="11" fillId="0" borderId="0" xfId="5126" applyFont="1" applyFill="1" applyBorder="1" applyAlignment="1">
      <alignment horizontal="left"/>
    </xf>
    <xf numFmtId="0" fontId="80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0" fontId="80" fillId="0" borderId="0" xfId="5126" applyFont="1" applyFill="1" applyBorder="1" applyAlignment="1">
      <alignment horizontal="left" vertical="top"/>
    </xf>
    <xf numFmtId="0" fontId="80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wrapText="1"/>
    </xf>
    <xf numFmtId="164" fontId="80" fillId="0" borderId="0" xfId="3950" applyNumberFormat="1" applyFont="1" applyFill="1" applyBorder="1" applyAlignment="1">
      <alignment horizontal="right" wrapText="1"/>
    </xf>
    <xf numFmtId="173" fontId="80" fillId="0" borderId="0" xfId="5126" applyNumberFormat="1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vertical="center" wrapText="1"/>
    </xf>
    <xf numFmtId="164" fontId="80" fillId="0" borderId="0" xfId="3950" applyNumberFormat="1" applyFont="1" applyFill="1" applyBorder="1" applyAlignment="1">
      <alignment horizontal="center" vertical="center" wrapText="1"/>
    </xf>
    <xf numFmtId="0" fontId="11" fillId="0" borderId="26" xfId="5126" applyFont="1" applyFill="1" applyBorder="1" applyAlignment="1">
      <alignment horizontal="center" wrapText="1"/>
    </xf>
    <xf numFmtId="164" fontId="80" fillId="0" borderId="2" xfId="3950" applyNumberFormat="1" applyFont="1" applyFill="1" applyBorder="1" applyAlignment="1">
      <alignment horizontal="right" wrapText="1"/>
    </xf>
    <xf numFmtId="164" fontId="80" fillId="0" borderId="27" xfId="3950" applyNumberFormat="1" applyFont="1" applyFill="1" applyBorder="1" applyAlignment="1">
      <alignment horizontal="right" wrapText="1"/>
    </xf>
    <xf numFmtId="0" fontId="73" fillId="0" borderId="0" xfId="5126" applyFont="1" applyFill="1" applyBorder="1" applyAlignment="1">
      <alignment horizontal="left" wrapText="1"/>
    </xf>
    <xf numFmtId="0" fontId="10" fillId="0" borderId="0" xfId="5126" applyFont="1" applyFill="1" applyBorder="1" applyAlignment="1">
      <alignment horizontal="left" wrapText="1"/>
    </xf>
    <xf numFmtId="0" fontId="11" fillId="0" borderId="0" xfId="0" applyFont="1" applyBorder="1"/>
    <xf numFmtId="10" fontId="80" fillId="0" borderId="0" xfId="1" applyNumberFormat="1" applyFont="1" applyFill="1" applyBorder="1" applyAlignment="1">
      <alignment horizontal="right" wrapText="1"/>
    </xf>
    <xf numFmtId="174" fontId="80" fillId="0" borderId="0" xfId="3950" applyNumberFormat="1" applyFont="1" applyFill="1" applyBorder="1" applyAlignment="1">
      <alignment horizontal="right" wrapText="1"/>
    </xf>
    <xf numFmtId="0" fontId="80" fillId="0" borderId="1" xfId="5126" applyFont="1" applyFill="1" applyBorder="1" applyAlignment="1">
      <alignment horizontal="left"/>
    </xf>
    <xf numFmtId="0" fontId="11" fillId="0" borderId="2" xfId="5126" applyFont="1" applyFill="1" applyBorder="1" applyAlignment="1">
      <alignment horizontal="center" wrapText="1"/>
    </xf>
    <xf numFmtId="183" fontId="80" fillId="0" borderId="0" xfId="1" applyNumberFormat="1" applyFont="1" applyFill="1" applyBorder="1" applyAlignment="1">
      <alignment horizontal="right" wrapText="1"/>
    </xf>
    <xf numFmtId="183" fontId="80" fillId="0" borderId="2" xfId="1" applyNumberFormat="1" applyFont="1" applyFill="1" applyBorder="1" applyAlignment="1">
      <alignment horizontal="right" wrapText="1"/>
    </xf>
    <xf numFmtId="183" fontId="80" fillId="0" borderId="0" xfId="1" applyNumberFormat="1" applyFont="1" applyFill="1" applyBorder="1" applyAlignment="1">
      <alignment horizontal="left" vertical="top"/>
    </xf>
    <xf numFmtId="183" fontId="80" fillId="0" borderId="27" xfId="1" applyNumberFormat="1" applyFont="1" applyFill="1" applyBorder="1" applyAlignment="1">
      <alignment horizontal="right" wrapText="1"/>
    </xf>
    <xf numFmtId="174" fontId="11" fillId="0" borderId="27" xfId="4" applyNumberFormat="1" applyFont="1" applyBorder="1" applyProtection="1"/>
    <xf numFmtId="0" fontId="11" fillId="0" borderId="0" xfId="5126" applyFont="1" applyFill="1" applyBorder="1" applyAlignment="1"/>
    <xf numFmtId="0" fontId="11" fillId="0" borderId="0" xfId="5126" applyFont="1" applyFill="1" applyBorder="1" applyAlignment="1">
      <alignment horizontal="center" vertical="center" wrapText="1"/>
    </xf>
    <xf numFmtId="10" fontId="80" fillId="0" borderId="0" xfId="12089" applyNumberFormat="1" applyFont="1" applyFill="1" applyBorder="1" applyAlignment="1">
      <alignment horizontal="right" wrapText="1"/>
    </xf>
    <xf numFmtId="9" fontId="80" fillId="0" borderId="0" xfId="12089" applyFont="1" applyFill="1" applyBorder="1" applyAlignment="1">
      <alignment horizontal="right" wrapText="1"/>
    </xf>
    <xf numFmtId="10" fontId="80" fillId="0" borderId="0" xfId="12089" applyNumberFormat="1" applyFont="1" applyFill="1" applyBorder="1" applyAlignment="1">
      <alignment horizontal="right"/>
    </xf>
    <xf numFmtId="9" fontId="80" fillId="0" borderId="0" xfId="6764" applyFont="1" applyFill="1" applyBorder="1" applyAlignment="1">
      <alignment horizontal="left" vertical="top"/>
    </xf>
    <xf numFmtId="10" fontId="80" fillId="0" borderId="0" xfId="12089" applyNumberFormat="1" applyFont="1" applyFill="1" applyBorder="1" applyAlignment="1">
      <alignment horizontal="left" vertical="top"/>
    </xf>
    <xf numFmtId="9" fontId="80" fillId="0" borderId="0" xfId="12089" applyFont="1" applyFill="1" applyBorder="1" applyAlignment="1">
      <alignment horizontal="left" vertical="top"/>
    </xf>
    <xf numFmtId="10" fontId="80" fillId="0" borderId="2" xfId="12089" applyNumberFormat="1" applyFont="1" applyFill="1" applyBorder="1" applyAlignment="1">
      <alignment horizontal="right" wrapText="1"/>
    </xf>
    <xf numFmtId="10" fontId="80" fillId="0" borderId="27" xfId="12089" applyNumberFormat="1" applyFont="1" applyFill="1" applyBorder="1" applyAlignment="1">
      <alignment horizontal="right" wrapText="1"/>
    </xf>
    <xf numFmtId="164" fontId="80" fillId="0" borderId="0" xfId="5126" applyNumberFormat="1" applyFont="1" applyFill="1" applyBorder="1" applyAlignment="1">
      <alignment horizontal="left"/>
    </xf>
    <xf numFmtId="43" fontId="80" fillId="0" borderId="0" xfId="3950" applyNumberFormat="1" applyFont="1" applyFill="1" applyBorder="1" applyAlignment="1">
      <alignment horizontal="right" wrapText="1"/>
    </xf>
    <xf numFmtId="164" fontId="80" fillId="0" borderId="0" xfId="1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10" fontId="11" fillId="0" borderId="0" xfId="5126" applyNumberFormat="1" applyFont="1" applyFill="1" applyBorder="1" applyAlignment="1">
      <alignment horizontal="center" vertical="center" wrapText="1"/>
    </xf>
    <xf numFmtId="49" fontId="11" fillId="0" borderId="0" xfId="5126" applyNumberFormat="1" applyFont="1" applyFill="1" applyBorder="1" applyAlignment="1"/>
    <xf numFmtId="10" fontId="11" fillId="0" borderId="0" xfId="5126" applyNumberFormat="1" applyFont="1" applyFill="1" applyBorder="1" applyAlignment="1"/>
    <xf numFmtId="164" fontId="11" fillId="0" borderId="0" xfId="4" applyNumberFormat="1" applyFont="1" applyFill="1" applyBorder="1"/>
    <xf numFmtId="0" fontId="11" fillId="0" borderId="0" xfId="4614" applyFont="1"/>
    <xf numFmtId="0" fontId="10" fillId="0" borderId="0" xfId="4614" applyFont="1"/>
    <xf numFmtId="43" fontId="80" fillId="0" borderId="0" xfId="1" applyNumberFormat="1" applyFont="1" applyFill="1" applyBorder="1" applyAlignment="1">
      <alignment horizontal="right" wrapText="1"/>
    </xf>
    <xf numFmtId="10" fontId="153" fillId="0" borderId="0" xfId="4614" applyNumberFormat="1" applyFont="1" applyFill="1" applyBorder="1"/>
    <xf numFmtId="0" fontId="11" fillId="0" borderId="0" xfId="8" applyFont="1" applyFill="1"/>
    <xf numFmtId="164" fontId="0" fillId="0" borderId="0" xfId="4" applyNumberFormat="1" applyFont="1"/>
    <xf numFmtId="164" fontId="0" fillId="0" borderId="0" xfId="4" applyNumberFormat="1" applyFont="1" applyBorder="1"/>
    <xf numFmtId="164" fontId="0" fillId="0" borderId="0" xfId="4" applyNumberFormat="1" applyFont="1" applyBorder="1" applyAlignment="1">
      <alignment horizontal="center"/>
    </xf>
    <xf numFmtId="0" fontId="154" fillId="0" borderId="0" xfId="0" applyFont="1" applyAlignment="1">
      <alignment horizontal="center"/>
    </xf>
    <xf numFmtId="164" fontId="154" fillId="0" borderId="0" xfId="4" applyNumberFormat="1" applyFont="1" applyAlignment="1">
      <alignment horizontal="center"/>
    </xf>
    <xf numFmtId="164" fontId="154" fillId="0" borderId="0" xfId="4" applyNumberFormat="1" applyFont="1" applyBorder="1" applyAlignment="1">
      <alignment horizontal="center"/>
    </xf>
    <xf numFmtId="164" fontId="0" fillId="0" borderId="0" xfId="4" quotePrefix="1" applyNumberFormat="1" applyFont="1" applyBorder="1" applyAlignment="1">
      <alignment horizontal="right"/>
    </xf>
    <xf numFmtId="164" fontId="0" fillId="0" borderId="51" xfId="4" applyNumberFormat="1" applyFont="1" applyBorder="1"/>
    <xf numFmtId="43" fontId="15" fillId="0" borderId="0" xfId="4" applyFont="1" applyAlignment="1">
      <alignment horizontal="left"/>
    </xf>
    <xf numFmtId="43" fontId="0" fillId="0" borderId="0" xfId="4" applyFont="1" applyAlignment="1">
      <alignment horizontal="left"/>
    </xf>
    <xf numFmtId="43" fontId="161" fillId="0" borderId="0" xfId="4" applyFont="1" applyAlignment="1">
      <alignment horizontal="left" wrapText="1"/>
    </xf>
    <xf numFmtId="164" fontId="161" fillId="0" borderId="0" xfId="4" applyNumberFormat="1" applyFont="1" applyAlignment="1">
      <alignment horizontal="center" wrapText="1"/>
    </xf>
    <xf numFmtId="164" fontId="0" fillId="0" borderId="2" xfId="4" applyNumberFormat="1" applyFont="1" applyBorder="1"/>
    <xf numFmtId="173" fontId="164" fillId="0" borderId="0" xfId="5126" applyNumberFormat="1" applyFont="1" applyFill="1" applyBorder="1" applyAlignment="1">
      <alignment horizontal="center" wrapText="1"/>
    </xf>
    <xf numFmtId="0" fontId="164" fillId="0" borderId="0" xfId="5126" applyFont="1" applyFill="1" applyBorder="1" applyAlignment="1">
      <alignment horizontal="left" vertical="top"/>
    </xf>
    <xf numFmtId="10" fontId="164" fillId="0" borderId="0" xfId="1" applyNumberFormat="1" applyFont="1" applyFill="1" applyBorder="1" applyAlignment="1">
      <alignment horizontal="right" wrapText="1"/>
    </xf>
    <xf numFmtId="164" fontId="164" fillId="0" borderId="0" xfId="3950" applyNumberFormat="1" applyFont="1" applyFill="1" applyBorder="1" applyAlignment="1">
      <alignment horizontal="right" wrapText="1"/>
    </xf>
    <xf numFmtId="188" fontId="164" fillId="0" borderId="0" xfId="3950" applyNumberFormat="1" applyFont="1" applyFill="1" applyBorder="1" applyAlignment="1">
      <alignment horizontal="right" wrapText="1"/>
    </xf>
    <xf numFmtId="0" fontId="15" fillId="0" borderId="0" xfId="0" applyFont="1"/>
    <xf numFmtId="164" fontId="154" fillId="0" borderId="54" xfId="4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164" fontId="0" fillId="0" borderId="55" xfId="4" applyNumberFormat="1" applyFont="1" applyBorder="1"/>
    <xf numFmtId="164" fontId="154" fillId="0" borderId="55" xfId="4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51" xfId="0" applyNumberFormat="1" applyBorder="1"/>
    <xf numFmtId="164" fontId="0" fillId="0" borderId="59" xfId="0" applyNumberFormat="1" applyBorder="1"/>
    <xf numFmtId="164" fontId="0" fillId="0" borderId="0" xfId="0" applyNumberFormat="1"/>
    <xf numFmtId="0" fontId="165" fillId="0" borderId="0" xfId="0" applyFont="1"/>
    <xf numFmtId="0" fontId="166" fillId="0" borderId="0" xfId="0" applyFont="1"/>
    <xf numFmtId="43" fontId="160" fillId="0" borderId="0" xfId="4" applyFont="1"/>
    <xf numFmtId="43" fontId="0" fillId="0" borderId="0" xfId="4" applyFont="1"/>
    <xf numFmtId="43" fontId="0" fillId="0" borderId="0" xfId="0" applyNumberFormat="1"/>
    <xf numFmtId="43" fontId="80" fillId="0" borderId="0" xfId="5126" applyNumberFormat="1" applyFont="1" applyFill="1" applyBorder="1" applyAlignment="1">
      <alignment horizontal="left" vertical="top"/>
    </xf>
    <xf numFmtId="0" fontId="4" fillId="0" borderId="0" xfId="14646"/>
    <xf numFmtId="0" fontId="155" fillId="85" borderId="0" xfId="14646" applyFont="1" applyFill="1"/>
    <xf numFmtId="0" fontId="156" fillId="0" borderId="0" xfId="14646" applyFont="1" applyFill="1"/>
    <xf numFmtId="0" fontId="157" fillId="0" borderId="0" xfId="14646" applyFont="1" applyFill="1"/>
    <xf numFmtId="0" fontId="158" fillId="0" borderId="0" xfId="14646" applyFont="1"/>
    <xf numFmtId="0" fontId="159" fillId="0" borderId="0" xfId="14646" applyFont="1" applyFill="1"/>
    <xf numFmtId="0" fontId="4" fillId="0" borderId="0" xfId="14646" applyFont="1"/>
    <xf numFmtId="17" fontId="160" fillId="86" borderId="0" xfId="14646" applyNumberFormat="1" applyFont="1" applyFill="1" applyAlignment="1">
      <alignment horizontal="center" wrapText="1"/>
    </xf>
    <xf numFmtId="17" fontId="161" fillId="0" borderId="0" xfId="14646" applyNumberFormat="1" applyFont="1" applyAlignment="1">
      <alignment horizontal="center" wrapText="1"/>
    </xf>
    <xf numFmtId="189" fontId="0" fillId="0" borderId="0" xfId="14647" applyNumberFormat="1" applyFont="1"/>
    <xf numFmtId="0" fontId="4" fillId="0" borderId="0" xfId="14646" applyAlignment="1">
      <alignment vertical="top"/>
    </xf>
    <xf numFmtId="189" fontId="161" fillId="0" borderId="0" xfId="14647" applyNumberFormat="1" applyFont="1"/>
    <xf numFmtId="0" fontId="4" fillId="0" borderId="0" xfId="14646" applyAlignment="1">
      <alignment horizontal="left" indent="2"/>
    </xf>
    <xf numFmtId="189" fontId="162" fillId="0" borderId="0" xfId="14647" applyNumberFormat="1" applyFont="1"/>
    <xf numFmtId="164" fontId="0" fillId="0" borderId="0" xfId="14648" applyNumberFormat="1" applyFont="1"/>
    <xf numFmtId="164" fontId="161" fillId="0" borderId="0" xfId="14648" applyNumberFormat="1" applyFont="1"/>
    <xf numFmtId="164" fontId="162" fillId="0" borderId="0" xfId="14648" applyNumberFormat="1" applyFont="1"/>
    <xf numFmtId="0" fontId="157" fillId="0" borderId="0" xfId="14650" applyFont="1"/>
    <xf numFmtId="0" fontId="167" fillId="0" borderId="0" xfId="14650" applyFont="1" applyFill="1"/>
    <xf numFmtId="0" fontId="169" fillId="0" borderId="0" xfId="14650" applyFont="1" applyFill="1" applyAlignment="1">
      <alignment horizontal="center"/>
    </xf>
    <xf numFmtId="0" fontId="159" fillId="0" borderId="0" xfId="14650" applyFont="1" applyAlignment="1">
      <alignment horizontal="center" wrapText="1"/>
    </xf>
    <xf numFmtId="0" fontId="170" fillId="0" borderId="0" xfId="14650" applyFont="1" applyAlignment="1">
      <alignment horizontal="center" wrapText="1"/>
    </xf>
    <xf numFmtId="0" fontId="171" fillId="0" borderId="0" xfId="14650" applyFont="1" applyAlignment="1">
      <alignment horizontal="center" wrapText="1"/>
    </xf>
    <xf numFmtId="0" fontId="160" fillId="0" borderId="0" xfId="14650" applyFont="1" applyAlignment="1">
      <alignment horizontal="center" wrapText="1"/>
    </xf>
    <xf numFmtId="0" fontId="171" fillId="0" borderId="0" xfId="14650" applyFont="1" applyAlignment="1">
      <alignment horizontal="left"/>
    </xf>
    <xf numFmtId="0" fontId="171" fillId="0" borderId="0" xfId="14650" applyFont="1" applyAlignment="1">
      <alignment horizontal="left" indent="1"/>
    </xf>
    <xf numFmtId="187" fontId="159" fillId="0" borderId="0" xfId="14651" applyNumberFormat="1" applyFont="1"/>
    <xf numFmtId="164" fontId="159" fillId="0" borderId="0" xfId="14652" applyNumberFormat="1" applyFont="1"/>
    <xf numFmtId="10" fontId="159" fillId="0" borderId="0" xfId="14653" applyNumberFormat="1" applyFont="1"/>
    <xf numFmtId="0" fontId="159" fillId="0" borderId="0" xfId="14650" applyFont="1"/>
    <xf numFmtId="187" fontId="159" fillId="0" borderId="0" xfId="14650" applyNumberFormat="1" applyFont="1"/>
    <xf numFmtId="0" fontId="171" fillId="87" borderId="0" xfId="14650" applyFont="1" applyFill="1" applyAlignment="1">
      <alignment horizontal="left" indent="1"/>
    </xf>
    <xf numFmtId="164" fontId="159" fillId="87" borderId="0" xfId="14652" applyNumberFormat="1" applyFont="1" applyFill="1"/>
    <xf numFmtId="10" fontId="159" fillId="87" borderId="0" xfId="14653" applyNumberFormat="1" applyFont="1" applyFill="1"/>
    <xf numFmtId="0" fontId="171" fillId="0" borderId="0" xfId="14650" applyFont="1" applyFill="1" applyAlignment="1">
      <alignment horizontal="left" indent="1"/>
    </xf>
    <xf numFmtId="164" fontId="159" fillId="0" borderId="0" xfId="14652" applyNumberFormat="1" applyFont="1" applyFill="1"/>
    <xf numFmtId="10" fontId="159" fillId="0" borderId="0" xfId="14653" applyNumberFormat="1" applyFont="1" applyFill="1"/>
    <xf numFmtId="0" fontId="159" fillId="0" borderId="0" xfId="14650" applyFont="1" applyFill="1"/>
    <xf numFmtId="164" fontId="159" fillId="88" borderId="0" xfId="14652" applyNumberFormat="1" applyFont="1" applyFill="1"/>
    <xf numFmtId="164" fontId="159" fillId="89" borderId="0" xfId="14652" applyNumberFormat="1" applyFont="1" applyFill="1"/>
    <xf numFmtId="164" fontId="172" fillId="0" borderId="0" xfId="14652" applyNumberFormat="1" applyFont="1"/>
    <xf numFmtId="0" fontId="171" fillId="0" borderId="0" xfId="14650" applyFont="1"/>
    <xf numFmtId="187" fontId="173" fillId="0" borderId="0" xfId="14651" applyNumberFormat="1" applyFont="1"/>
    <xf numFmtId="0" fontId="168" fillId="87" borderId="0" xfId="14650" applyFont="1" applyFill="1" applyAlignment="1">
      <alignment horizontal="center" wrapText="1"/>
    </xf>
    <xf numFmtId="9" fontId="159" fillId="0" borderId="0" xfId="14653" applyNumberFormat="1" applyFont="1"/>
    <xf numFmtId="9" fontId="159" fillId="87" borderId="0" xfId="14653" applyNumberFormat="1" applyFont="1" applyFill="1"/>
    <xf numFmtId="9" fontId="159" fillId="0" borderId="0" xfId="14653" applyNumberFormat="1" applyFont="1" applyFill="1"/>
    <xf numFmtId="49" fontId="11" fillId="0" borderId="0" xfId="5126" applyNumberFormat="1" applyFont="1" applyFill="1" applyBorder="1" applyAlignment="1">
      <alignment horizontal="center"/>
    </xf>
    <xf numFmtId="0" fontId="5" fillId="0" borderId="0" xfId="14643" applyFill="1"/>
    <xf numFmtId="0" fontId="11" fillId="0" borderId="0" xfId="0" applyFont="1" applyFill="1"/>
    <xf numFmtId="43" fontId="2" fillId="0" borderId="0" xfId="4" applyFont="1" applyFill="1" applyAlignment="1">
      <alignment horizontal="left"/>
    </xf>
    <xf numFmtId="164" fontId="11" fillId="0" borderId="0" xfId="4" applyNumberFormat="1" applyFont="1" applyFill="1"/>
    <xf numFmtId="164" fontId="2" fillId="0" borderId="0" xfId="4" applyNumberFormat="1" applyFont="1" applyFill="1" applyBorder="1"/>
    <xf numFmtId="49" fontId="11" fillId="0" borderId="0" xfId="5126" applyNumberFormat="1" applyFont="1" applyFill="1" applyBorder="1" applyAlignment="1">
      <alignment horizontal="center"/>
    </xf>
    <xf numFmtId="183" fontId="80" fillId="0" borderId="0" xfId="12089" applyNumberFormat="1" applyFont="1" applyFill="1" applyBorder="1" applyAlignment="1">
      <alignment horizontal="right" wrapText="1"/>
    </xf>
    <xf numFmtId="183" fontId="80" fillId="0" borderId="2" xfId="12089" applyNumberFormat="1" applyFont="1" applyFill="1" applyBorder="1" applyAlignment="1">
      <alignment horizontal="right" wrapText="1"/>
    </xf>
    <xf numFmtId="190" fontId="80" fillId="0" borderId="0" xfId="12089" applyNumberFormat="1" applyFont="1" applyFill="1" applyBorder="1" applyAlignment="1">
      <alignment horizontal="left" vertical="top"/>
    </xf>
    <xf numFmtId="183" fontId="80" fillId="0" borderId="27" xfId="12089" applyNumberFormat="1" applyFont="1" applyFill="1" applyBorder="1" applyAlignment="1">
      <alignment horizontal="right" wrapText="1"/>
    </xf>
    <xf numFmtId="191" fontId="80" fillId="0" borderId="0" xfId="12089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right"/>
    </xf>
    <xf numFmtId="0" fontId="152" fillId="0" borderId="0" xfId="14654" applyFont="1"/>
    <xf numFmtId="164" fontId="80" fillId="0" borderId="0" xfId="3950" applyNumberFormat="1" applyFont="1" applyFill="1" applyBorder="1" applyAlignment="1">
      <alignment horizontal="center" wrapText="1"/>
    </xf>
    <xf numFmtId="0" fontId="152" fillId="0" borderId="0" xfId="14654" applyFont="1" applyAlignment="1">
      <alignment horizontal="center"/>
    </xf>
    <xf numFmtId="0" fontId="152" fillId="0" borderId="0" xfId="14654" applyFont="1" applyAlignment="1">
      <alignment horizontal="left"/>
    </xf>
    <xf numFmtId="164" fontId="80" fillId="0" borderId="1" xfId="3950" applyNumberFormat="1" applyFont="1" applyFill="1" applyBorder="1" applyAlignment="1">
      <alignment horizontal="right" wrapText="1"/>
    </xf>
    <xf numFmtId="164" fontId="152" fillId="0" borderId="47" xfId="14654" applyNumberFormat="1" applyFont="1" applyBorder="1" applyAlignment="1">
      <alignment horizontal="left"/>
    </xf>
    <xf numFmtId="43" fontId="152" fillId="0" borderId="0" xfId="14654" applyNumberFormat="1" applyFont="1"/>
    <xf numFmtId="0" fontId="11" fillId="90" borderId="26" xfId="5126" applyFont="1" applyFill="1" applyBorder="1" applyAlignment="1">
      <alignment horizontal="center" wrapText="1"/>
    </xf>
    <xf numFmtId="0" fontId="11" fillId="90" borderId="0" xfId="5126" applyFont="1" applyFill="1" applyBorder="1" applyAlignment="1">
      <alignment horizontal="center" vertical="center" wrapText="1"/>
    </xf>
    <xf numFmtId="164" fontId="80" fillId="90" borderId="0" xfId="3950" applyNumberFormat="1" applyFont="1" applyFill="1" applyBorder="1" applyAlignment="1">
      <alignment horizontal="center" vertical="center" wrapText="1"/>
    </xf>
    <xf numFmtId="164" fontId="80" fillId="90" borderId="0" xfId="3950" applyNumberFormat="1" applyFont="1" applyFill="1" applyBorder="1" applyAlignment="1">
      <alignment horizontal="right" wrapText="1"/>
    </xf>
    <xf numFmtId="9" fontId="80" fillId="90" borderId="0" xfId="6764" applyFont="1" applyFill="1" applyBorder="1" applyAlignment="1">
      <alignment horizontal="left" vertical="top"/>
    </xf>
    <xf numFmtId="164" fontId="80" fillId="90" borderId="2" xfId="3950" applyNumberFormat="1" applyFont="1" applyFill="1" applyBorder="1" applyAlignment="1">
      <alignment horizontal="right" wrapText="1"/>
    </xf>
    <xf numFmtId="164" fontId="80" fillId="90" borderId="27" xfId="3950" applyNumberFormat="1" applyFont="1" applyFill="1" applyBorder="1" applyAlignment="1">
      <alignment horizontal="right" wrapText="1"/>
    </xf>
    <xf numFmtId="10" fontId="80" fillId="90" borderId="0" xfId="12089" applyNumberFormat="1" applyFont="1" applyFill="1" applyBorder="1" applyAlignment="1">
      <alignment horizontal="right" wrapText="1"/>
    </xf>
    <xf numFmtId="9" fontId="80" fillId="90" borderId="0" xfId="12089" applyFont="1" applyFill="1" applyBorder="1" applyAlignment="1">
      <alignment horizontal="right" wrapText="1"/>
    </xf>
    <xf numFmtId="10" fontId="80" fillId="90" borderId="0" xfId="12089" applyNumberFormat="1" applyFont="1" applyFill="1" applyBorder="1" applyAlignment="1">
      <alignment horizontal="right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0" fontId="155" fillId="85" borderId="0" xfId="14650" applyFont="1" applyFill="1" applyAlignment="1">
      <alignment horizontal="center"/>
    </xf>
    <xf numFmtId="0" fontId="168" fillId="87" borderId="0" xfId="14650" applyFont="1" applyFill="1" applyAlignment="1">
      <alignment horizontal="center" wrapText="1"/>
    </xf>
    <xf numFmtId="164" fontId="0" fillId="0" borderId="48" xfId="4" applyNumberFormat="1" applyFont="1" applyBorder="1" applyAlignment="1">
      <alignment horizontal="center"/>
    </xf>
    <xf numFmtId="164" fontId="0" fillId="0" borderId="49" xfId="4" applyNumberFormat="1" applyFont="1" applyBorder="1" applyAlignment="1">
      <alignment horizontal="center"/>
    </xf>
    <xf numFmtId="164" fontId="0" fillId="0" borderId="50" xfId="4" applyNumberFormat="1" applyFont="1" applyBorder="1" applyAlignment="1">
      <alignment horizontal="center"/>
    </xf>
    <xf numFmtId="164" fontId="0" fillId="0" borderId="56" xfId="4" applyNumberFormat="1" applyFont="1" applyBorder="1" applyAlignment="1">
      <alignment horizontal="center"/>
    </xf>
    <xf numFmtId="164" fontId="0" fillId="0" borderId="57" xfId="4" applyNumberFormat="1" applyFont="1" applyBorder="1" applyAlignment="1">
      <alignment horizontal="center"/>
    </xf>
    <xf numFmtId="164" fontId="0" fillId="0" borderId="58" xfId="4" applyNumberFormat="1" applyFont="1" applyBorder="1" applyAlignment="1">
      <alignment horizontal="center"/>
    </xf>
    <xf numFmtId="164" fontId="0" fillId="0" borderId="52" xfId="4" applyNumberFormat="1" applyFont="1" applyBorder="1" applyAlignment="1">
      <alignment horizontal="center"/>
    </xf>
    <xf numFmtId="164" fontId="0" fillId="0" borderId="53" xfId="4" applyNumberFormat="1" applyFont="1" applyBorder="1" applyAlignment="1">
      <alignment horizontal="center"/>
    </xf>
    <xf numFmtId="0" fontId="80" fillId="0" borderId="26" xfId="5126" applyFont="1" applyFill="1" applyBorder="1" applyAlignment="1">
      <alignment horizontal="center" wrapText="1"/>
    </xf>
  </cellXfs>
  <cellStyles count="14655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4"/>
    <cellStyle name="Comma 118" xfId="14648"/>
    <cellStyle name="Comma 119" xfId="14652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5"/>
    <cellStyle name="Currency 177" xfId="14649"/>
    <cellStyle name="Currency 178" xfId="14651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3"/>
    <cellStyle name="Normal 85" xfId="14646"/>
    <cellStyle name="Normal 86" xfId="14650"/>
    <cellStyle name="Normal 87" xfId="1465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47"/>
    <cellStyle name="Percent 19" xfId="1465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tabSelected="1" zoomScale="85" zoomScaleNormal="85" workbookViewId="0"/>
  </sheetViews>
  <sheetFormatPr defaultColWidth="9.109375" defaultRowHeight="13.2" x14ac:dyDescent="0.25"/>
  <cols>
    <col min="1" max="1" width="6.88671875" style="6" customWidth="1"/>
    <col min="2" max="2" width="77.6640625" style="6" customWidth="1"/>
    <col min="3" max="3" width="15.5546875" style="6" customWidth="1"/>
    <col min="4" max="4" width="22.109375" style="6" customWidth="1"/>
    <col min="5" max="5" width="22.6640625" style="6" customWidth="1"/>
    <col min="6" max="8" width="16.6640625" style="6" customWidth="1"/>
    <col min="9" max="16384" width="9.109375" style="6"/>
  </cols>
  <sheetData>
    <row r="1" spans="1:8" ht="20.100000000000001" customHeight="1" x14ac:dyDescent="0.25">
      <c r="G1" s="4"/>
      <c r="H1" s="4" t="s">
        <v>244</v>
      </c>
    </row>
    <row r="2" spans="1:8" ht="20.100000000000001" customHeight="1" x14ac:dyDescent="0.25">
      <c r="G2" s="4"/>
      <c r="H2" s="4" t="s">
        <v>223</v>
      </c>
    </row>
    <row r="3" spans="1:8" s="2" customFormat="1" ht="20.100000000000001" customHeight="1" x14ac:dyDescent="0.25">
      <c r="A3" s="162" t="s">
        <v>0</v>
      </c>
      <c r="B3" s="162"/>
      <c r="C3" s="162"/>
      <c r="D3" s="162"/>
      <c r="E3" s="162"/>
      <c r="F3" s="162"/>
      <c r="G3" s="162"/>
      <c r="H3" s="162"/>
    </row>
    <row r="4" spans="1:8" s="2" customFormat="1" ht="20.100000000000001" customHeight="1" x14ac:dyDescent="0.25">
      <c r="A4" s="162" t="s">
        <v>221</v>
      </c>
      <c r="B4" s="162"/>
      <c r="C4" s="162"/>
      <c r="D4" s="162"/>
      <c r="E4" s="162"/>
      <c r="F4" s="162"/>
      <c r="G4" s="162"/>
      <c r="H4" s="162"/>
    </row>
    <row r="5" spans="1:8" s="2" customFormat="1" ht="20.100000000000001" customHeight="1" x14ac:dyDescent="0.25">
      <c r="A5" s="163" t="s">
        <v>9</v>
      </c>
      <c r="B5" s="163"/>
      <c r="C5" s="163"/>
      <c r="D5" s="163"/>
      <c r="E5" s="163"/>
      <c r="F5" s="163"/>
      <c r="G5" s="163"/>
      <c r="H5" s="163"/>
    </row>
    <row r="6" spans="1:8" s="2" customFormat="1" ht="20.100000000000001" customHeight="1" x14ac:dyDescent="0.25">
      <c r="D6" s="4"/>
      <c r="E6" s="4"/>
    </row>
    <row r="7" spans="1:8" s="2" customFormat="1" ht="20.100000000000001" customHeight="1" x14ac:dyDescent="0.25"/>
    <row r="8" spans="1:8" ht="71.25" customHeight="1" x14ac:dyDescent="0.25">
      <c r="A8" s="14" t="s">
        <v>5</v>
      </c>
      <c r="B8" s="14" t="s">
        <v>2</v>
      </c>
      <c r="C8" s="14" t="s">
        <v>10</v>
      </c>
      <c r="D8" s="14" t="s">
        <v>231</v>
      </c>
      <c r="E8" s="14" t="s">
        <v>245</v>
      </c>
      <c r="F8" s="14" t="s">
        <v>93</v>
      </c>
      <c r="G8" s="14" t="s">
        <v>218</v>
      </c>
      <c r="H8" s="14" t="s">
        <v>217</v>
      </c>
    </row>
    <row r="9" spans="1:8" ht="18.899999999999999" customHeight="1" x14ac:dyDescent="0.25">
      <c r="A9" s="7"/>
      <c r="B9" s="12"/>
      <c r="C9" s="12"/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</row>
    <row r="10" spans="1:8" ht="18.899999999999999" customHeight="1" x14ac:dyDescent="0.25">
      <c r="A10" s="7"/>
      <c r="B10" s="8"/>
      <c r="C10" s="8"/>
      <c r="D10" s="9"/>
      <c r="E10" s="9"/>
      <c r="F10" s="9"/>
      <c r="G10" s="9"/>
      <c r="H10" s="9"/>
    </row>
    <row r="11" spans="1:8" ht="18.899999999999999" customHeight="1" x14ac:dyDescent="0.25">
      <c r="A11" s="10">
        <v>1</v>
      </c>
      <c r="B11" s="8" t="s">
        <v>53</v>
      </c>
      <c r="C11" s="11" t="s">
        <v>163</v>
      </c>
      <c r="D11" s="9">
        <f>'SCH J-1 (ORDER)'!J22</f>
        <v>3607984535.7600722</v>
      </c>
      <c r="E11" s="9">
        <f>'UPDATED SCH J-1 (ORDER) (21%)'!J22</f>
        <v>3622048693.8381023</v>
      </c>
      <c r="F11" s="9">
        <f>E11-D11</f>
        <v>14064158.078030109</v>
      </c>
      <c r="G11" s="9"/>
      <c r="H11" s="9"/>
    </row>
    <row r="12" spans="1:8" ht="18.899999999999999" customHeight="1" x14ac:dyDescent="0.25">
      <c r="A12" s="10"/>
      <c r="B12" s="8"/>
      <c r="C12" s="11"/>
      <c r="D12" s="9"/>
      <c r="E12" s="9"/>
      <c r="F12" s="9"/>
      <c r="G12" s="9"/>
      <c r="H12" s="9"/>
    </row>
    <row r="13" spans="1:8" ht="18.899999999999999" customHeight="1" x14ac:dyDescent="0.25">
      <c r="A13" s="10">
        <v>2</v>
      </c>
      <c r="B13" s="8" t="s">
        <v>91</v>
      </c>
      <c r="C13" s="11" t="s">
        <v>163</v>
      </c>
      <c r="D13" s="20">
        <f>'SCH J-1 (ORDER)'!O22</f>
        <v>0.10252198219662211</v>
      </c>
      <c r="E13" s="20">
        <f>'UPDATED SCH J-1 (ORDER) (21%)'!O22</f>
        <v>8.8817778447267889E-2</v>
      </c>
      <c r="F13" s="20">
        <f>E13-D13</f>
        <v>-1.3704203749354216E-2</v>
      </c>
      <c r="G13" s="20"/>
      <c r="H13" s="20"/>
    </row>
    <row r="14" spans="1:8" ht="18.899999999999999" customHeight="1" x14ac:dyDescent="0.25">
      <c r="A14" s="10"/>
      <c r="B14" s="8"/>
      <c r="C14" s="11"/>
      <c r="D14" s="9"/>
      <c r="E14" s="9"/>
      <c r="F14" s="9"/>
      <c r="G14" s="9"/>
      <c r="H14" s="9"/>
    </row>
    <row r="15" spans="1:8" ht="18.899999999999999" customHeight="1" x14ac:dyDescent="0.25">
      <c r="A15" s="10">
        <v>3</v>
      </c>
      <c r="B15" s="19" t="s">
        <v>115</v>
      </c>
      <c r="C15" s="11"/>
      <c r="D15" s="9">
        <f>D11*D13</f>
        <v>369897726.340882</v>
      </c>
      <c r="E15" s="9">
        <f>E11*E13</f>
        <v>321702318.41452861</v>
      </c>
      <c r="F15" s="9">
        <f>E15-D15</f>
        <v>-48195407.926353395</v>
      </c>
      <c r="G15" s="9"/>
      <c r="H15" s="9"/>
    </row>
    <row r="16" spans="1:8" ht="18.899999999999999" customHeight="1" x14ac:dyDescent="0.25">
      <c r="A16" s="10"/>
      <c r="B16" s="19"/>
      <c r="C16" s="11"/>
      <c r="D16" s="9"/>
      <c r="E16" s="9"/>
      <c r="F16" s="9"/>
      <c r="G16" s="9"/>
      <c r="H16" s="9"/>
    </row>
    <row r="17" spans="1:8" ht="18.899999999999999" customHeight="1" x14ac:dyDescent="0.25">
      <c r="A17" s="10">
        <v>4</v>
      </c>
      <c r="B17" s="19" t="s">
        <v>94</v>
      </c>
      <c r="C17" s="11"/>
      <c r="D17" s="9"/>
      <c r="E17" s="9"/>
      <c r="F17" s="40">
        <f>16/12</f>
        <v>1.3333333333333333</v>
      </c>
      <c r="G17" s="40"/>
      <c r="H17" s="40"/>
    </row>
    <row r="18" spans="1:8" ht="18.899999999999999" customHeight="1" x14ac:dyDescent="0.25">
      <c r="A18" s="10"/>
      <c r="B18" s="19"/>
      <c r="C18" s="11"/>
      <c r="D18" s="9"/>
      <c r="E18" s="9"/>
      <c r="F18" s="9"/>
      <c r="G18" s="9"/>
      <c r="H18" s="9"/>
    </row>
    <row r="19" spans="1:8" ht="18.899999999999999" customHeight="1" x14ac:dyDescent="0.25">
      <c r="A19" s="10">
        <v>5</v>
      </c>
      <c r="B19" s="19" t="s">
        <v>114</v>
      </c>
      <c r="C19" s="11"/>
      <c r="D19" s="21"/>
      <c r="E19" s="21"/>
      <c r="F19" s="9">
        <f>F15*F17</f>
        <v>-64260543.901804522</v>
      </c>
      <c r="G19" s="9"/>
      <c r="H19" s="9"/>
    </row>
    <row r="20" spans="1:8" ht="18.899999999999999" customHeight="1" x14ac:dyDescent="0.25">
      <c r="B20" s="19"/>
      <c r="C20" s="11"/>
    </row>
    <row r="21" spans="1:8" ht="18.899999999999999" customHeight="1" x14ac:dyDescent="0.25">
      <c r="A21" s="10">
        <v>6</v>
      </c>
      <c r="B21" s="19" t="s">
        <v>166</v>
      </c>
      <c r="C21" s="11"/>
      <c r="D21" s="9"/>
      <c r="E21" s="9">
        <f>-'Excess DIT'!D35</f>
        <v>-11459996.700417886</v>
      </c>
      <c r="F21" s="9"/>
      <c r="G21" s="9"/>
      <c r="H21" s="9"/>
    </row>
    <row r="22" spans="1:8" ht="18.899999999999999" customHeight="1" x14ac:dyDescent="0.25">
      <c r="A22" s="10"/>
      <c r="B22" s="19"/>
      <c r="C22" s="11"/>
      <c r="D22" s="9"/>
      <c r="E22" s="9"/>
      <c r="F22" s="9"/>
      <c r="G22" s="9"/>
      <c r="H22" s="9"/>
    </row>
    <row r="23" spans="1:8" ht="18.899999999999999" customHeight="1" x14ac:dyDescent="0.25">
      <c r="A23" s="10">
        <v>7</v>
      </c>
      <c r="B23" s="19" t="s">
        <v>165</v>
      </c>
      <c r="C23" s="11"/>
      <c r="D23" s="9"/>
      <c r="E23" s="9">
        <f>-'Excess DIT'!D36</f>
        <v>-850809.87865411106</v>
      </c>
      <c r="F23" s="9"/>
      <c r="G23" s="9"/>
      <c r="H23" s="9"/>
    </row>
    <row r="24" spans="1:8" ht="18.899999999999999" customHeight="1" x14ac:dyDescent="0.25">
      <c r="A24" s="10"/>
      <c r="B24" s="19"/>
      <c r="C24" s="11"/>
      <c r="D24" s="9"/>
      <c r="E24" s="9"/>
      <c r="F24" s="9"/>
      <c r="G24" s="9"/>
      <c r="H24" s="9"/>
    </row>
    <row r="25" spans="1:8" ht="18.899999999999999" customHeight="1" x14ac:dyDescent="0.25">
      <c r="A25" s="10">
        <v>8</v>
      </c>
      <c r="B25" s="19" t="s">
        <v>113</v>
      </c>
      <c r="C25" s="11"/>
      <c r="D25" s="9"/>
      <c r="E25" s="9">
        <f>SUM(E21:E23)</f>
        <v>-12310806.579071997</v>
      </c>
      <c r="F25" s="9"/>
      <c r="G25" s="9"/>
      <c r="H25" s="9"/>
    </row>
    <row r="26" spans="1:8" ht="18.899999999999999" customHeight="1" x14ac:dyDescent="0.25">
      <c r="B26" s="19"/>
      <c r="C26" s="11"/>
    </row>
    <row r="27" spans="1:8" ht="18.899999999999999" customHeight="1" x14ac:dyDescent="0.25">
      <c r="A27" s="10">
        <v>9</v>
      </c>
      <c r="B27" s="19" t="str">
        <f>CONCATENATE("GROSS-UP FACTOR USING ",TEXT('KU Composite Tax Rate (21%)'!E27,"0.00%")," EFFECTIVE TAX RATE")</f>
        <v>GROSS-UP FACTOR USING 25.61% EFFECTIVE TAX RATE</v>
      </c>
      <c r="D27" s="41"/>
      <c r="E27" s="49">
        <f>1/(1-'KU Composite Tax Rate (21%)'!E27)</f>
        <v>1.3442246114241649</v>
      </c>
      <c r="F27" s="41"/>
      <c r="G27" s="41"/>
      <c r="H27" s="41"/>
    </row>
    <row r="28" spans="1:8" ht="18.899999999999999" customHeight="1" x14ac:dyDescent="0.25">
      <c r="A28" s="10"/>
      <c r="B28" s="8"/>
    </row>
    <row r="29" spans="1:8" ht="18.899999999999999" customHeight="1" x14ac:dyDescent="0.25">
      <c r="A29" s="10">
        <v>10</v>
      </c>
      <c r="B29" s="8" t="s">
        <v>116</v>
      </c>
      <c r="D29" s="20"/>
      <c r="E29" s="20"/>
      <c r="F29" s="9">
        <f>E25*E27</f>
        <v>-16548489.190071108</v>
      </c>
      <c r="G29" s="9"/>
      <c r="H29" s="9"/>
    </row>
    <row r="30" spans="1:8" ht="18.899999999999999" customHeight="1" x14ac:dyDescent="0.25">
      <c r="B30" s="19"/>
      <c r="C30" s="11"/>
      <c r="H30" s="84"/>
    </row>
    <row r="31" spans="1:8" ht="18.899999999999999" customHeight="1" x14ac:dyDescent="0.25">
      <c r="A31" s="65">
        <v>11</v>
      </c>
      <c r="B31" s="18" t="s">
        <v>117</v>
      </c>
      <c r="C31" s="66"/>
      <c r="D31" s="67"/>
      <c r="E31" s="67"/>
      <c r="F31" s="68">
        <f>F19+F29</f>
        <v>-80809033.091875628</v>
      </c>
      <c r="G31" s="68">
        <f>F31*'TY TARIFF BILLING'!K7</f>
        <v>-31515522.905831497</v>
      </c>
      <c r="H31" s="68">
        <f>F31-G31</f>
        <v>-49293510.186044127</v>
      </c>
    </row>
    <row r="32" spans="1:8" ht="18.899999999999999" customHeight="1" x14ac:dyDescent="0.25">
      <c r="C32" s="11"/>
    </row>
    <row r="33" spans="1:8" ht="18.899999999999999" customHeight="1" x14ac:dyDescent="0.25">
      <c r="A33" s="10">
        <v>12</v>
      </c>
      <c r="B33" s="8" t="s">
        <v>164</v>
      </c>
      <c r="D33" s="20"/>
      <c r="E33" s="20"/>
      <c r="F33" s="9">
        <f>'TY KWH-RS vs Non-RS'!B$7/12*13</f>
        <v>19857410574.649944</v>
      </c>
      <c r="G33" s="9">
        <f>'TY KWH-RS vs Non-RS'!B$5/12*13</f>
        <v>6599267393.0774231</v>
      </c>
      <c r="H33" s="9">
        <f>'TY KWH-RS vs Non-RS'!B$6/12*13</f>
        <v>13258143181.572523</v>
      </c>
    </row>
    <row r="34" spans="1:8" ht="18.899999999999999" customHeight="1" x14ac:dyDescent="0.25">
      <c r="C34" s="11"/>
    </row>
    <row r="35" spans="1:8" ht="18.899999999999999" customHeight="1" x14ac:dyDescent="0.25">
      <c r="A35" s="10">
        <v>13</v>
      </c>
      <c r="B35" s="8" t="s">
        <v>122</v>
      </c>
      <c r="D35" s="20"/>
      <c r="E35" s="20"/>
      <c r="F35" s="69"/>
      <c r="G35" s="69">
        <f t="shared" ref="G35:H35" si="0">G31/G33</f>
        <v>-4.77560932580047E-3</v>
      </c>
      <c r="H35" s="69">
        <f t="shared" si="0"/>
        <v>-3.7179799245611643E-3</v>
      </c>
    </row>
    <row r="36" spans="1:8" ht="18.899999999999999" customHeight="1" x14ac:dyDescent="0.25">
      <c r="A36" s="10"/>
      <c r="B36" s="8"/>
      <c r="D36" s="20"/>
      <c r="E36" s="20"/>
      <c r="F36" s="69"/>
      <c r="G36" s="69"/>
      <c r="H36" s="69"/>
    </row>
    <row r="37" spans="1:8" ht="18.899999999999999" customHeight="1" x14ac:dyDescent="0.25">
      <c r="B37" s="8" t="s">
        <v>177</v>
      </c>
      <c r="C37" s="11"/>
    </row>
    <row r="38" spans="1:8" ht="18.899999999999999" customHeight="1" x14ac:dyDescent="0.25">
      <c r="A38" s="65">
        <v>14</v>
      </c>
      <c r="B38" s="18" t="s">
        <v>175</v>
      </c>
      <c r="C38" s="11"/>
      <c r="F38" s="68">
        <f>F31/16</f>
        <v>-5050564.5682422267</v>
      </c>
      <c r="G38" s="68">
        <f>G31/16</f>
        <v>-1969720.1816144686</v>
      </c>
      <c r="H38" s="68">
        <f>H31/16</f>
        <v>-3080844.3866277579</v>
      </c>
    </row>
    <row r="39" spans="1:8" ht="18.899999999999999" customHeight="1" x14ac:dyDescent="0.25">
      <c r="C39" s="11"/>
    </row>
    <row r="40" spans="1:8" ht="18.899999999999999" customHeight="1" x14ac:dyDescent="0.25">
      <c r="A40" s="10">
        <v>15</v>
      </c>
      <c r="B40" s="8" t="s">
        <v>176</v>
      </c>
      <c r="C40" s="11"/>
      <c r="F40" s="9">
        <f>'TY KWH-RS vs Non-RS'!B$7/12</f>
        <v>1527493121.1269188</v>
      </c>
      <c r="G40" s="9">
        <f>'TY KWH-RS vs Non-RS'!B$5/12</f>
        <v>507635953.31364793</v>
      </c>
      <c r="H40" s="9">
        <f>'TY KWH-RS vs Non-RS'!B$6/12</f>
        <v>1019857167.813271</v>
      </c>
    </row>
    <row r="41" spans="1:8" ht="18.899999999999999" customHeight="1" x14ac:dyDescent="0.25">
      <c r="C41" s="11"/>
    </row>
    <row r="42" spans="1:8" ht="18.899999999999999" customHeight="1" x14ac:dyDescent="0.25">
      <c r="A42" s="10">
        <v>16</v>
      </c>
      <c r="B42" s="8" t="s">
        <v>222</v>
      </c>
      <c r="C42" s="11"/>
      <c r="F42" s="69">
        <f>F38/F40</f>
        <v>-3.3064401393285078E-3</v>
      </c>
      <c r="G42" s="69">
        <f t="shared" ref="G42:H42" si="1">G38/G40</f>
        <v>-3.8801825772128819E-3</v>
      </c>
      <c r="H42" s="69">
        <f t="shared" si="1"/>
        <v>-3.020858688705946E-3</v>
      </c>
    </row>
    <row r="43" spans="1:8" ht="18.899999999999999" customHeight="1" x14ac:dyDescent="0.25">
      <c r="C43" s="19"/>
      <c r="D43" s="9"/>
      <c r="E43" s="9"/>
      <c r="F43" s="11"/>
      <c r="G43" s="11"/>
      <c r="H43" s="11"/>
    </row>
    <row r="44" spans="1:8" ht="18.899999999999999" customHeight="1" x14ac:dyDescent="0.25">
      <c r="C44" s="19"/>
      <c r="D44" s="9"/>
      <c r="E44" s="9"/>
      <c r="F44" s="11"/>
      <c r="G44" s="11"/>
      <c r="H44" s="11"/>
    </row>
    <row r="45" spans="1:8" ht="18.899999999999999" customHeight="1" x14ac:dyDescent="0.25">
      <c r="F45" s="11"/>
      <c r="G45" s="11"/>
      <c r="H45" s="11"/>
    </row>
    <row r="46" spans="1:8" ht="18.899999999999999" customHeight="1" x14ac:dyDescent="0.25"/>
    <row r="47" spans="1:8" ht="18.899999999999999" customHeight="1" x14ac:dyDescent="0.25"/>
    <row r="48" spans="1:8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  <row r="192" ht="18.899999999999999" customHeight="1" x14ac:dyDescent="0.25"/>
    <row r="193" ht="18.899999999999999" customHeight="1" x14ac:dyDescent="0.25"/>
    <row r="194" ht="18.899999999999999" customHeight="1" x14ac:dyDescent="0.25"/>
    <row r="195" ht="18.899999999999999" customHeight="1" x14ac:dyDescent="0.25"/>
    <row r="196" ht="18.899999999999999" customHeight="1" x14ac:dyDescent="0.25"/>
    <row r="197" ht="18.899999999999999" customHeight="1" x14ac:dyDescent="0.25"/>
    <row r="198" ht="18.899999999999999" customHeight="1" x14ac:dyDescent="0.25"/>
    <row r="199" ht="18.899999999999999" customHeight="1" x14ac:dyDescent="0.25"/>
    <row r="200" ht="18.899999999999999" customHeight="1" x14ac:dyDescent="0.25"/>
    <row r="201" ht="18.899999999999999" customHeight="1" x14ac:dyDescent="0.25"/>
    <row r="202" ht="18.899999999999999" customHeight="1" x14ac:dyDescent="0.25"/>
    <row r="203" ht="18.899999999999999" customHeight="1" x14ac:dyDescent="0.25"/>
    <row r="204" ht="18.899999999999999" customHeight="1" x14ac:dyDescent="0.25"/>
    <row r="205" ht="18.899999999999999" customHeight="1" x14ac:dyDescent="0.25"/>
  </sheetData>
  <mergeCells count="3">
    <mergeCell ref="A3:H3"/>
    <mergeCell ref="A4:H4"/>
    <mergeCell ref="A5:H5"/>
  </mergeCells>
  <printOptions horizontalCentered="1"/>
  <pageMargins left="0.75" right="0.75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E30" sqref="E30"/>
    </sheetView>
  </sheetViews>
  <sheetFormatPr defaultColWidth="9.109375" defaultRowHeight="13.2" x14ac:dyDescent="0.25"/>
  <cols>
    <col min="1" max="1" width="6.88671875" style="6" customWidth="1"/>
    <col min="2" max="2" width="59.44140625" style="6" customWidth="1"/>
    <col min="3" max="3" width="14.44140625" style="6" customWidth="1"/>
    <col min="4" max="4" width="18.88671875" style="6" customWidth="1"/>
    <col min="5" max="5" width="15.6640625" style="6" customWidth="1"/>
    <col min="6" max="6" width="1.88671875" style="6" customWidth="1"/>
    <col min="7" max="16384" width="9.109375" style="6"/>
  </cols>
  <sheetData>
    <row r="1" spans="1:5" s="2" customFormat="1" ht="20.100000000000001" customHeight="1" x14ac:dyDescent="0.25">
      <c r="A1" s="162" t="s">
        <v>0</v>
      </c>
      <c r="B1" s="163"/>
      <c r="C1" s="163"/>
      <c r="D1" s="163"/>
      <c r="E1" s="163"/>
    </row>
    <row r="2" spans="1:5" s="2" customFormat="1" ht="20.100000000000001" customHeight="1" x14ac:dyDescent="0.25">
      <c r="A2" s="162" t="s">
        <v>71</v>
      </c>
      <c r="B2" s="163"/>
      <c r="C2" s="163"/>
      <c r="D2" s="163"/>
      <c r="E2" s="163"/>
    </row>
    <row r="3" spans="1:5" s="2" customFormat="1" ht="20.100000000000001" customHeight="1" x14ac:dyDescent="0.25">
      <c r="A3" s="163" t="s">
        <v>11</v>
      </c>
      <c r="B3" s="163"/>
      <c r="C3" s="163"/>
      <c r="D3" s="163"/>
      <c r="E3" s="163"/>
    </row>
    <row r="4" spans="1:5" s="2" customFormat="1" ht="20.100000000000001" customHeight="1" x14ac:dyDescent="0.25">
      <c r="A4" s="162" t="s">
        <v>60</v>
      </c>
      <c r="B4" s="163"/>
      <c r="C4" s="163"/>
      <c r="D4" s="163"/>
      <c r="E4" s="163"/>
    </row>
    <row r="5" spans="1:5" s="2" customFormat="1" ht="20.100000000000001" customHeight="1" x14ac:dyDescent="0.25">
      <c r="A5" s="162" t="s">
        <v>92</v>
      </c>
      <c r="B5" s="163"/>
      <c r="C5" s="163"/>
      <c r="D5" s="163"/>
      <c r="E5" s="163"/>
    </row>
    <row r="6" spans="1:5" s="2" customFormat="1" ht="20.100000000000001" customHeight="1" x14ac:dyDescent="0.25">
      <c r="A6" s="42"/>
      <c r="B6" s="42"/>
      <c r="C6" s="42"/>
      <c r="D6" s="42"/>
      <c r="E6" s="42"/>
    </row>
    <row r="7" spans="1:5" s="2" customFormat="1" ht="20.100000000000001" customHeight="1" x14ac:dyDescent="0.25">
      <c r="A7" s="3" t="s">
        <v>7</v>
      </c>
      <c r="E7" s="4" t="s">
        <v>12</v>
      </c>
    </row>
    <row r="8" spans="1:5" s="2" customFormat="1" ht="20.100000000000001" customHeight="1" x14ac:dyDescent="0.25">
      <c r="A8" s="1" t="s">
        <v>1</v>
      </c>
      <c r="E8" s="4" t="s">
        <v>8</v>
      </c>
    </row>
    <row r="9" spans="1:5" s="2" customFormat="1" ht="20.100000000000001" customHeight="1" x14ac:dyDescent="0.25">
      <c r="A9" s="3" t="s">
        <v>26</v>
      </c>
      <c r="D9" s="3"/>
      <c r="E9" s="5" t="s">
        <v>61</v>
      </c>
    </row>
    <row r="10" spans="1:5" s="2" customFormat="1" ht="18.899999999999999" customHeight="1" x14ac:dyDescent="0.25"/>
    <row r="11" spans="1:5" s="2" customFormat="1" ht="30" customHeight="1" x14ac:dyDescent="0.25">
      <c r="A11" s="22"/>
      <c r="B11" s="22"/>
      <c r="C11" s="22"/>
      <c r="D11" s="174" t="s">
        <v>13</v>
      </c>
      <c r="E11" s="174"/>
    </row>
    <row r="12" spans="1:5" ht="24" customHeight="1" x14ac:dyDescent="0.25">
      <c r="A12" s="23" t="s">
        <v>5</v>
      </c>
      <c r="B12" s="23" t="s">
        <v>2</v>
      </c>
      <c r="C12" s="23"/>
      <c r="D12" s="23" t="s">
        <v>3</v>
      </c>
      <c r="E12" s="23" t="s">
        <v>14</v>
      </c>
    </row>
    <row r="13" spans="1:5" ht="18.899999999999999" customHeight="1" x14ac:dyDescent="0.25">
      <c r="A13" s="7"/>
      <c r="B13" s="12"/>
      <c r="C13" s="13"/>
      <c r="D13" s="13"/>
      <c r="E13" s="13"/>
    </row>
    <row r="14" spans="1:5" ht="18.899999999999999" customHeight="1" x14ac:dyDescent="0.25">
      <c r="A14" s="7">
        <v>1</v>
      </c>
      <c r="B14" s="8" t="s">
        <v>15</v>
      </c>
      <c r="C14" s="9"/>
      <c r="D14" s="24">
        <v>1</v>
      </c>
      <c r="E14" s="24">
        <v>1</v>
      </c>
    </row>
    <row r="15" spans="1:5" ht="18.899999999999999" customHeight="1" x14ac:dyDescent="0.25">
      <c r="A15" s="10"/>
      <c r="B15" s="8"/>
      <c r="C15" s="9"/>
      <c r="D15" s="24"/>
      <c r="E15" s="24"/>
    </row>
    <row r="16" spans="1:5" ht="18.899999999999999" customHeight="1" x14ac:dyDescent="0.25">
      <c r="A16" s="10">
        <v>2</v>
      </c>
      <c r="B16" s="8" t="s">
        <v>16</v>
      </c>
      <c r="C16" s="9"/>
      <c r="D16" s="24">
        <v>3.2000000000000002E-3</v>
      </c>
      <c r="E16" s="24">
        <f>D16</f>
        <v>3.2000000000000002E-3</v>
      </c>
    </row>
    <row r="17" spans="1:5" ht="18.899999999999999" customHeight="1" x14ac:dyDescent="0.25">
      <c r="A17" s="10"/>
      <c r="B17" s="8"/>
      <c r="C17" s="9"/>
      <c r="D17" s="24"/>
      <c r="E17" s="24"/>
    </row>
    <row r="18" spans="1:5" ht="18.899999999999999" customHeight="1" x14ac:dyDescent="0.25">
      <c r="A18" s="10">
        <v>3</v>
      </c>
      <c r="B18" s="8" t="s">
        <v>17</v>
      </c>
      <c r="D18" s="24">
        <v>1.941E-3</v>
      </c>
      <c r="E18" s="24">
        <f>D18</f>
        <v>1.941E-3</v>
      </c>
    </row>
    <row r="19" spans="1:5" ht="18.899999999999999" customHeight="1" x14ac:dyDescent="0.25">
      <c r="A19" s="10"/>
      <c r="B19" s="18"/>
      <c r="C19" s="9"/>
      <c r="D19" s="24"/>
      <c r="E19" s="24"/>
    </row>
    <row r="20" spans="1:5" ht="18.899999999999999" customHeight="1" x14ac:dyDescent="0.25">
      <c r="A20" s="10">
        <v>4</v>
      </c>
      <c r="B20" s="8" t="s">
        <v>18</v>
      </c>
      <c r="D20" s="25">
        <v>3.4967999999999999E-2</v>
      </c>
      <c r="E20" s="25"/>
    </row>
    <row r="21" spans="1:5" ht="18.899999999999999" customHeight="1" x14ac:dyDescent="0.25">
      <c r="A21" s="10"/>
      <c r="B21" s="17"/>
      <c r="D21" s="24"/>
      <c r="E21" s="24"/>
    </row>
    <row r="22" spans="1:5" ht="18.899999999999999" customHeight="1" x14ac:dyDescent="0.25">
      <c r="A22" s="10">
        <v>5</v>
      </c>
      <c r="B22" s="8" t="s">
        <v>19</v>
      </c>
      <c r="C22" s="9"/>
      <c r="D22" s="24">
        <f>D14-D16-D18-D20</f>
        <v>0.95989100000000005</v>
      </c>
      <c r="E22" s="24">
        <f>E14-E16-E18-E20</f>
        <v>0.99485900000000005</v>
      </c>
    </row>
    <row r="23" spans="1:5" ht="18.899999999999999" customHeight="1" x14ac:dyDescent="0.25">
      <c r="A23" s="10"/>
      <c r="B23" s="47"/>
      <c r="C23" s="9"/>
      <c r="D23" s="24"/>
      <c r="E23" s="24"/>
    </row>
    <row r="24" spans="1:5" ht="18.899999999999999" customHeight="1" x14ac:dyDescent="0.25">
      <c r="A24" s="10">
        <v>6</v>
      </c>
      <c r="B24" s="47" t="s">
        <v>20</v>
      </c>
      <c r="C24" s="20">
        <v>0.06</v>
      </c>
      <c r="D24" s="24">
        <f>D22*C24</f>
        <v>5.7593459999999999E-2</v>
      </c>
      <c r="E24" s="24">
        <f>D24</f>
        <v>5.7593459999999999E-2</v>
      </c>
    </row>
    <row r="25" spans="1:5" ht="18.899999999999999" customHeight="1" x14ac:dyDescent="0.25">
      <c r="A25" s="10"/>
      <c r="B25" s="47"/>
      <c r="C25" s="9"/>
      <c r="D25" s="24"/>
      <c r="E25" s="24"/>
    </row>
    <row r="26" spans="1:5" ht="18.899999999999999" customHeight="1" x14ac:dyDescent="0.25">
      <c r="A26" s="10">
        <v>7</v>
      </c>
      <c r="B26" s="8" t="s">
        <v>21</v>
      </c>
      <c r="C26" s="9"/>
      <c r="D26" s="24"/>
      <c r="E26" s="25">
        <v>0</v>
      </c>
    </row>
    <row r="27" spans="1:5" ht="18.899999999999999" customHeight="1" x14ac:dyDescent="0.25">
      <c r="A27" s="10"/>
      <c r="B27" s="47"/>
      <c r="C27" s="9"/>
      <c r="D27" s="24"/>
      <c r="E27" s="24"/>
    </row>
    <row r="28" spans="1:5" ht="18.899999999999999" customHeight="1" x14ac:dyDescent="0.25">
      <c r="A28" s="10">
        <v>8</v>
      </c>
      <c r="B28" s="8" t="s">
        <v>22</v>
      </c>
      <c r="D28" s="24"/>
      <c r="E28" s="24">
        <f>E22-E24-E26</f>
        <v>0.93726554000000006</v>
      </c>
    </row>
    <row r="29" spans="1:5" ht="18.899999999999999" customHeight="1" x14ac:dyDescent="0.25">
      <c r="A29" s="10"/>
      <c r="B29" s="48"/>
      <c r="C29" s="9"/>
      <c r="D29" s="24"/>
      <c r="E29" s="24"/>
    </row>
    <row r="30" spans="1:5" ht="18.899999999999999" customHeight="1" x14ac:dyDescent="0.25">
      <c r="A30" s="10">
        <v>9</v>
      </c>
      <c r="B30" s="47" t="s">
        <v>23</v>
      </c>
      <c r="C30" s="20">
        <v>0.35</v>
      </c>
      <c r="D30" s="26"/>
      <c r="E30" s="25">
        <f>E28*C30</f>
        <v>0.32804293899999998</v>
      </c>
    </row>
    <row r="31" spans="1:5" ht="18.899999999999999" customHeight="1" x14ac:dyDescent="0.25">
      <c r="A31" s="10"/>
      <c r="B31" s="48"/>
      <c r="C31" s="9"/>
      <c r="D31" s="24"/>
      <c r="E31" s="24"/>
    </row>
    <row r="32" spans="1:5" ht="18.899999999999999" customHeight="1" thickBot="1" x14ac:dyDescent="0.3">
      <c r="A32" s="10">
        <v>10</v>
      </c>
      <c r="B32" s="47" t="s">
        <v>24</v>
      </c>
      <c r="E32" s="27">
        <f>E22-E24-E30</f>
        <v>0.60922260100000014</v>
      </c>
    </row>
    <row r="33" spans="1:5" ht="18.899999999999999" customHeight="1" thickTop="1" x14ac:dyDescent="0.25">
      <c r="A33" s="10"/>
      <c r="B33" s="48"/>
      <c r="C33" s="9"/>
      <c r="D33" s="9"/>
      <c r="E33" s="9"/>
    </row>
    <row r="34" spans="1:5" ht="18.899999999999999" customHeight="1" thickBot="1" x14ac:dyDescent="0.3">
      <c r="A34" s="10">
        <v>11</v>
      </c>
      <c r="B34" s="47" t="s">
        <v>25</v>
      </c>
      <c r="E34" s="28">
        <f>E14/E32</f>
        <v>1.6414361488864064</v>
      </c>
    </row>
    <row r="35" spans="1:5" ht="18.899999999999999" customHeight="1" thickTop="1" x14ac:dyDescent="0.25">
      <c r="A35" s="10"/>
      <c r="B35" s="48"/>
      <c r="C35" s="20"/>
      <c r="D35" s="9"/>
      <c r="E35" s="20"/>
    </row>
    <row r="36" spans="1:5" ht="18.899999999999999" customHeight="1" thickBot="1" x14ac:dyDescent="0.3">
      <c r="E36" s="28">
        <f>E14/E22</f>
        <v>1.0051675664591666</v>
      </c>
    </row>
    <row r="37" spans="1:5" ht="18.899999999999999" customHeight="1" thickTop="1" x14ac:dyDescent="0.25"/>
    <row r="38" spans="1:5" ht="18.899999999999999" customHeight="1" x14ac:dyDescent="0.25"/>
    <row r="39" spans="1:5" ht="18.899999999999999" customHeight="1" x14ac:dyDescent="0.25"/>
    <row r="40" spans="1:5" ht="18.899999999999999" customHeight="1" x14ac:dyDescent="0.25"/>
    <row r="41" spans="1:5" ht="18.899999999999999" customHeight="1" x14ac:dyDescent="0.25"/>
    <row r="42" spans="1:5" ht="18.899999999999999" customHeight="1" x14ac:dyDescent="0.25"/>
    <row r="43" spans="1:5" ht="18.899999999999999" customHeight="1" x14ac:dyDescent="0.25"/>
    <row r="44" spans="1:5" ht="18.899999999999999" customHeight="1" x14ac:dyDescent="0.25"/>
    <row r="45" spans="1:5" ht="18.899999999999999" customHeight="1" x14ac:dyDescent="0.25"/>
    <row r="46" spans="1:5" ht="18.899999999999999" customHeight="1" x14ac:dyDescent="0.25"/>
    <row r="47" spans="1:5" ht="18.899999999999999" customHeight="1" x14ac:dyDescent="0.25"/>
    <row r="48" spans="1:5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  <row r="192" ht="18.899999999999999" customHeight="1" x14ac:dyDescent="0.25"/>
    <row r="193" ht="18.899999999999999" customHeight="1" x14ac:dyDescent="0.25"/>
    <row r="194" ht="18.899999999999999" customHeight="1" x14ac:dyDescent="0.25"/>
    <row r="195" ht="18.899999999999999" customHeight="1" x14ac:dyDescent="0.25"/>
    <row r="196" ht="18.899999999999999" customHeight="1" x14ac:dyDescent="0.25"/>
    <row r="197" ht="18.899999999999999" customHeight="1" x14ac:dyDescent="0.25"/>
    <row r="198" ht="18.899999999999999" customHeight="1" x14ac:dyDescent="0.25"/>
    <row r="199" ht="18.899999999999999" customHeight="1" x14ac:dyDescent="0.25"/>
    <row r="200" ht="18.899999999999999" customHeight="1" x14ac:dyDescent="0.25"/>
    <row r="201" ht="18.899999999999999" customHeight="1" x14ac:dyDescent="0.25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topLeftCell="C1" zoomScaleNormal="100" workbookViewId="0">
      <selection activeCell="L12" sqref="L12"/>
    </sheetView>
  </sheetViews>
  <sheetFormatPr defaultColWidth="9.109375" defaultRowHeight="13.2" x14ac:dyDescent="0.25"/>
  <cols>
    <col min="1" max="1" width="6.88671875" style="6" customWidth="1"/>
    <col min="2" max="2" width="24.33203125" style="6" customWidth="1"/>
    <col min="3" max="3" width="15.109375" style="6" customWidth="1"/>
    <col min="4" max="4" width="17.6640625" style="6" customWidth="1"/>
    <col min="5" max="5" width="13.88671875" style="6" customWidth="1"/>
    <col min="6" max="6" width="17.88671875" style="6" customWidth="1"/>
    <col min="7" max="7" width="16.109375" style="6" customWidth="1"/>
    <col min="8" max="8" width="16.44140625" style="6" customWidth="1"/>
    <col min="9" max="9" width="19.5546875" style="6" customWidth="1"/>
    <col min="10" max="10" width="17.109375" style="6" customWidth="1"/>
    <col min="11" max="11" width="12.5546875" style="6" customWidth="1"/>
    <col min="12" max="12" width="10.88671875" style="6" customWidth="1"/>
    <col min="13" max="13" width="12.88671875" style="6" customWidth="1"/>
    <col min="14" max="14" width="16.109375" style="6" customWidth="1"/>
    <col min="15" max="15" width="15.33203125" style="6" customWidth="1"/>
    <col min="16" max="16" width="11.5546875" style="6" bestFit="1" customWidth="1"/>
    <col min="17" max="17" width="12.109375" style="6" customWidth="1"/>
    <col min="18" max="16384" width="9.109375" style="6"/>
  </cols>
  <sheetData>
    <row r="1" spans="1:17" s="2" customFormat="1" ht="20.100000000000001" customHeight="1" x14ac:dyDescent="0.2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9"/>
    </row>
    <row r="2" spans="1:17" s="2" customFormat="1" ht="20.100000000000001" customHeight="1" x14ac:dyDescent="0.25">
      <c r="A2" s="162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29"/>
    </row>
    <row r="3" spans="1:17" s="2" customFormat="1" ht="20.100000000000001" customHeight="1" x14ac:dyDescent="0.25">
      <c r="A3" s="163" t="s">
        <v>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29"/>
    </row>
    <row r="4" spans="1:17" s="2" customFormat="1" ht="20.100000000000001" customHeight="1" x14ac:dyDescent="0.25">
      <c r="A4" s="163" t="s">
        <v>63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9"/>
    </row>
    <row r="5" spans="1:17" s="2" customFormat="1" ht="20.100000000000001" customHeight="1" x14ac:dyDescent="0.25">
      <c r="A5" s="163" t="s">
        <v>72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29"/>
    </row>
    <row r="6" spans="1:17" s="2" customFormat="1" ht="20.100000000000001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7" s="2" customFormat="1" ht="20.100000000000001" customHeight="1" x14ac:dyDescent="0.25">
      <c r="A7" s="3" t="s">
        <v>28</v>
      </c>
      <c r="M7" s="4"/>
    </row>
    <row r="8" spans="1:17" s="2" customFormat="1" ht="20.100000000000001" customHeight="1" x14ac:dyDescent="0.25">
      <c r="A8" s="3" t="s">
        <v>64</v>
      </c>
      <c r="M8" s="4" t="s">
        <v>65</v>
      </c>
    </row>
    <row r="9" spans="1:17" s="2" customFormat="1" ht="20.100000000000001" customHeight="1" x14ac:dyDescent="0.25">
      <c r="A9" s="51" t="s">
        <v>1</v>
      </c>
      <c r="M9" s="4" t="s">
        <v>66</v>
      </c>
    </row>
    <row r="10" spans="1:17" s="2" customFormat="1" ht="20.100000000000001" customHeight="1" x14ac:dyDescent="0.25">
      <c r="A10" s="3" t="s">
        <v>4</v>
      </c>
      <c r="M10" s="5" t="s">
        <v>62</v>
      </c>
    </row>
    <row r="11" spans="1:17" s="2" customFormat="1" ht="20.100000000000001" customHeight="1" x14ac:dyDescent="0.25"/>
    <row r="12" spans="1:17" ht="66" customHeight="1" x14ac:dyDescent="0.25">
      <c r="A12" s="14" t="s">
        <v>5</v>
      </c>
      <c r="B12" s="14" t="s">
        <v>29</v>
      </c>
      <c r="C12" s="14" t="s">
        <v>30</v>
      </c>
      <c r="D12" s="152" t="s">
        <v>242</v>
      </c>
      <c r="E12" s="14" t="s">
        <v>31</v>
      </c>
      <c r="F12" s="14" t="s">
        <v>32</v>
      </c>
      <c r="G12" s="14" t="s">
        <v>49</v>
      </c>
      <c r="H12" s="14" t="s">
        <v>54</v>
      </c>
      <c r="I12" s="14" t="s">
        <v>55</v>
      </c>
      <c r="J12" s="14" t="s">
        <v>50</v>
      </c>
      <c r="K12" s="14" t="s">
        <v>33</v>
      </c>
      <c r="L12" s="152" t="s">
        <v>243</v>
      </c>
      <c r="M12" s="14" t="s">
        <v>35</v>
      </c>
      <c r="N12" s="14" t="s">
        <v>68</v>
      </c>
      <c r="O12" s="14" t="s">
        <v>69</v>
      </c>
    </row>
    <row r="13" spans="1:17" ht="18.899999999999999" customHeight="1" x14ac:dyDescent="0.25">
      <c r="A13" s="7"/>
      <c r="B13" s="30" t="s">
        <v>36</v>
      </c>
      <c r="C13" s="30" t="s">
        <v>37</v>
      </c>
      <c r="D13" s="153" t="s">
        <v>38</v>
      </c>
      <c r="E13" s="30" t="s">
        <v>39</v>
      </c>
      <c r="F13" s="30" t="s">
        <v>40</v>
      </c>
      <c r="G13" s="30" t="s">
        <v>41</v>
      </c>
      <c r="H13" s="30" t="s">
        <v>51</v>
      </c>
      <c r="I13" s="30" t="s">
        <v>52</v>
      </c>
      <c r="J13" s="30" t="s">
        <v>56</v>
      </c>
      <c r="K13" s="30" t="s">
        <v>57</v>
      </c>
      <c r="L13" s="153" t="s">
        <v>58</v>
      </c>
      <c r="M13" s="30" t="s">
        <v>59</v>
      </c>
      <c r="N13" s="43">
        <f>'KU Composite Tax Rate (21%)'!E27</f>
        <v>0.25607670659999998</v>
      </c>
      <c r="O13" s="43" t="s">
        <v>70</v>
      </c>
    </row>
    <row r="14" spans="1:17" ht="18.899999999999999" customHeight="1" x14ac:dyDescent="0.25">
      <c r="A14" s="7"/>
      <c r="B14" s="12"/>
      <c r="C14" s="12"/>
      <c r="D14" s="154" t="s">
        <v>6</v>
      </c>
      <c r="E14" s="13" t="s">
        <v>6</v>
      </c>
      <c r="F14" s="13" t="s">
        <v>6</v>
      </c>
      <c r="G14" s="13"/>
      <c r="H14" s="13" t="s">
        <v>6</v>
      </c>
      <c r="I14" s="13" t="s">
        <v>6</v>
      </c>
      <c r="J14" s="13" t="s">
        <v>6</v>
      </c>
      <c r="K14" s="13"/>
      <c r="L14" s="154" t="s">
        <v>42</v>
      </c>
      <c r="M14" s="13" t="s">
        <v>42</v>
      </c>
      <c r="N14" s="13" t="s">
        <v>42</v>
      </c>
      <c r="O14" s="13" t="s">
        <v>42</v>
      </c>
    </row>
    <row r="15" spans="1:17" ht="18.899999999999999" customHeight="1" x14ac:dyDescent="0.25">
      <c r="A15" s="10"/>
      <c r="B15" s="8"/>
      <c r="C15" s="11"/>
      <c r="D15" s="155"/>
      <c r="E15" s="9"/>
      <c r="F15" s="9"/>
      <c r="G15" s="9"/>
      <c r="H15" s="9"/>
      <c r="I15" s="9"/>
      <c r="J15" s="9"/>
      <c r="K15" s="9"/>
      <c r="L15" s="155"/>
      <c r="M15" s="9"/>
      <c r="N15" s="9"/>
      <c r="Q15" s="2"/>
    </row>
    <row r="16" spans="1:17" ht="18.899999999999999" customHeight="1" x14ac:dyDescent="0.25">
      <c r="A16" s="10">
        <v>1</v>
      </c>
      <c r="B16" s="8" t="s">
        <v>43</v>
      </c>
      <c r="C16" s="11" t="s">
        <v>44</v>
      </c>
      <c r="D16" s="155">
        <f>'PENSION CONTRIBUTION'!D15</f>
        <v>129576053.67781948</v>
      </c>
      <c r="E16" s="9">
        <f>J40</f>
        <v>-30146.840487458641</v>
      </c>
      <c r="F16" s="9">
        <f>SUM(D16:E16)</f>
        <v>129545906.83733201</v>
      </c>
      <c r="G16" s="31">
        <v>0.89280000000000004</v>
      </c>
      <c r="H16" s="9">
        <f>F16*G16</f>
        <v>115658585.62437002</v>
      </c>
      <c r="I16" s="9">
        <f>J64</f>
        <v>-26243502.149436932</v>
      </c>
      <c r="J16" s="9">
        <f>SUM(H16:I16)</f>
        <v>89415083.474933088</v>
      </c>
      <c r="K16" s="31">
        <f>H16/H$22</f>
        <v>2.46863283828977E-2</v>
      </c>
      <c r="L16" s="159">
        <v>2.35E-2</v>
      </c>
      <c r="M16" s="31">
        <f>K16*L16</f>
        <v>5.8012871699809595E-4</v>
      </c>
      <c r="N16" s="31"/>
      <c r="O16" s="31">
        <f>SUM(M16:N16)</f>
        <v>5.8012871699809595E-4</v>
      </c>
      <c r="P16" s="31"/>
      <c r="Q16" s="9"/>
    </row>
    <row r="17" spans="1:17" ht="18.899999999999999" customHeight="1" x14ac:dyDescent="0.25">
      <c r="A17" s="10"/>
      <c r="B17" s="8"/>
      <c r="C17" s="11"/>
      <c r="D17" s="155"/>
      <c r="E17" s="9"/>
      <c r="F17" s="9"/>
      <c r="G17" s="31"/>
      <c r="H17" s="9"/>
      <c r="I17" s="9"/>
      <c r="J17" s="9"/>
      <c r="K17" s="31"/>
      <c r="L17" s="160"/>
      <c r="M17" s="32"/>
      <c r="N17" s="32"/>
      <c r="O17" s="32"/>
      <c r="P17" s="31"/>
      <c r="Q17" s="9"/>
    </row>
    <row r="18" spans="1:17" ht="18.899999999999999" customHeight="1" x14ac:dyDescent="0.25">
      <c r="A18" s="10">
        <v>2</v>
      </c>
      <c r="B18" s="8" t="s">
        <v>45</v>
      </c>
      <c r="C18" s="11" t="s">
        <v>46</v>
      </c>
      <c r="D18" s="155">
        <f>'PENSION CONTRIBUTION'!E15</f>
        <v>2322861395.2286534</v>
      </c>
      <c r="E18" s="9">
        <f>J42</f>
        <v>-540431.1210970371</v>
      </c>
      <c r="F18" s="9">
        <f>SUM(D18:E18)</f>
        <v>2322320964.1075563</v>
      </c>
      <c r="G18" s="31">
        <f>G$16</f>
        <v>0.89280000000000004</v>
      </c>
      <c r="H18" s="9">
        <f>F18*G18</f>
        <v>2073368156.7552264</v>
      </c>
      <c r="I18" s="9">
        <f>J66</f>
        <v>-470457436.2952854</v>
      </c>
      <c r="J18" s="9">
        <f>SUM(H18:I18)</f>
        <v>1602910720.4599409</v>
      </c>
      <c r="K18" s="31">
        <f>H18/H$22</f>
        <v>0.44254256525784508</v>
      </c>
      <c r="L18" s="161">
        <v>4.2413408249725289E-2</v>
      </c>
      <c r="M18" s="31">
        <f>K18*L18</f>
        <v>1.8769738488161679E-2</v>
      </c>
      <c r="N18" s="31"/>
      <c r="O18" s="31">
        <f>SUM(M18:N18)</f>
        <v>1.8769738488161679E-2</v>
      </c>
      <c r="P18" s="31"/>
      <c r="Q18" s="9"/>
    </row>
    <row r="19" spans="1:17" ht="18.899999999999999" customHeight="1" x14ac:dyDescent="0.25">
      <c r="A19" s="10"/>
      <c r="B19" s="8"/>
      <c r="C19" s="11"/>
      <c r="D19" s="156"/>
      <c r="E19" s="34"/>
      <c r="F19" s="34"/>
      <c r="G19" s="35"/>
      <c r="H19" s="34"/>
      <c r="I19" s="34"/>
      <c r="J19" s="34"/>
      <c r="K19" s="35"/>
      <c r="L19" s="36"/>
      <c r="M19" s="35"/>
      <c r="N19" s="35"/>
      <c r="O19" s="35"/>
      <c r="P19" s="35"/>
      <c r="Q19" s="34"/>
    </row>
    <row r="20" spans="1:17" ht="18.899999999999999" customHeight="1" x14ac:dyDescent="0.25">
      <c r="A20" s="10">
        <v>3</v>
      </c>
      <c r="B20" s="8" t="s">
        <v>47</v>
      </c>
      <c r="C20" s="11"/>
      <c r="D20" s="157">
        <f>'PENSION CONTRIBUTION'!F15</f>
        <v>2796966111.9362869</v>
      </c>
      <c r="E20" s="15">
        <f>J44</f>
        <v>-1154801.338415504</v>
      </c>
      <c r="F20" s="15">
        <f>SUM(D20:E20)</f>
        <v>2795811310.5978713</v>
      </c>
      <c r="G20" s="31">
        <f>G$16</f>
        <v>0.89280000000000004</v>
      </c>
      <c r="H20" s="15">
        <f>F20*G20</f>
        <v>2496100338.1017795</v>
      </c>
      <c r="I20" s="15">
        <f>J68</f>
        <v>-566377448.19855094</v>
      </c>
      <c r="J20" s="15">
        <f>SUM(H20:I20)</f>
        <v>1929722889.9032285</v>
      </c>
      <c r="K20" s="37">
        <f>H20/H$22</f>
        <v>0.53277110635925728</v>
      </c>
      <c r="L20" s="31">
        <v>9.7000000000000003E-2</v>
      </c>
      <c r="M20" s="37">
        <f>K20*L20</f>
        <v>5.1678797316847956E-2</v>
      </c>
      <c r="N20" s="37">
        <f>M20*(N13/(1-N13))</f>
        <v>1.7789113925260162E-2</v>
      </c>
      <c r="O20" s="37">
        <f>SUM(M20:N20)</f>
        <v>6.9467911242108119E-2</v>
      </c>
      <c r="P20" s="31"/>
      <c r="Q20" s="9"/>
    </row>
    <row r="21" spans="1:17" ht="18.899999999999999" customHeight="1" x14ac:dyDescent="0.25">
      <c r="A21" s="10"/>
      <c r="B21" s="8"/>
      <c r="C21" s="11"/>
      <c r="D21" s="155"/>
      <c r="E21" s="9"/>
      <c r="F21" s="9"/>
      <c r="G21" s="32"/>
      <c r="H21" s="9"/>
      <c r="I21" s="9"/>
      <c r="J21" s="9"/>
      <c r="K21" s="32"/>
      <c r="L21" s="32"/>
      <c r="M21" s="31"/>
      <c r="N21" s="31"/>
      <c r="O21" s="31"/>
      <c r="P21" s="32"/>
      <c r="Q21" s="9"/>
    </row>
    <row r="22" spans="1:17" ht="18.899999999999999" customHeight="1" thickBot="1" x14ac:dyDescent="0.3">
      <c r="A22" s="10">
        <v>4</v>
      </c>
      <c r="B22" s="8" t="s">
        <v>48</v>
      </c>
      <c r="C22" s="11"/>
      <c r="D22" s="158">
        <f>SUM(D16:D20)</f>
        <v>5249403560.8427601</v>
      </c>
      <c r="E22" s="16">
        <f>SUM(E16:E20)</f>
        <v>-1725379.2999999998</v>
      </c>
      <c r="F22" s="16">
        <f>SUM(F16:F20)</f>
        <v>5247678181.5427589</v>
      </c>
      <c r="G22" s="31"/>
      <c r="H22" s="16">
        <f>SUM(H16:H20)</f>
        <v>4685127080.4813757</v>
      </c>
      <c r="I22" s="16">
        <f>SUM(I16:I20)</f>
        <v>-1063078386.6432734</v>
      </c>
      <c r="J22" s="16">
        <f>SUM(J16:J20)</f>
        <v>3622048693.8381023</v>
      </c>
      <c r="K22" s="38">
        <f>SUM(K16:K20)</f>
        <v>1</v>
      </c>
      <c r="L22" s="32"/>
      <c r="M22" s="38">
        <f t="shared" ref="M22:O22" si="0">SUM(M16:M20)</f>
        <v>7.1028664522007734E-2</v>
      </c>
      <c r="N22" s="38">
        <f t="shared" si="0"/>
        <v>1.7789113925260162E-2</v>
      </c>
      <c r="O22" s="38">
        <f t="shared" si="0"/>
        <v>8.8817778447267889E-2</v>
      </c>
      <c r="P22" s="31"/>
      <c r="Q22" s="9"/>
    </row>
    <row r="23" spans="1:17" ht="18.899999999999999" customHeight="1" thickTop="1" x14ac:dyDescent="0.25">
      <c r="A23" s="10"/>
      <c r="B23" s="8"/>
      <c r="C23" s="11"/>
      <c r="D23" s="21"/>
      <c r="E23" s="21"/>
      <c r="F23" s="21"/>
      <c r="G23" s="21"/>
      <c r="H23" s="9"/>
      <c r="I23" s="9"/>
      <c r="J23" s="9"/>
      <c r="K23" s="21"/>
      <c r="L23" s="21"/>
      <c r="M23" s="21"/>
      <c r="N23" s="21"/>
      <c r="Q23" s="39"/>
    </row>
    <row r="24" spans="1:17" ht="18.899999999999999" customHeight="1" x14ac:dyDescent="0.25">
      <c r="A24" s="10"/>
      <c r="B24" s="8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</row>
    <row r="25" spans="1:17" s="2" customFormat="1" ht="20.100000000000001" customHeight="1" x14ac:dyDescent="0.25">
      <c r="A25" s="162" t="s">
        <v>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44"/>
      <c r="L25" s="44"/>
      <c r="M25" s="44"/>
      <c r="N25" s="45"/>
    </row>
    <row r="26" spans="1:17" s="2" customFormat="1" ht="20.100000000000001" customHeight="1" x14ac:dyDescent="0.3">
      <c r="A26" s="162" t="s">
        <v>71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44"/>
      <c r="L26" s="44"/>
      <c r="M26" s="50"/>
      <c r="N26" s="45"/>
    </row>
    <row r="27" spans="1:17" s="2" customFormat="1" ht="20.100000000000001" customHeight="1" x14ac:dyDescent="0.25">
      <c r="A27" s="162" t="s">
        <v>73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44"/>
      <c r="L27" s="44"/>
      <c r="M27" s="44"/>
      <c r="N27" s="45"/>
      <c r="O27" s="44"/>
    </row>
    <row r="28" spans="1:17" s="2" customFormat="1" ht="20.100000000000001" customHeight="1" x14ac:dyDescent="0.25">
      <c r="A28" s="162" t="s">
        <v>63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44"/>
      <c r="L28" s="44"/>
      <c r="M28" s="44"/>
      <c r="N28" s="29"/>
    </row>
    <row r="29" spans="1:17" s="2" customFormat="1" ht="20.100000000000001" customHeight="1" x14ac:dyDescent="0.25">
      <c r="A29" s="162" t="s">
        <v>72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44"/>
      <c r="L29" s="44"/>
      <c r="M29" s="44"/>
      <c r="N29" s="29"/>
    </row>
    <row r="30" spans="1:17" s="2" customFormat="1" ht="20.100000000000001" customHeight="1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  <row r="31" spans="1:17" s="2" customFormat="1" ht="20.100000000000001" customHeight="1" x14ac:dyDescent="0.25">
      <c r="A31" s="3" t="s">
        <v>28</v>
      </c>
      <c r="M31" s="4"/>
    </row>
    <row r="32" spans="1:17" s="2" customFormat="1" ht="20.100000000000001" customHeight="1" x14ac:dyDescent="0.25">
      <c r="A32" s="3" t="s">
        <v>64</v>
      </c>
      <c r="J32" s="4" t="s">
        <v>65</v>
      </c>
    </row>
    <row r="33" spans="1:17" s="2" customFormat="1" ht="20.100000000000001" customHeight="1" x14ac:dyDescent="0.25">
      <c r="A33" s="51" t="s">
        <v>1</v>
      </c>
      <c r="J33" s="4" t="s">
        <v>74</v>
      </c>
    </row>
    <row r="34" spans="1:17" s="2" customFormat="1" ht="20.100000000000001" customHeight="1" x14ac:dyDescent="0.25">
      <c r="A34" s="3" t="s">
        <v>4</v>
      </c>
      <c r="J34" s="5" t="s">
        <v>62</v>
      </c>
    </row>
    <row r="35" spans="1:17" s="2" customFormat="1" ht="20.100000000000001" customHeight="1" x14ac:dyDescent="0.25"/>
    <row r="36" spans="1:17" ht="48" customHeight="1" x14ac:dyDescent="0.25">
      <c r="A36" s="14" t="s">
        <v>5</v>
      </c>
      <c r="B36" s="14" t="s">
        <v>29</v>
      </c>
      <c r="C36" s="14" t="s">
        <v>30</v>
      </c>
      <c r="D36" s="14" t="s">
        <v>67</v>
      </c>
      <c r="E36" s="14" t="s">
        <v>33</v>
      </c>
      <c r="F36" s="14" t="s">
        <v>75</v>
      </c>
      <c r="G36" s="14" t="s">
        <v>76</v>
      </c>
      <c r="H36" s="14" t="s">
        <v>77</v>
      </c>
      <c r="I36" s="14" t="s">
        <v>78</v>
      </c>
      <c r="J36" s="14" t="s">
        <v>31</v>
      </c>
      <c r="K36" s="11"/>
      <c r="L36" s="11"/>
      <c r="M36" s="11"/>
      <c r="N36" s="11"/>
    </row>
    <row r="37" spans="1:17" ht="18.899999999999999" customHeight="1" x14ac:dyDescent="0.25">
      <c r="A37" s="7"/>
      <c r="B37" s="30" t="s">
        <v>36</v>
      </c>
      <c r="C37" s="30" t="s">
        <v>37</v>
      </c>
      <c r="D37" s="30" t="s">
        <v>38</v>
      </c>
      <c r="E37" s="30" t="s">
        <v>39</v>
      </c>
      <c r="F37" s="30" t="s">
        <v>79</v>
      </c>
      <c r="G37" s="30" t="s">
        <v>41</v>
      </c>
      <c r="H37" s="30" t="s">
        <v>80</v>
      </c>
      <c r="I37" s="30" t="s">
        <v>52</v>
      </c>
      <c r="J37" s="30" t="s">
        <v>81</v>
      </c>
      <c r="K37" s="30"/>
      <c r="L37" s="30"/>
      <c r="M37" s="30"/>
      <c r="N37" s="30"/>
    </row>
    <row r="38" spans="1:17" ht="18.899999999999999" customHeight="1" x14ac:dyDescent="0.25">
      <c r="A38" s="7"/>
      <c r="B38" s="12"/>
      <c r="C38" s="12"/>
      <c r="D38" s="13" t="s">
        <v>6</v>
      </c>
      <c r="E38" s="13"/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/>
      <c r="L38" s="13"/>
      <c r="M38" s="13"/>
      <c r="N38" s="13"/>
    </row>
    <row r="39" spans="1:17" ht="18.899999999999999" customHeight="1" x14ac:dyDescent="0.25">
      <c r="A39" s="10"/>
      <c r="B39" s="8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Q39" s="2"/>
    </row>
    <row r="40" spans="1:17" ht="18.899999999999999" customHeight="1" x14ac:dyDescent="0.25">
      <c r="A40" s="10">
        <v>1</v>
      </c>
      <c r="B40" s="8" t="s">
        <v>43</v>
      </c>
      <c r="C40" s="11" t="s">
        <v>44</v>
      </c>
      <c r="D40" s="9">
        <f>D16</f>
        <v>129576053.67781948</v>
      </c>
      <c r="E40" s="31">
        <f>D40/D$46</f>
        <v>2.4683957363151713E-2</v>
      </c>
      <c r="F40" s="9">
        <v>0</v>
      </c>
      <c r="G40" s="9">
        <f>S40</f>
        <v>0</v>
      </c>
      <c r="H40" s="9">
        <f>H$46*$E40</f>
        <v>-6170.9893407879281</v>
      </c>
      <c r="I40" s="9">
        <f>I$46*$E40</f>
        <v>-23975.851146670713</v>
      </c>
      <c r="J40" s="9">
        <f>SUM(F40:I40)</f>
        <v>-30146.840487458641</v>
      </c>
      <c r="K40" s="31"/>
      <c r="L40" s="31"/>
      <c r="M40" s="31"/>
      <c r="N40" s="9"/>
      <c r="P40" s="31"/>
      <c r="Q40" s="9"/>
    </row>
    <row r="41" spans="1:17" ht="18.899999999999999" customHeight="1" x14ac:dyDescent="0.25">
      <c r="A41" s="10"/>
      <c r="B41" s="8"/>
      <c r="C41" s="11"/>
      <c r="D41" s="9"/>
      <c r="E41" s="31"/>
      <c r="F41" s="9"/>
      <c r="G41" s="9"/>
      <c r="H41" s="9"/>
      <c r="I41" s="9"/>
      <c r="J41" s="9"/>
      <c r="K41" s="31"/>
      <c r="L41" s="32"/>
      <c r="M41" s="32"/>
      <c r="N41" s="9"/>
      <c r="P41" s="31"/>
      <c r="Q41" s="9"/>
    </row>
    <row r="42" spans="1:17" ht="18.899999999999999" customHeight="1" x14ac:dyDescent="0.25">
      <c r="A42" s="10">
        <v>2</v>
      </c>
      <c r="B42" s="8" t="s">
        <v>45</v>
      </c>
      <c r="C42" s="11" t="s">
        <v>46</v>
      </c>
      <c r="D42" s="9">
        <f>D18</f>
        <v>2322861395.2286534</v>
      </c>
      <c r="E42" s="31">
        <f>D42/D$46</f>
        <v>0.44250006087467431</v>
      </c>
      <c r="F42" s="9">
        <v>0</v>
      </c>
      <c r="G42" s="39">
        <f>S42</f>
        <v>0</v>
      </c>
      <c r="H42" s="9">
        <f>H$46*$E42</f>
        <v>-110625.01521866857</v>
      </c>
      <c r="I42" s="9">
        <f>I$46*$E42</f>
        <v>-429806.10587836854</v>
      </c>
      <c r="J42" s="9">
        <f>SUM(F42:I42)</f>
        <v>-540431.1210970371</v>
      </c>
      <c r="K42" s="31"/>
      <c r="L42" s="33"/>
      <c r="M42" s="31"/>
      <c r="P42" s="31"/>
      <c r="Q42" s="9"/>
    </row>
    <row r="43" spans="1:17" ht="18.899999999999999" customHeight="1" x14ac:dyDescent="0.25">
      <c r="A43" s="10"/>
      <c r="B43" s="8"/>
      <c r="C43" s="11"/>
      <c r="D43" s="34"/>
      <c r="E43" s="35"/>
      <c r="F43" s="34"/>
      <c r="G43" s="34"/>
      <c r="H43" s="34"/>
      <c r="I43" s="34"/>
      <c r="J43" s="34"/>
      <c r="K43" s="35"/>
      <c r="L43" s="36"/>
      <c r="M43" s="35"/>
      <c r="N43" s="34"/>
      <c r="P43" s="35"/>
      <c r="Q43" s="34"/>
    </row>
    <row r="44" spans="1:17" ht="18.899999999999999" customHeight="1" x14ac:dyDescent="0.25">
      <c r="A44" s="10">
        <v>3</v>
      </c>
      <c r="B44" s="8" t="s">
        <v>47</v>
      </c>
      <c r="C44" s="11"/>
      <c r="D44" s="15">
        <f>D20</f>
        <v>2796966111.9362869</v>
      </c>
      <c r="E44" s="37">
        <f>D44/D$46</f>
        <v>0.53281598176217393</v>
      </c>
      <c r="F44" s="15">
        <f>F46</f>
        <v>0</v>
      </c>
      <c r="G44" s="15">
        <f>G46</f>
        <v>-504066.19999999995</v>
      </c>
      <c r="H44" s="15">
        <f>H$46*$E44</f>
        <v>-133203.99544054348</v>
      </c>
      <c r="I44" s="15">
        <f>I$46*$E44</f>
        <v>-517531.14297496056</v>
      </c>
      <c r="J44" s="15">
        <f>SUM(F44:I44)</f>
        <v>-1154801.338415504</v>
      </c>
      <c r="K44" s="31"/>
      <c r="L44" s="31"/>
      <c r="M44" s="31"/>
      <c r="N44" s="9"/>
      <c r="P44" s="31"/>
      <c r="Q44" s="9"/>
    </row>
    <row r="45" spans="1:17" ht="18.899999999999999" customHeight="1" x14ac:dyDescent="0.25">
      <c r="A45" s="10"/>
      <c r="B45" s="8"/>
      <c r="C45" s="11"/>
      <c r="D45" s="9"/>
      <c r="E45" s="32"/>
      <c r="F45" s="9"/>
      <c r="G45" s="9"/>
      <c r="H45" s="9"/>
      <c r="I45" s="9"/>
      <c r="J45" s="9"/>
      <c r="K45" s="32"/>
      <c r="L45" s="32"/>
      <c r="M45" s="31"/>
      <c r="N45" s="9"/>
      <c r="P45" s="32"/>
      <c r="Q45" s="9"/>
    </row>
    <row r="46" spans="1:17" ht="18.899999999999999" customHeight="1" thickBot="1" x14ac:dyDescent="0.3">
      <c r="A46" s="10">
        <v>4</v>
      </c>
      <c r="B46" s="8" t="s">
        <v>48</v>
      </c>
      <c r="C46" s="11"/>
      <c r="D46" s="16">
        <f>SUM(D40:D44)</f>
        <v>5249403560.8427601</v>
      </c>
      <c r="E46" s="38">
        <f>SUM(E40:E44)</f>
        <v>1</v>
      </c>
      <c r="F46" s="16">
        <v>0</v>
      </c>
      <c r="G46" s="16">
        <f>-(1295.8*0.389)*1000</f>
        <v>-504066.19999999995</v>
      </c>
      <c r="H46" s="16">
        <v>-250000</v>
      </c>
      <c r="I46" s="16">
        <v>-971313.09999999986</v>
      </c>
      <c r="J46" s="16">
        <f>SUM(J40:J44)</f>
        <v>-1725379.2999999998</v>
      </c>
      <c r="K46" s="31"/>
      <c r="L46" s="32"/>
      <c r="M46" s="31"/>
      <c r="N46" s="9"/>
      <c r="P46" s="31"/>
      <c r="Q46" s="9"/>
    </row>
    <row r="47" spans="1:17" ht="18.899999999999999" customHeight="1" thickTop="1" x14ac:dyDescent="0.25">
      <c r="A47" s="10"/>
      <c r="B47" s="8"/>
      <c r="C47" s="11"/>
      <c r="D47" s="21"/>
      <c r="E47" s="21"/>
      <c r="F47" s="21"/>
      <c r="G47" s="21"/>
      <c r="H47" s="9"/>
      <c r="I47" s="9"/>
      <c r="J47" s="9"/>
      <c r="K47" s="21"/>
      <c r="L47" s="21"/>
      <c r="M47" s="21"/>
      <c r="N47" s="21"/>
      <c r="Q47" s="39"/>
    </row>
    <row r="48" spans="1:17" ht="18.899999999999999" customHeight="1" x14ac:dyDescent="0.25"/>
    <row r="49" spans="1:17" s="2" customFormat="1" ht="20.100000000000001" customHeight="1" x14ac:dyDescent="0.25">
      <c r="A49" s="162" t="str">
        <f>A25</f>
        <v>KENTUCKY UTILITIES COMPANY</v>
      </c>
      <c r="B49" s="162"/>
      <c r="C49" s="162"/>
      <c r="D49" s="162"/>
      <c r="E49" s="162"/>
      <c r="F49" s="162"/>
      <c r="G49" s="162"/>
      <c r="H49" s="162"/>
      <c r="I49" s="162"/>
      <c r="J49" s="162"/>
      <c r="K49" s="44"/>
      <c r="L49" s="44"/>
      <c r="M49" s="44"/>
      <c r="N49" s="29"/>
    </row>
    <row r="50" spans="1:17" s="2" customFormat="1" ht="20.100000000000001" customHeight="1" x14ac:dyDescent="0.25">
      <c r="A50" s="162" t="str">
        <f>A26</f>
        <v>CASE NO. 2016-00370</v>
      </c>
      <c r="B50" s="162"/>
      <c r="C50" s="162"/>
      <c r="D50" s="162"/>
      <c r="E50" s="162"/>
      <c r="F50" s="162"/>
      <c r="G50" s="162"/>
      <c r="H50" s="162"/>
      <c r="I50" s="162"/>
      <c r="J50" s="162"/>
      <c r="K50" s="44"/>
      <c r="L50" s="44"/>
      <c r="M50" s="44"/>
      <c r="N50" s="29"/>
    </row>
    <row r="51" spans="1:17" s="2" customFormat="1" ht="20.100000000000001" customHeight="1" x14ac:dyDescent="0.25">
      <c r="A51" s="162" t="s">
        <v>82</v>
      </c>
      <c r="B51" s="162"/>
      <c r="C51" s="162"/>
      <c r="D51" s="162"/>
      <c r="E51" s="162"/>
      <c r="F51" s="162"/>
      <c r="G51" s="162"/>
      <c r="H51" s="162"/>
      <c r="I51" s="162"/>
      <c r="J51" s="162"/>
      <c r="K51" s="44"/>
      <c r="L51" s="44"/>
      <c r="M51" s="44"/>
      <c r="N51" s="29"/>
    </row>
    <row r="52" spans="1:17" s="2" customFormat="1" ht="20.100000000000001" customHeight="1" x14ac:dyDescent="0.25">
      <c r="A52" s="162" t="s">
        <v>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44"/>
      <c r="L52" s="44"/>
      <c r="M52" s="44"/>
      <c r="N52" s="29"/>
    </row>
    <row r="53" spans="1:17" s="2" customFormat="1" ht="20.100000000000001" customHeight="1" x14ac:dyDescent="0.25">
      <c r="A53" s="162" t="str">
        <f>A29</f>
        <v>FROM JULY 1, 2017 TO JUNE 30, 2018</v>
      </c>
      <c r="B53" s="162"/>
      <c r="C53" s="162"/>
      <c r="D53" s="162"/>
      <c r="E53" s="162"/>
      <c r="F53" s="162"/>
      <c r="G53" s="162"/>
      <c r="H53" s="162"/>
      <c r="I53" s="162"/>
      <c r="J53" s="162"/>
      <c r="K53" s="44"/>
      <c r="L53" s="44"/>
      <c r="M53" s="44"/>
      <c r="N53" s="29"/>
    </row>
    <row r="54" spans="1:17" s="2" customFormat="1" ht="20.100000000000001" customHeight="1" x14ac:dyDescent="0.2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1:17" s="2" customFormat="1" ht="20.100000000000001" customHeight="1" x14ac:dyDescent="0.25">
      <c r="A55" s="3" t="s">
        <v>28</v>
      </c>
      <c r="M55" s="4"/>
    </row>
    <row r="56" spans="1:17" s="2" customFormat="1" ht="20.100000000000001" customHeight="1" x14ac:dyDescent="0.25">
      <c r="A56" s="3" t="s">
        <v>64</v>
      </c>
      <c r="J56" s="4" t="s">
        <v>65</v>
      </c>
    </row>
    <row r="57" spans="1:17" s="2" customFormat="1" ht="20.100000000000001" customHeight="1" x14ac:dyDescent="0.25">
      <c r="A57" s="51" t="s">
        <v>1</v>
      </c>
      <c r="J57" s="4" t="s">
        <v>83</v>
      </c>
    </row>
    <row r="58" spans="1:17" s="2" customFormat="1" ht="20.100000000000001" customHeight="1" x14ac:dyDescent="0.25">
      <c r="A58" s="3" t="s">
        <v>4</v>
      </c>
      <c r="J58" s="5" t="s">
        <v>62</v>
      </c>
    </row>
    <row r="59" spans="1:17" s="2" customFormat="1" ht="20.100000000000001" customHeight="1" x14ac:dyDescent="0.25"/>
    <row r="60" spans="1:17" ht="48" customHeight="1" x14ac:dyDescent="0.25">
      <c r="A60" s="14" t="s">
        <v>5</v>
      </c>
      <c r="B60" s="14" t="s">
        <v>29</v>
      </c>
      <c r="C60" s="14" t="s">
        <v>30</v>
      </c>
      <c r="D60" s="14" t="s">
        <v>54</v>
      </c>
      <c r="E60" s="14" t="s">
        <v>33</v>
      </c>
      <c r="F60" s="14" t="s">
        <v>84</v>
      </c>
      <c r="G60" s="14" t="s">
        <v>85</v>
      </c>
      <c r="H60" s="14" t="s">
        <v>86</v>
      </c>
      <c r="I60" s="14"/>
      <c r="J60" s="14" t="s">
        <v>55</v>
      </c>
      <c r="K60" s="11"/>
      <c r="L60" s="11"/>
      <c r="M60" s="11"/>
      <c r="N60" s="11"/>
    </row>
    <row r="61" spans="1:17" ht="18.899999999999999" customHeight="1" x14ac:dyDescent="0.25">
      <c r="A61" s="7"/>
      <c r="B61" s="30" t="s">
        <v>36</v>
      </c>
      <c r="C61" s="30" t="s">
        <v>37</v>
      </c>
      <c r="D61" s="30" t="s">
        <v>87</v>
      </c>
      <c r="E61" s="30" t="s">
        <v>39</v>
      </c>
      <c r="F61" s="30" t="s">
        <v>79</v>
      </c>
      <c r="G61" s="30" t="s">
        <v>41</v>
      </c>
      <c r="H61" s="30" t="s">
        <v>80</v>
      </c>
      <c r="I61" s="30"/>
      <c r="J61" s="30" t="s">
        <v>88</v>
      </c>
      <c r="K61" s="30"/>
      <c r="L61" s="30"/>
      <c r="M61" s="30"/>
      <c r="N61" s="30"/>
    </row>
    <row r="62" spans="1:17" ht="18.899999999999999" customHeight="1" x14ac:dyDescent="0.25">
      <c r="A62" s="7"/>
      <c r="B62" s="12"/>
      <c r="D62" s="13" t="s">
        <v>6</v>
      </c>
      <c r="E62" s="13"/>
      <c r="F62" s="13" t="s">
        <v>6</v>
      </c>
      <c r="G62" s="13" t="s">
        <v>6</v>
      </c>
      <c r="H62" s="13" t="s">
        <v>6</v>
      </c>
      <c r="I62" s="13"/>
      <c r="J62" s="13" t="s">
        <v>6</v>
      </c>
      <c r="K62" s="13"/>
      <c r="L62" s="13"/>
      <c r="M62" s="13"/>
      <c r="N62" s="13"/>
    </row>
    <row r="63" spans="1:17" ht="18.899999999999999" customHeight="1" x14ac:dyDescent="0.25">
      <c r="A63" s="10"/>
      <c r="B63" s="8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Q63" s="2"/>
    </row>
    <row r="64" spans="1:17" ht="18.899999999999999" customHeight="1" x14ac:dyDescent="0.25">
      <c r="A64" s="10">
        <v>1</v>
      </c>
      <c r="B64" s="8" t="s">
        <v>43</v>
      </c>
      <c r="C64" s="11"/>
      <c r="D64" s="9">
        <f>H16</f>
        <v>115658585.62437002</v>
      </c>
      <c r="E64" s="31">
        <f>D64/D$70</f>
        <v>2.46863283828977E-2</v>
      </c>
      <c r="F64" s="9">
        <f>F$70*$E64</f>
        <v>-25309248.483755823</v>
      </c>
      <c r="G64" s="9">
        <f>G$70*$E64</f>
        <v>-173514.98108602513</v>
      </c>
      <c r="H64" s="9">
        <f>H$70*$E64</f>
        <v>-760738.68459508184</v>
      </c>
      <c r="I64" s="9"/>
      <c r="J64" s="9">
        <f>SUM(F64:I64)</f>
        <v>-26243502.149436932</v>
      </c>
      <c r="K64" s="31"/>
      <c r="L64" s="31"/>
      <c r="M64" s="31"/>
      <c r="N64" s="9"/>
      <c r="P64" s="31"/>
      <c r="Q64" s="9"/>
    </row>
    <row r="65" spans="1:17" ht="18.899999999999999" customHeight="1" x14ac:dyDescent="0.25">
      <c r="A65" s="10"/>
      <c r="B65" s="8"/>
      <c r="C65" s="11"/>
      <c r="D65" s="9"/>
      <c r="E65" s="31"/>
      <c r="F65" s="9"/>
      <c r="G65" s="9"/>
      <c r="H65" s="9"/>
      <c r="I65" s="9"/>
      <c r="J65" s="9"/>
      <c r="K65" s="31"/>
      <c r="L65" s="32"/>
      <c r="M65" s="32"/>
      <c r="N65" s="9"/>
      <c r="P65" s="31"/>
      <c r="Q65" s="9"/>
    </row>
    <row r="66" spans="1:17" ht="18.899999999999999" customHeight="1" x14ac:dyDescent="0.25">
      <c r="A66" s="10">
        <v>2</v>
      </c>
      <c r="B66" s="8" t="s">
        <v>45</v>
      </c>
      <c r="C66" s="11"/>
      <c r="D66" s="9">
        <f>H18</f>
        <v>2073368156.7552264</v>
      </c>
      <c r="E66" s="31">
        <f>D66/D$70</f>
        <v>0.44254256525784508</v>
      </c>
      <c r="F66" s="9">
        <f>F$70*$E66</f>
        <v>-453709420.65686053</v>
      </c>
      <c r="G66" s="9">
        <f>G$70*$E66</f>
        <v>-3110538.0941814492</v>
      </c>
      <c r="H66" s="9">
        <f>H$70*$E66</f>
        <v>-13637477.544243414</v>
      </c>
      <c r="I66" s="9"/>
      <c r="J66" s="9">
        <f>SUM(F66:I66)</f>
        <v>-470457436.2952854</v>
      </c>
      <c r="K66" s="31"/>
      <c r="L66" s="33"/>
      <c r="M66" s="31"/>
      <c r="P66" s="31"/>
      <c r="Q66" s="9"/>
    </row>
    <row r="67" spans="1:17" ht="18.899999999999999" customHeight="1" x14ac:dyDescent="0.25">
      <c r="A67" s="10"/>
      <c r="B67" s="8"/>
      <c r="C67" s="11"/>
      <c r="D67" s="34"/>
      <c r="E67" s="35"/>
      <c r="F67" s="34"/>
      <c r="G67" s="34"/>
      <c r="H67" s="34"/>
      <c r="I67" s="34"/>
      <c r="J67" s="34"/>
      <c r="K67" s="35"/>
      <c r="L67" s="36"/>
      <c r="M67" s="35"/>
      <c r="N67" s="34"/>
      <c r="P67" s="35"/>
      <c r="Q67" s="34"/>
    </row>
    <row r="68" spans="1:17" ht="18.899999999999999" customHeight="1" x14ac:dyDescent="0.25">
      <c r="A68" s="10">
        <v>3</v>
      </c>
      <c r="B68" s="8" t="s">
        <v>47</v>
      </c>
      <c r="C68" s="11"/>
      <c r="D68" s="15">
        <f>H20</f>
        <v>2496100338.1017795</v>
      </c>
      <c r="E68" s="37">
        <f>D68/D$70</f>
        <v>0.53277110635925728</v>
      </c>
      <c r="F68" s="15">
        <f>F$70*$E68</f>
        <v>-546214735.00099242</v>
      </c>
      <c r="G68" s="15">
        <f>G$70*$E68</f>
        <v>-3744735.4263970172</v>
      </c>
      <c r="H68" s="15">
        <f>H$70*$E68</f>
        <v>-16417977.771161506</v>
      </c>
      <c r="I68" s="15"/>
      <c r="J68" s="15">
        <f>SUM(F68:I68)</f>
        <v>-566377448.19855094</v>
      </c>
      <c r="K68" s="31"/>
      <c r="L68" s="31"/>
      <c r="M68" s="31"/>
      <c r="N68" s="9"/>
      <c r="P68" s="31"/>
      <c r="Q68" s="9"/>
    </row>
    <row r="69" spans="1:17" ht="18.899999999999999" customHeight="1" x14ac:dyDescent="0.25">
      <c r="A69" s="10"/>
      <c r="B69" s="8"/>
      <c r="C69" s="11"/>
      <c r="D69" s="9"/>
      <c r="E69" s="32"/>
      <c r="F69" s="9"/>
      <c r="G69" s="9"/>
      <c r="H69" s="9"/>
      <c r="I69" s="9"/>
      <c r="J69" s="9"/>
      <c r="K69" s="32"/>
      <c r="L69" s="32"/>
      <c r="M69" s="31"/>
      <c r="N69" s="9"/>
      <c r="P69" s="32"/>
      <c r="Q69" s="9"/>
    </row>
    <row r="70" spans="1:17" ht="18.899999999999999" customHeight="1" thickBot="1" x14ac:dyDescent="0.3">
      <c r="A70" s="10">
        <v>4</v>
      </c>
      <c r="B70" s="8" t="s">
        <v>48</v>
      </c>
      <c r="C70" s="30"/>
      <c r="D70" s="16">
        <f>SUM(D64:D68)</f>
        <v>4685127080.4813757</v>
      </c>
      <c r="E70" s="38">
        <f>SUM(E64:E68)</f>
        <v>1</v>
      </c>
      <c r="F70" s="16">
        <v>-1025233404.1416087</v>
      </c>
      <c r="G70" s="16">
        <v>-7028788.5016644914</v>
      </c>
      <c r="H70" s="16">
        <f>H74+H73</f>
        <v>-30816194</v>
      </c>
      <c r="I70" s="16"/>
      <c r="J70" s="16">
        <f>SUM(J64:J68)</f>
        <v>-1063078386.6432734</v>
      </c>
      <c r="K70" s="31"/>
      <c r="L70" s="32"/>
      <c r="M70" s="31"/>
      <c r="N70" s="9"/>
      <c r="P70" s="31"/>
      <c r="Q70" s="9"/>
    </row>
    <row r="71" spans="1:17" ht="18.899999999999999" customHeight="1" thickTop="1" x14ac:dyDescent="0.25">
      <c r="A71" s="10"/>
      <c r="B71" s="8"/>
      <c r="C71" s="11"/>
      <c r="D71" s="21"/>
      <c r="E71" s="21"/>
      <c r="F71" s="21"/>
      <c r="G71" s="21"/>
      <c r="H71" s="9"/>
      <c r="I71" s="9"/>
      <c r="J71" s="9"/>
      <c r="K71" s="21"/>
      <c r="L71" s="21"/>
      <c r="M71" s="21"/>
      <c r="N71" s="21"/>
      <c r="Q71" s="39"/>
    </row>
    <row r="72" spans="1:17" ht="18.899999999999999" customHeight="1" x14ac:dyDescent="0.25"/>
    <row r="73" spans="1:17" ht="18.899999999999999" customHeight="1" x14ac:dyDescent="0.25">
      <c r="H73" s="46">
        <f>-(26241000-733698-1834000)</f>
        <v>-23673302</v>
      </c>
      <c r="I73" s="2" t="s">
        <v>89</v>
      </c>
    </row>
    <row r="74" spans="1:17" ht="18.899999999999999" customHeight="1" x14ac:dyDescent="0.25">
      <c r="H74" s="46">
        <v>-7142892</v>
      </c>
      <c r="I74" s="2" t="s">
        <v>90</v>
      </c>
    </row>
    <row r="75" spans="1:17" ht="18.899999999999999" customHeight="1" x14ac:dyDescent="0.25"/>
    <row r="76" spans="1:17" ht="18.899999999999999" customHeight="1" x14ac:dyDescent="0.25"/>
    <row r="77" spans="1:17" ht="18.899999999999999" customHeight="1" x14ac:dyDescent="0.25"/>
    <row r="78" spans="1:17" ht="18.899999999999999" customHeight="1" x14ac:dyDescent="0.25"/>
    <row r="79" spans="1:17" ht="18.899999999999999" customHeight="1" x14ac:dyDescent="0.25"/>
    <row r="80" spans="1:17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  <row r="192" ht="18.899999999999999" customHeight="1" x14ac:dyDescent="0.25"/>
    <row r="193" ht="18.899999999999999" customHeight="1" x14ac:dyDescent="0.25"/>
    <row r="194" ht="18.899999999999999" customHeight="1" x14ac:dyDescent="0.25"/>
    <row r="195" ht="18.899999999999999" customHeight="1" x14ac:dyDescent="0.25"/>
  </sheetData>
  <mergeCells count="15">
    <mergeCell ref="A51:J51"/>
    <mergeCell ref="A52:J52"/>
    <mergeCell ref="A53:J53"/>
    <mergeCell ref="A26:J26"/>
    <mergeCell ref="A27:J27"/>
    <mergeCell ref="A28:J28"/>
    <mergeCell ref="A29:J29"/>
    <mergeCell ref="A49:J49"/>
    <mergeCell ref="A50:J50"/>
    <mergeCell ref="A25:J25"/>
    <mergeCell ref="A1:M1"/>
    <mergeCell ref="A2:M2"/>
    <mergeCell ref="A3:M3"/>
    <mergeCell ref="A4:M4"/>
    <mergeCell ref="A5:M5"/>
  </mergeCells>
  <pageMargins left="0.95" right="0.5" top="0.75" bottom="0.75" header="0.3" footer="0.3"/>
  <pageSetup scale="53" fitToHeight="0" orientation="landscape" r:id="rId1"/>
  <rowBreaks count="2" manualBreakCount="2">
    <brk id="24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"/>
  <sheetViews>
    <sheetView zoomScaleNormal="100" workbookViewId="0">
      <selection activeCell="C15" sqref="C15"/>
    </sheetView>
  </sheetViews>
  <sheetFormatPr defaultColWidth="9.109375" defaultRowHeight="13.2" x14ac:dyDescent="0.25"/>
  <cols>
    <col min="1" max="1" width="10.88671875" style="145" customWidth="1"/>
    <col min="2" max="2" width="73.109375" style="145" bestFit="1" customWidth="1"/>
    <col min="3" max="6" width="22.88671875" style="145" customWidth="1"/>
    <col min="7" max="16384" width="9.109375" style="145"/>
  </cols>
  <sheetData>
    <row r="2" spans="1:6" x14ac:dyDescent="0.25">
      <c r="A2" s="6"/>
      <c r="B2" s="6"/>
      <c r="C2" s="6"/>
      <c r="D2" s="6"/>
      <c r="E2" s="6"/>
      <c r="F2" s="6"/>
    </row>
    <row r="3" spans="1:6" x14ac:dyDescent="0.25">
      <c r="A3" s="162" t="s">
        <v>0</v>
      </c>
      <c r="B3" s="162"/>
      <c r="C3" s="162"/>
      <c r="D3" s="162"/>
      <c r="E3" s="162"/>
      <c r="F3" s="162"/>
    </row>
    <row r="4" spans="1:6" x14ac:dyDescent="0.25">
      <c r="A4" s="162" t="s">
        <v>221</v>
      </c>
      <c r="B4" s="162"/>
      <c r="C4" s="162"/>
      <c r="D4" s="162"/>
      <c r="E4" s="162"/>
      <c r="F4" s="162"/>
    </row>
    <row r="5" spans="1:6" x14ac:dyDescent="0.25">
      <c r="A5" s="163" t="s">
        <v>234</v>
      </c>
      <c r="B5" s="163"/>
      <c r="C5" s="163"/>
      <c r="D5" s="163"/>
      <c r="E5" s="163"/>
      <c r="F5" s="163"/>
    </row>
    <row r="6" spans="1:6" x14ac:dyDescent="0.25">
      <c r="A6" s="7"/>
      <c r="B6" s="12"/>
      <c r="C6" s="12"/>
      <c r="D6" s="12"/>
      <c r="E6" s="12"/>
      <c r="F6" s="12"/>
    </row>
    <row r="7" spans="1:6" x14ac:dyDescent="0.25">
      <c r="A7" s="7" t="s">
        <v>5</v>
      </c>
      <c r="B7" s="8"/>
      <c r="C7" s="11" t="s">
        <v>235</v>
      </c>
      <c r="D7" s="146" t="s">
        <v>43</v>
      </c>
      <c r="E7" s="146" t="s">
        <v>45</v>
      </c>
      <c r="F7" s="146" t="s">
        <v>236</v>
      </c>
    </row>
    <row r="8" spans="1:6" x14ac:dyDescent="0.25">
      <c r="A8" s="7"/>
      <c r="B8" s="8"/>
      <c r="C8" s="11"/>
      <c r="D8" s="146"/>
      <c r="E8" s="146"/>
      <c r="F8" s="146"/>
    </row>
    <row r="9" spans="1:6" x14ac:dyDescent="0.25">
      <c r="A9" s="10">
        <v>1</v>
      </c>
      <c r="B9" s="8" t="s">
        <v>237</v>
      </c>
      <c r="C9" s="9">
        <v>5233650695.61199</v>
      </c>
      <c r="D9" s="9">
        <v>129187210.62411569</v>
      </c>
      <c r="E9" s="9">
        <v>2315890751.4050875</v>
      </c>
      <c r="F9" s="9">
        <v>2788572733.5827875</v>
      </c>
    </row>
    <row r="10" spans="1:6" x14ac:dyDescent="0.25">
      <c r="A10" s="147"/>
      <c r="C10" s="9"/>
      <c r="D10" s="9"/>
      <c r="E10" s="9"/>
      <c r="F10" s="9"/>
    </row>
    <row r="11" spans="1:6" x14ac:dyDescent="0.25">
      <c r="A11" s="147">
        <v>2</v>
      </c>
      <c r="B11" s="8" t="s">
        <v>238</v>
      </c>
      <c r="C11" s="9">
        <f>11868792*6/13</f>
        <v>5477904</v>
      </c>
      <c r="D11" s="9">
        <f>$C$11*(D9/$C$9)</f>
        <v>135216.34877543824</v>
      </c>
      <c r="E11" s="9">
        <f t="shared" ref="E11:F11" si="0">$C$11*(E9/$C$9)</f>
        <v>2423972.8534656223</v>
      </c>
      <c r="F11" s="9">
        <f t="shared" si="0"/>
        <v>2918714.7977589401</v>
      </c>
    </row>
    <row r="12" spans="1:6" x14ac:dyDescent="0.25">
      <c r="A12" s="147"/>
      <c r="B12" s="8"/>
      <c r="C12" s="9"/>
      <c r="D12" s="9"/>
      <c r="E12" s="9"/>
      <c r="F12" s="9"/>
    </row>
    <row r="13" spans="1:6" x14ac:dyDescent="0.25">
      <c r="A13" s="147">
        <v>3</v>
      </c>
      <c r="B13" s="8" t="s">
        <v>239</v>
      </c>
      <c r="C13" s="9">
        <f>46000000*6/13</f>
        <v>21230769.230769232</v>
      </c>
      <c r="D13" s="9">
        <f>$C$13*(D9/$C$9)</f>
        <v>524059.40247922111</v>
      </c>
      <c r="E13" s="9">
        <f t="shared" ref="E13:F13" si="1">$C$13*(E9/$C$9)</f>
        <v>9394616.6770315487</v>
      </c>
      <c r="F13" s="9">
        <f t="shared" si="1"/>
        <v>11312093.151258465</v>
      </c>
    </row>
    <row r="14" spans="1:6" x14ac:dyDescent="0.25">
      <c r="A14" s="147"/>
      <c r="B14" s="8"/>
      <c r="C14" s="9"/>
      <c r="D14" s="9"/>
      <c r="E14" s="9"/>
      <c r="F14" s="9"/>
    </row>
    <row r="15" spans="1:6" x14ac:dyDescent="0.25">
      <c r="A15" s="147">
        <v>4</v>
      </c>
      <c r="B15" s="148" t="s">
        <v>240</v>
      </c>
      <c r="C15" s="149">
        <f>C9-C11+C13</f>
        <v>5249403560.8427591</v>
      </c>
      <c r="D15" s="149">
        <f t="shared" ref="D15:F15" si="2">D9-D11+D13</f>
        <v>129576053.67781948</v>
      </c>
      <c r="E15" s="149">
        <f t="shared" si="2"/>
        <v>2322861395.2286534</v>
      </c>
      <c r="F15" s="149">
        <f t="shared" si="2"/>
        <v>2796966111.9362869</v>
      </c>
    </row>
    <row r="16" spans="1:6" x14ac:dyDescent="0.25">
      <c r="A16" s="147"/>
      <c r="B16" s="148"/>
      <c r="C16" s="148"/>
      <c r="D16" s="148"/>
      <c r="E16" s="148"/>
      <c r="F16" s="148"/>
    </row>
    <row r="17" spans="1:6" ht="13.8" thickBot="1" x14ac:dyDescent="0.3">
      <c r="A17" s="147">
        <v>5</v>
      </c>
      <c r="B17" s="148" t="s">
        <v>241</v>
      </c>
      <c r="C17" s="150">
        <f>C15-C9</f>
        <v>15752865.230769157</v>
      </c>
      <c r="D17" s="150">
        <f t="shared" ref="D17:F17" si="3">D15-D9</f>
        <v>388843.05370378494</v>
      </c>
      <c r="E17" s="150">
        <f t="shared" si="3"/>
        <v>6970643.8235659599</v>
      </c>
      <c r="F17" s="150">
        <f t="shared" si="3"/>
        <v>8393378.3534994125</v>
      </c>
    </row>
    <row r="18" spans="1:6" ht="13.8" thickTop="1" x14ac:dyDescent="0.25"/>
    <row r="19" spans="1:6" x14ac:dyDescent="0.25">
      <c r="C19" s="151"/>
    </row>
  </sheetData>
  <mergeCells count="3">
    <mergeCell ref="A3:F3"/>
    <mergeCell ref="A4:F4"/>
    <mergeCell ref="A5:F5"/>
  </mergeCells>
  <pageMargins left="0.7" right="0.7" top="0.75" bottom="0.75" header="0.3" footer="0.3"/>
  <pageSetup scale="69" orientation="landscape" r:id="rId1"/>
  <headerFooter>
    <oddFooter xml:space="preserve">&amp;R&amp;"Times New Roman,Bold"&amp;12Attachment to PSC Post Hearing Data Request
Question 6(d)(2)
Page &amp;P of &amp;N
Arbough&amp;"-,Regular"&amp;11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zoomScaleNormal="100" workbookViewId="0">
      <selection activeCell="A4" sqref="A4:E4"/>
    </sheetView>
  </sheetViews>
  <sheetFormatPr defaultColWidth="9.109375" defaultRowHeight="13.2" x14ac:dyDescent="0.25"/>
  <cols>
    <col min="1" max="1" width="6.88671875" style="6" customWidth="1"/>
    <col min="2" max="2" width="59.44140625" style="6" customWidth="1"/>
    <col min="3" max="3" width="14.44140625" style="6" customWidth="1"/>
    <col min="4" max="4" width="18.88671875" style="6" customWidth="1"/>
    <col min="5" max="5" width="15.6640625" style="6" customWidth="1"/>
    <col min="6" max="6" width="1.88671875" style="6" customWidth="1"/>
    <col min="7" max="7" width="9.109375" style="6" customWidth="1"/>
    <col min="8" max="16384" width="9.109375" style="6"/>
  </cols>
  <sheetData>
    <row r="1" spans="1:5" s="2" customFormat="1" ht="20.100000000000001" customHeight="1" x14ac:dyDescent="0.25">
      <c r="A1" s="138"/>
      <c r="B1" s="138"/>
      <c r="C1" s="138"/>
      <c r="D1" s="138"/>
      <c r="E1" s="144" t="s">
        <v>232</v>
      </c>
    </row>
    <row r="2" spans="1:5" s="2" customFormat="1" ht="20.100000000000001" customHeight="1" x14ac:dyDescent="0.25">
      <c r="A2" s="138"/>
      <c r="B2" s="138"/>
      <c r="C2" s="138"/>
      <c r="D2" s="138"/>
      <c r="E2" s="144" t="s">
        <v>233</v>
      </c>
    </row>
    <row r="3" spans="1:5" s="2" customFormat="1" ht="20.100000000000001" customHeight="1" x14ac:dyDescent="0.25">
      <c r="A3" s="138"/>
      <c r="B3" s="138"/>
      <c r="C3" s="138"/>
      <c r="D3" s="138"/>
      <c r="E3" s="4"/>
    </row>
    <row r="4" spans="1:5" s="2" customFormat="1" ht="20.100000000000001" customHeight="1" x14ac:dyDescent="0.25">
      <c r="A4" s="162" t="s">
        <v>0</v>
      </c>
      <c r="B4" s="163"/>
      <c r="C4" s="163"/>
      <c r="D4" s="163"/>
      <c r="E4" s="163"/>
    </row>
    <row r="5" spans="1:5" s="2" customFormat="1" ht="20.100000000000001" customHeight="1" x14ac:dyDescent="0.25">
      <c r="A5" s="162" t="s">
        <v>221</v>
      </c>
      <c r="B5" s="163"/>
      <c r="C5" s="163"/>
      <c r="D5" s="163"/>
      <c r="E5" s="163"/>
    </row>
    <row r="6" spans="1:5" s="2" customFormat="1" ht="20.100000000000001" customHeight="1" x14ac:dyDescent="0.25">
      <c r="A6" s="163" t="s">
        <v>224</v>
      </c>
      <c r="B6" s="163"/>
      <c r="C6" s="163"/>
      <c r="D6" s="163"/>
      <c r="E6" s="163"/>
    </row>
    <row r="7" spans="1:5" s="2" customFormat="1" ht="20.100000000000001" customHeight="1" x14ac:dyDescent="0.25">
      <c r="A7" s="162" t="s">
        <v>225</v>
      </c>
      <c r="B7" s="163"/>
      <c r="C7" s="163"/>
      <c r="D7" s="163"/>
      <c r="E7" s="163"/>
    </row>
    <row r="8" spans="1:5" s="2" customFormat="1" ht="20.100000000000001" customHeight="1" x14ac:dyDescent="0.25">
      <c r="A8" s="138"/>
      <c r="B8" s="138"/>
      <c r="C8" s="138"/>
      <c r="D8" s="138"/>
      <c r="E8" s="138"/>
    </row>
    <row r="9" spans="1:5" s="2" customFormat="1" ht="18.75" customHeight="1" x14ac:dyDescent="0.25"/>
    <row r="10" spans="1:5" s="2" customFormat="1" ht="7.5" customHeight="1" x14ac:dyDescent="0.25">
      <c r="A10" s="22"/>
      <c r="B10" s="22"/>
      <c r="C10" s="22"/>
      <c r="D10" s="22"/>
      <c r="E10" s="22"/>
    </row>
    <row r="11" spans="1:5" ht="24" customHeight="1" x14ac:dyDescent="0.25">
      <c r="A11" s="23" t="s">
        <v>5</v>
      </c>
      <c r="B11" s="23" t="s">
        <v>2</v>
      </c>
      <c r="C11" s="23"/>
      <c r="D11" s="23" t="s">
        <v>3</v>
      </c>
      <c r="E11" s="23" t="s">
        <v>14</v>
      </c>
    </row>
    <row r="12" spans="1:5" ht="18.899999999999999" customHeight="1" x14ac:dyDescent="0.25">
      <c r="A12" s="7"/>
      <c r="B12" s="12"/>
      <c r="C12" s="13"/>
      <c r="D12" s="13"/>
      <c r="E12" s="13"/>
    </row>
    <row r="13" spans="1:5" ht="18.899999999999999" customHeight="1" x14ac:dyDescent="0.25">
      <c r="A13" s="7">
        <v>1</v>
      </c>
      <c r="B13" s="8" t="s">
        <v>15</v>
      </c>
      <c r="C13" s="9"/>
      <c r="D13" s="139">
        <v>1</v>
      </c>
      <c r="E13" s="139">
        <v>1</v>
      </c>
    </row>
    <row r="14" spans="1:5" ht="18.899999999999999" customHeight="1" x14ac:dyDescent="0.25">
      <c r="A14" s="10"/>
      <c r="B14" s="8"/>
      <c r="C14" s="9"/>
      <c r="D14" s="139"/>
      <c r="E14" s="139"/>
    </row>
    <row r="15" spans="1:5" ht="18.899999999999999" customHeight="1" x14ac:dyDescent="0.25">
      <c r="A15" s="10">
        <v>2</v>
      </c>
      <c r="B15" s="8" t="s">
        <v>16</v>
      </c>
      <c r="C15" s="139"/>
      <c r="D15" s="139">
        <v>3.2000000000000002E-3</v>
      </c>
      <c r="E15" s="139">
        <f>D15</f>
        <v>3.2000000000000002E-3</v>
      </c>
    </row>
    <row r="16" spans="1:5" ht="18.899999999999999" customHeight="1" x14ac:dyDescent="0.25">
      <c r="A16" s="10"/>
      <c r="B16" s="8"/>
      <c r="C16" s="9"/>
      <c r="D16" s="139"/>
      <c r="E16" s="139"/>
    </row>
    <row r="17" spans="1:5" ht="18.899999999999999" customHeight="1" x14ac:dyDescent="0.25">
      <c r="A17" s="10">
        <v>3</v>
      </c>
      <c r="B17" s="8" t="s">
        <v>17</v>
      </c>
      <c r="D17" s="140">
        <v>1.941E-3</v>
      </c>
      <c r="E17" s="140">
        <f>D17</f>
        <v>1.941E-3</v>
      </c>
    </row>
    <row r="18" spans="1:5" ht="18.899999999999999" customHeight="1" x14ac:dyDescent="0.25">
      <c r="A18" s="10"/>
      <c r="B18" s="18"/>
      <c r="C18" s="9"/>
      <c r="D18" s="139"/>
      <c r="E18" s="139"/>
    </row>
    <row r="19" spans="1:5" ht="18.899999999999999" customHeight="1" x14ac:dyDescent="0.25">
      <c r="A19" s="10">
        <v>4</v>
      </c>
      <c r="B19" s="8" t="s">
        <v>226</v>
      </c>
      <c r="C19" s="9"/>
      <c r="D19" s="139">
        <f>D13-D15-D17</f>
        <v>0.99485900000000005</v>
      </c>
      <c r="E19" s="139">
        <f>E13-E15-E17</f>
        <v>0.99485900000000005</v>
      </c>
    </row>
    <row r="20" spans="1:5" ht="18.899999999999999" customHeight="1" x14ac:dyDescent="0.25">
      <c r="A20" s="10"/>
      <c r="B20" s="47"/>
      <c r="C20" s="9"/>
      <c r="D20" s="139"/>
      <c r="E20" s="139"/>
    </row>
    <row r="21" spans="1:5" ht="18.899999999999999" customHeight="1" x14ac:dyDescent="0.25">
      <c r="A21" s="10">
        <v>5</v>
      </c>
      <c r="B21" s="47" t="s">
        <v>227</v>
      </c>
      <c r="C21" s="31">
        <v>0.06</v>
      </c>
      <c r="D21" s="139">
        <f>D19*C21</f>
        <v>5.9691540000000001E-2</v>
      </c>
      <c r="E21" s="140">
        <f>D21</f>
        <v>5.9691540000000001E-2</v>
      </c>
    </row>
    <row r="22" spans="1:5" ht="18.899999999999999" customHeight="1" x14ac:dyDescent="0.25">
      <c r="A22" s="10"/>
      <c r="B22" s="47"/>
      <c r="C22" s="9"/>
      <c r="D22" s="139"/>
      <c r="E22" s="139"/>
    </row>
    <row r="23" spans="1:5" ht="18.899999999999999" customHeight="1" x14ac:dyDescent="0.25">
      <c r="A23" s="10">
        <v>6</v>
      </c>
      <c r="B23" s="8" t="s">
        <v>228</v>
      </c>
      <c r="D23" s="139"/>
      <c r="E23" s="139">
        <f>E19-E21</f>
        <v>0.93516746000000006</v>
      </c>
    </row>
    <row r="24" spans="1:5" ht="18.899999999999999" customHeight="1" x14ac:dyDescent="0.25">
      <c r="A24" s="10"/>
      <c r="B24" s="48"/>
      <c r="C24" s="9"/>
      <c r="D24" s="139"/>
      <c r="E24" s="139"/>
    </row>
    <row r="25" spans="1:5" ht="18.899999999999999" customHeight="1" x14ac:dyDescent="0.25">
      <c r="A25" s="10">
        <v>7</v>
      </c>
      <c r="B25" s="47" t="s">
        <v>229</v>
      </c>
      <c r="C25" s="31">
        <v>0.21</v>
      </c>
      <c r="D25" s="141"/>
      <c r="E25" s="140">
        <f>E23*C25</f>
        <v>0.19638516659999999</v>
      </c>
    </row>
    <row r="26" spans="1:5" ht="18.899999999999999" customHeight="1" x14ac:dyDescent="0.25">
      <c r="A26" s="10"/>
      <c r="B26" s="48"/>
      <c r="C26" s="9"/>
      <c r="D26" s="139"/>
      <c r="E26" s="139"/>
    </row>
    <row r="27" spans="1:5" ht="18.899999999999999" customHeight="1" thickBot="1" x14ac:dyDescent="0.3">
      <c r="A27" s="10">
        <v>8</v>
      </c>
      <c r="B27" s="47" t="s">
        <v>230</v>
      </c>
      <c r="E27" s="142">
        <f>E21+E25</f>
        <v>0.25607670659999998</v>
      </c>
    </row>
    <row r="28" spans="1:5" ht="18.899999999999999" customHeight="1" thickTop="1" x14ac:dyDescent="0.25"/>
    <row r="29" spans="1:5" ht="18.899999999999999" customHeight="1" x14ac:dyDescent="0.25">
      <c r="E29" s="143"/>
    </row>
    <row r="30" spans="1:5" ht="18.899999999999999" customHeight="1" x14ac:dyDescent="0.25">
      <c r="E30" s="143"/>
    </row>
    <row r="31" spans="1:5" ht="18.899999999999999" customHeight="1" x14ac:dyDescent="0.25">
      <c r="E31" s="139"/>
    </row>
    <row r="32" spans="1:5" ht="18.899999999999999" customHeight="1" x14ac:dyDescent="0.25">
      <c r="E32" s="139"/>
    </row>
    <row r="33" spans="5:5" ht="18.899999999999999" customHeight="1" x14ac:dyDescent="0.25">
      <c r="E33" s="139"/>
    </row>
    <row r="34" spans="5:5" ht="18.899999999999999" customHeight="1" x14ac:dyDescent="0.25">
      <c r="E34" s="139"/>
    </row>
    <row r="35" spans="5:5" ht="18.899999999999999" customHeight="1" x14ac:dyDescent="0.25"/>
    <row r="36" spans="5:5" ht="18.899999999999999" customHeight="1" x14ac:dyDescent="0.25"/>
    <row r="37" spans="5:5" ht="18.899999999999999" customHeight="1" x14ac:dyDescent="0.25"/>
    <row r="38" spans="5:5" ht="18.899999999999999" customHeight="1" x14ac:dyDescent="0.25"/>
    <row r="39" spans="5:5" ht="18.899999999999999" customHeight="1" x14ac:dyDescent="0.25"/>
    <row r="40" spans="5:5" ht="18.899999999999999" customHeight="1" x14ac:dyDescent="0.25"/>
    <row r="41" spans="5:5" ht="18.899999999999999" customHeight="1" x14ac:dyDescent="0.25"/>
    <row r="42" spans="5:5" ht="18.899999999999999" customHeight="1" x14ac:dyDescent="0.25"/>
    <row r="43" spans="5:5" ht="18.899999999999999" customHeight="1" x14ac:dyDescent="0.25"/>
    <row r="44" spans="5:5" ht="18.899999999999999" customHeight="1" x14ac:dyDescent="0.25"/>
    <row r="45" spans="5:5" ht="18.899999999999999" customHeight="1" x14ac:dyDescent="0.25"/>
    <row r="46" spans="5:5" ht="18.899999999999999" customHeight="1" x14ac:dyDescent="0.25"/>
    <row r="47" spans="5:5" ht="18.899999999999999" customHeight="1" x14ac:dyDescent="0.25"/>
    <row r="48" spans="5:5" ht="18.899999999999999" customHeight="1" x14ac:dyDescent="0.25"/>
    <row r="49" ht="18.899999999999999" customHeight="1" x14ac:dyDescent="0.25"/>
    <row r="50" ht="18.899999999999999" customHeight="1" x14ac:dyDescent="0.25"/>
    <row r="51" ht="18.899999999999999" customHeight="1" x14ac:dyDescent="0.25"/>
    <row r="52" ht="18.899999999999999" customHeight="1" x14ac:dyDescent="0.25"/>
    <row r="53" ht="18.899999999999999" customHeight="1" x14ac:dyDescent="0.25"/>
    <row r="54" ht="18.899999999999999" customHeight="1" x14ac:dyDescent="0.25"/>
    <row r="55" ht="18.899999999999999" customHeight="1" x14ac:dyDescent="0.25"/>
    <row r="56" ht="18.899999999999999" customHeight="1" x14ac:dyDescent="0.25"/>
    <row r="57" ht="18.899999999999999" customHeight="1" x14ac:dyDescent="0.25"/>
    <row r="58" ht="18.899999999999999" customHeight="1" x14ac:dyDescent="0.25"/>
    <row r="59" ht="18.899999999999999" customHeight="1" x14ac:dyDescent="0.25"/>
    <row r="60" ht="18.899999999999999" customHeight="1" x14ac:dyDescent="0.25"/>
    <row r="61" ht="18.899999999999999" customHeight="1" x14ac:dyDescent="0.25"/>
    <row r="62" ht="18.899999999999999" customHeight="1" x14ac:dyDescent="0.25"/>
    <row r="63" ht="18.899999999999999" customHeight="1" x14ac:dyDescent="0.25"/>
    <row r="64" ht="18.899999999999999" customHeight="1" x14ac:dyDescent="0.25"/>
    <row r="65" ht="18.899999999999999" customHeight="1" x14ac:dyDescent="0.25"/>
    <row r="66" ht="18.899999999999999" customHeight="1" x14ac:dyDescent="0.25"/>
    <row r="67" ht="18.899999999999999" customHeight="1" x14ac:dyDescent="0.25"/>
    <row r="68" ht="18.899999999999999" customHeight="1" x14ac:dyDescent="0.25"/>
    <row r="69" ht="18.899999999999999" customHeight="1" x14ac:dyDescent="0.25"/>
    <row r="70" ht="18.899999999999999" customHeight="1" x14ac:dyDescent="0.25"/>
    <row r="71" ht="18.899999999999999" customHeight="1" x14ac:dyDescent="0.25"/>
    <row r="72" ht="18.899999999999999" customHeight="1" x14ac:dyDescent="0.25"/>
    <row r="73" ht="18.899999999999999" customHeight="1" x14ac:dyDescent="0.25"/>
    <row r="74" ht="18.899999999999999" customHeight="1" x14ac:dyDescent="0.25"/>
    <row r="75" ht="18.899999999999999" customHeight="1" x14ac:dyDescent="0.25"/>
    <row r="76" ht="18.899999999999999" customHeight="1" x14ac:dyDescent="0.25"/>
    <row r="77" ht="18.899999999999999" customHeight="1" x14ac:dyDescent="0.25"/>
    <row r="78" ht="18.899999999999999" customHeight="1" x14ac:dyDescent="0.25"/>
    <row r="79" ht="18.899999999999999" customHeight="1" x14ac:dyDescent="0.25"/>
    <row r="80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  <row r="192" ht="18.899999999999999" customHeight="1" x14ac:dyDescent="0.25"/>
  </sheetData>
  <mergeCells count="4">
    <mergeCell ref="A4:E4"/>
    <mergeCell ref="A5:E5"/>
    <mergeCell ref="A6:E6"/>
    <mergeCell ref="A7:E7"/>
  </mergeCells>
  <pageMargins left="0.95" right="0.5" top="0.75" bottom="0.75" header="0.3" footer="0.3"/>
  <pageSetup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24" sqref="G24"/>
    </sheetView>
  </sheetViews>
  <sheetFormatPr defaultColWidth="9.109375" defaultRowHeight="14.4" outlineLevelRow="1" x14ac:dyDescent="0.3"/>
  <cols>
    <col min="1" max="1" width="48.6640625" style="114" customWidth="1"/>
    <col min="2" max="2" width="15.6640625" style="114" customWidth="1"/>
    <col min="3" max="3" width="2.6640625" style="114" customWidth="1"/>
    <col min="4" max="5" width="13.6640625" style="114" customWidth="1"/>
    <col min="6" max="6" width="2.6640625" style="114" customWidth="1"/>
    <col min="7" max="7" width="15.6640625" style="114" customWidth="1"/>
    <col min="8" max="8" width="13.6640625" style="114" customWidth="1"/>
    <col min="9" max="9" width="3.5546875" style="114" customWidth="1"/>
    <col min="10" max="10" width="15.33203125" style="114" bestFit="1" customWidth="1"/>
    <col min="11" max="11" width="10.109375" style="114" bestFit="1" customWidth="1"/>
    <col min="12" max="16384" width="9.109375" style="114"/>
  </cols>
  <sheetData>
    <row r="1" spans="1:11" s="102" customFormat="1" ht="18" x14ac:dyDescent="0.35">
      <c r="B1" s="164" t="s">
        <v>95</v>
      </c>
      <c r="C1" s="164"/>
      <c r="D1" s="164"/>
      <c r="E1" s="164"/>
      <c r="F1" s="164"/>
      <c r="G1" s="164"/>
      <c r="H1" s="164"/>
    </row>
    <row r="2" spans="1:11" s="103" customFormat="1" ht="39" customHeight="1" x14ac:dyDescent="0.5">
      <c r="D2" s="165" t="s">
        <v>183</v>
      </c>
      <c r="E2" s="165"/>
      <c r="F2" s="104"/>
      <c r="H2" s="128"/>
    </row>
    <row r="3" spans="1:11" s="105" customFormat="1" ht="48.6" x14ac:dyDescent="0.45">
      <c r="B3" s="106" t="s">
        <v>184</v>
      </c>
      <c r="C3" s="107"/>
      <c r="D3" s="108" t="s">
        <v>185</v>
      </c>
      <c r="E3" s="106" t="s">
        <v>186</v>
      </c>
      <c r="F3" s="107"/>
      <c r="G3" s="106" t="s">
        <v>219</v>
      </c>
      <c r="H3" s="108" t="s">
        <v>215</v>
      </c>
    </row>
    <row r="4" spans="1:11" s="105" customFormat="1" ht="16.2" x14ac:dyDescent="0.45">
      <c r="A4" s="109" t="s">
        <v>187</v>
      </c>
      <c r="B4" s="106"/>
      <c r="C4" s="107"/>
      <c r="D4" s="106"/>
      <c r="E4" s="106"/>
      <c r="F4" s="107"/>
      <c r="G4" s="106"/>
      <c r="H4" s="106"/>
    </row>
    <row r="5" spans="1:11" x14ac:dyDescent="0.3">
      <c r="A5" s="110" t="s">
        <v>188</v>
      </c>
      <c r="B5" s="111">
        <v>622779410.78847742</v>
      </c>
      <c r="C5" s="112"/>
      <c r="D5" s="111">
        <v>20421226</v>
      </c>
      <c r="E5" s="113">
        <f t="shared" ref="E5:E25" si="0">IF(B5=0,0,D5/B5)</f>
        <v>3.2790464241817918E-2</v>
      </c>
      <c r="F5" s="112"/>
      <c r="G5" s="111">
        <f>B5+D5</f>
        <v>643200636.78847742</v>
      </c>
      <c r="H5" s="129">
        <f>G5/G$25</f>
        <v>0.38981153219094655</v>
      </c>
      <c r="J5" s="115">
        <f>D5+B5</f>
        <v>643200636.78847742</v>
      </c>
    </row>
    <row r="6" spans="1:11" x14ac:dyDescent="0.3">
      <c r="A6" s="110" t="s">
        <v>189</v>
      </c>
      <c r="B6" s="112">
        <v>30441.377400766949</v>
      </c>
      <c r="C6" s="112"/>
      <c r="D6" s="112">
        <v>1000</v>
      </c>
      <c r="E6" s="113">
        <f t="shared" si="0"/>
        <v>3.285002471585946E-2</v>
      </c>
      <c r="F6" s="112"/>
      <c r="G6" s="112">
        <f t="shared" ref="G6:G15" si="1">B6+D6</f>
        <v>31441.377400766949</v>
      </c>
      <c r="H6" s="129">
        <f t="shared" ref="H6:H25" si="2">G6/G$25</f>
        <v>1.9055036325807206E-5</v>
      </c>
      <c r="J6" s="115">
        <f>D6+B6</f>
        <v>31441.377400766949</v>
      </c>
    </row>
    <row r="7" spans="1:11" x14ac:dyDescent="0.3">
      <c r="A7" s="110" t="s">
        <v>190</v>
      </c>
      <c r="B7" s="112">
        <v>239171376.68404651</v>
      </c>
      <c r="C7" s="112"/>
      <c r="D7" s="112">
        <v>7618843</v>
      </c>
      <c r="E7" s="113">
        <f t="shared" si="0"/>
        <v>3.1855162208915787E-2</v>
      </c>
      <c r="F7" s="112"/>
      <c r="G7" s="112">
        <f t="shared" si="1"/>
        <v>246790219.68404651</v>
      </c>
      <c r="H7" s="129">
        <f t="shared" si="2"/>
        <v>0.14956713063145691</v>
      </c>
      <c r="J7" s="115">
        <f>SUM(J5:J6)</f>
        <v>643232078.16587818</v>
      </c>
      <c r="K7" s="113">
        <f>ROUND(J7/J25,2)</f>
        <v>0.39</v>
      </c>
    </row>
    <row r="8" spans="1:11" x14ac:dyDescent="0.3">
      <c r="A8" s="110" t="s">
        <v>191</v>
      </c>
      <c r="B8" s="112">
        <v>14562100.123204114</v>
      </c>
      <c r="C8" s="112"/>
      <c r="D8" s="112">
        <v>464318</v>
      </c>
      <c r="E8" s="113">
        <f t="shared" si="0"/>
        <v>3.1885373405730687E-2</v>
      </c>
      <c r="F8" s="112"/>
      <c r="G8" s="112">
        <f t="shared" si="1"/>
        <v>15026418.123204114</v>
      </c>
      <c r="H8" s="129">
        <f t="shared" si="2"/>
        <v>9.1067557103092344E-3</v>
      </c>
    </row>
    <row r="9" spans="1:11" outlineLevel="1" x14ac:dyDescent="0.3">
      <c r="A9" s="116" t="s">
        <v>192</v>
      </c>
      <c r="B9" s="117">
        <v>179716172</v>
      </c>
      <c r="C9" s="117"/>
      <c r="D9" s="117">
        <v>5730358</v>
      </c>
      <c r="E9" s="118">
        <f t="shared" si="0"/>
        <v>3.1885600145099911E-2</v>
      </c>
      <c r="F9" s="117"/>
      <c r="G9" s="117">
        <f t="shared" si="1"/>
        <v>185446530</v>
      </c>
      <c r="H9" s="130">
        <f t="shared" si="2"/>
        <v>0.11238980788286644</v>
      </c>
    </row>
    <row r="10" spans="1:11" outlineLevel="1" x14ac:dyDescent="0.3">
      <c r="A10" s="116" t="s">
        <v>193</v>
      </c>
      <c r="B10" s="117">
        <v>14972312.428139996</v>
      </c>
      <c r="C10" s="117"/>
      <c r="D10" s="117">
        <v>479112</v>
      </c>
      <c r="E10" s="118">
        <f t="shared" si="0"/>
        <v>3.1999866573684629E-2</v>
      </c>
      <c r="F10" s="117"/>
      <c r="G10" s="117">
        <f t="shared" si="1"/>
        <v>15451424.428139996</v>
      </c>
      <c r="H10" s="130">
        <f t="shared" si="2"/>
        <v>9.3643306401866005E-3</v>
      </c>
    </row>
    <row r="11" spans="1:11" s="122" customFormat="1" x14ac:dyDescent="0.3">
      <c r="A11" s="119" t="s">
        <v>194</v>
      </c>
      <c r="B11" s="120">
        <f>SUM(B9:B10)</f>
        <v>194688484.42813998</v>
      </c>
      <c r="C11" s="120"/>
      <c r="D11" s="120">
        <f>SUM(D9:D10)</f>
        <v>6209470</v>
      </c>
      <c r="E11" s="121">
        <f t="shared" si="0"/>
        <v>3.1894387684197785E-2</v>
      </c>
      <c r="F11" s="120"/>
      <c r="G11" s="120">
        <f t="shared" si="1"/>
        <v>200897954.42813998</v>
      </c>
      <c r="H11" s="131">
        <f t="shared" si="2"/>
        <v>0.12175413852305303</v>
      </c>
    </row>
    <row r="12" spans="1:11" x14ac:dyDescent="0.3">
      <c r="A12" s="110" t="s">
        <v>195</v>
      </c>
      <c r="B12" s="112">
        <v>111361703.46595718</v>
      </c>
      <c r="C12" s="112"/>
      <c r="D12" s="112">
        <v>3534112</v>
      </c>
      <c r="E12" s="113">
        <f t="shared" si="0"/>
        <v>3.1735434085563924E-2</v>
      </c>
      <c r="F12" s="112"/>
      <c r="G12" s="112">
        <f t="shared" si="1"/>
        <v>114895815.46595718</v>
      </c>
      <c r="H12" s="129">
        <f t="shared" si="2"/>
        <v>6.9632570783417738E-2</v>
      </c>
    </row>
    <row r="13" spans="1:11" x14ac:dyDescent="0.3">
      <c r="A13" s="110" t="s">
        <v>196</v>
      </c>
      <c r="B13" s="112">
        <v>262428533.3952243</v>
      </c>
      <c r="C13" s="112"/>
      <c r="D13" s="112">
        <v>8489773</v>
      </c>
      <c r="E13" s="113">
        <f t="shared" si="0"/>
        <v>3.2350800007002967E-2</v>
      </c>
      <c r="F13" s="112"/>
      <c r="G13" s="112">
        <f t="shared" si="1"/>
        <v>270918306.39522433</v>
      </c>
      <c r="H13" s="129">
        <f t="shared" si="2"/>
        <v>0.16418994956503533</v>
      </c>
    </row>
    <row r="14" spans="1:11" x14ac:dyDescent="0.3">
      <c r="A14" s="110" t="s">
        <v>197</v>
      </c>
      <c r="B14" s="112">
        <v>89717941.026858285</v>
      </c>
      <c r="C14" s="112"/>
      <c r="D14" s="112">
        <v>2880507</v>
      </c>
      <c r="E14" s="113">
        <f t="shared" si="0"/>
        <v>3.2106253966948273E-2</v>
      </c>
      <c r="F14" s="112"/>
      <c r="G14" s="112">
        <f t="shared" si="1"/>
        <v>92598448.026858285</v>
      </c>
      <c r="H14" s="129">
        <f t="shared" si="2"/>
        <v>5.6119258656337198E-2</v>
      </c>
    </row>
    <row r="15" spans="1:11" x14ac:dyDescent="0.3">
      <c r="A15" s="110" t="s">
        <v>198</v>
      </c>
      <c r="B15" s="112">
        <v>30814610.295082595</v>
      </c>
      <c r="C15" s="112"/>
      <c r="D15" s="112">
        <v>980351</v>
      </c>
      <c r="E15" s="113">
        <f t="shared" si="0"/>
        <v>3.1814486394995713E-2</v>
      </c>
      <c r="F15" s="112"/>
      <c r="G15" s="112">
        <f t="shared" si="1"/>
        <v>31794961.295082595</v>
      </c>
      <c r="H15" s="129">
        <f t="shared" si="2"/>
        <v>1.9269325727461751E-2</v>
      </c>
    </row>
    <row r="16" spans="1:11" outlineLevel="1" x14ac:dyDescent="0.3">
      <c r="A16" s="116" t="s">
        <v>199</v>
      </c>
      <c r="B16" s="123"/>
      <c r="C16" s="117"/>
      <c r="D16" s="123"/>
      <c r="E16" s="118">
        <f t="shared" si="0"/>
        <v>0</v>
      </c>
      <c r="F16" s="117"/>
      <c r="G16" s="123"/>
      <c r="H16" s="130">
        <f t="shared" si="2"/>
        <v>0</v>
      </c>
    </row>
    <row r="17" spans="1:10" outlineLevel="1" x14ac:dyDescent="0.3">
      <c r="A17" s="116" t="s">
        <v>200</v>
      </c>
      <c r="B17" s="123"/>
      <c r="C17" s="117"/>
      <c r="D17" s="123"/>
      <c r="E17" s="118">
        <f t="shared" si="0"/>
        <v>0</v>
      </c>
      <c r="F17" s="117"/>
      <c r="G17" s="123"/>
      <c r="H17" s="130">
        <f t="shared" si="2"/>
        <v>0</v>
      </c>
    </row>
    <row r="18" spans="1:10" s="122" customFormat="1" x14ac:dyDescent="0.3">
      <c r="A18" s="119" t="s">
        <v>201</v>
      </c>
      <c r="B18" s="120">
        <v>-17395776</v>
      </c>
      <c r="C18" s="120"/>
      <c r="D18" s="120">
        <v>1357806</v>
      </c>
      <c r="E18" s="121">
        <f t="shared" si="0"/>
        <v>-7.8053775813162918E-2</v>
      </c>
      <c r="F18" s="120"/>
      <c r="G18" s="120">
        <f t="shared" ref="G18:G24" si="3">B18+D18</f>
        <v>-16037970</v>
      </c>
      <c r="H18" s="131">
        <f t="shared" si="2"/>
        <v>-9.7198063891040468E-3</v>
      </c>
    </row>
    <row r="19" spans="1:10" x14ac:dyDescent="0.3">
      <c r="A19" s="110" t="s">
        <v>202</v>
      </c>
      <c r="B19" s="112">
        <v>35467.485174180503</v>
      </c>
      <c r="C19" s="112"/>
      <c r="D19" s="112">
        <v>0</v>
      </c>
      <c r="E19" s="113">
        <f t="shared" si="0"/>
        <v>0</v>
      </c>
      <c r="F19" s="112"/>
      <c r="G19" s="112">
        <f t="shared" si="3"/>
        <v>35467.485174180503</v>
      </c>
      <c r="H19" s="129">
        <f t="shared" si="2"/>
        <v>2.1495057604014271E-5</v>
      </c>
    </row>
    <row r="20" spans="1:10" x14ac:dyDescent="0.3">
      <c r="A20" s="110" t="s">
        <v>203</v>
      </c>
      <c r="B20" s="112">
        <v>173457.22905495041</v>
      </c>
      <c r="C20" s="112"/>
      <c r="D20" s="112">
        <v>4155</v>
      </c>
      <c r="E20" s="113">
        <f t="shared" si="0"/>
        <v>2.3954031911138832E-2</v>
      </c>
      <c r="F20" s="112"/>
      <c r="G20" s="112">
        <f t="shared" si="3"/>
        <v>177612.22905495041</v>
      </c>
      <c r="H20" s="129">
        <f t="shared" si="2"/>
        <v>1.0764183239844685E-4</v>
      </c>
    </row>
    <row r="21" spans="1:10" outlineLevel="1" x14ac:dyDescent="0.3">
      <c r="A21" s="116" t="s">
        <v>204</v>
      </c>
      <c r="B21" s="117">
        <v>26150821.489857558</v>
      </c>
      <c r="C21" s="117"/>
      <c r="D21" s="124"/>
      <c r="E21" s="118">
        <f t="shared" si="0"/>
        <v>0</v>
      </c>
      <c r="F21" s="117"/>
      <c r="G21" s="117">
        <f t="shared" si="3"/>
        <v>26150821.489857558</v>
      </c>
      <c r="H21" s="130">
        <f t="shared" si="2"/>
        <v>1.5848696674045214E-2</v>
      </c>
    </row>
    <row r="22" spans="1:10" outlineLevel="1" x14ac:dyDescent="0.3">
      <c r="A22" s="116" t="s">
        <v>205</v>
      </c>
      <c r="B22" s="117">
        <v>4238872.2721082512</v>
      </c>
      <c r="C22" s="117"/>
      <c r="D22" s="124"/>
      <c r="E22" s="118">
        <f t="shared" si="0"/>
        <v>0</v>
      </c>
      <c r="F22" s="117"/>
      <c r="G22" s="117">
        <f t="shared" si="3"/>
        <v>4238872.2721082512</v>
      </c>
      <c r="H22" s="130">
        <f t="shared" si="2"/>
        <v>2.5689671319396265E-3</v>
      </c>
    </row>
    <row r="23" spans="1:10" s="122" customFormat="1" x14ac:dyDescent="0.3">
      <c r="A23" s="119" t="s">
        <v>206</v>
      </c>
      <c r="B23" s="120">
        <f>SUM(B21:B22)</f>
        <v>30389693.761965811</v>
      </c>
      <c r="C23" s="120"/>
      <c r="D23" s="120">
        <v>344445</v>
      </c>
      <c r="E23" s="121">
        <f t="shared" si="0"/>
        <v>1.1334270187055646E-2</v>
      </c>
      <c r="F23" s="120"/>
      <c r="G23" s="120">
        <f t="shared" si="3"/>
        <v>30734138.761965811</v>
      </c>
      <c r="H23" s="131">
        <f t="shared" si="2"/>
        <v>1.862641458377623E-2</v>
      </c>
    </row>
    <row r="24" spans="1:10" ht="16.2" x14ac:dyDescent="0.45">
      <c r="A24" s="110" t="s">
        <v>207</v>
      </c>
      <c r="B24" s="125">
        <v>19714166</v>
      </c>
      <c r="C24" s="112"/>
      <c r="D24" s="125">
        <v>-747835.83999999613</v>
      </c>
      <c r="E24" s="113">
        <f t="shared" si="0"/>
        <v>-3.7933932381415278E-2</v>
      </c>
      <c r="F24" s="112"/>
      <c r="G24" s="125">
        <f t="shared" si="3"/>
        <v>18966330.160000004</v>
      </c>
      <c r="H24" s="129">
        <f t="shared" si="2"/>
        <v>1.1494538090981891E-2</v>
      </c>
    </row>
    <row r="25" spans="1:10" ht="16.2" x14ac:dyDescent="0.45">
      <c r="A25" s="126" t="s">
        <v>208</v>
      </c>
      <c r="B25" s="127">
        <f>SUM(B5:B8,B11:B15,B18:B20,B23:B24)</f>
        <v>1598471610.060586</v>
      </c>
      <c r="D25" s="127">
        <f>SUM(D5:D8,D11:D15,D18:D20,D23:D24)</f>
        <v>51558170.160000004</v>
      </c>
      <c r="E25" s="113">
        <f t="shared" si="0"/>
        <v>3.2254667418238243E-2</v>
      </c>
      <c r="G25" s="127">
        <f>SUM(G5:G8,G11:G15,G18:G20,G23:G24)</f>
        <v>1650029780.2205861</v>
      </c>
      <c r="H25" s="131">
        <f t="shared" si="2"/>
        <v>1</v>
      </c>
      <c r="J25" s="115">
        <f>D25+B25</f>
        <v>1650029780.2205861</v>
      </c>
    </row>
    <row r="27" spans="1:10" x14ac:dyDescent="0.3">
      <c r="A27" s="126" t="s">
        <v>209</v>
      </c>
    </row>
    <row r="28" spans="1:10" x14ac:dyDescent="0.3">
      <c r="A28" s="110" t="s">
        <v>210</v>
      </c>
      <c r="B28" s="111">
        <v>3857505.2961587054</v>
      </c>
      <c r="D28" s="111">
        <v>0</v>
      </c>
      <c r="E28" s="113">
        <f>IF(B28=0,0,D28/B28)</f>
        <v>0</v>
      </c>
      <c r="G28" s="111">
        <f t="shared" ref="G28:G31" si="4">B28+D28</f>
        <v>3857505.2961587054</v>
      </c>
      <c r="H28" s="113"/>
    </row>
    <row r="29" spans="1:10" x14ac:dyDescent="0.3">
      <c r="A29" s="110" t="s">
        <v>211</v>
      </c>
      <c r="B29" s="112">
        <v>2108281.586779655</v>
      </c>
      <c r="D29" s="112">
        <v>0</v>
      </c>
      <c r="E29" s="113">
        <f>IF(B29=0,0,D29/B29)</f>
        <v>0</v>
      </c>
      <c r="G29" s="112">
        <f t="shared" si="4"/>
        <v>2108281.586779655</v>
      </c>
      <c r="H29" s="113"/>
    </row>
    <row r="30" spans="1:10" x14ac:dyDescent="0.3">
      <c r="A30" s="110" t="s">
        <v>212</v>
      </c>
      <c r="B30" s="112">
        <v>3142644.6954118521</v>
      </c>
      <c r="D30" s="112">
        <v>19720</v>
      </c>
      <c r="E30" s="113">
        <f>IF(B30=0,0,D30/B30)</f>
        <v>6.274969623129999E-3</v>
      </c>
      <c r="G30" s="112">
        <f t="shared" si="4"/>
        <v>3162364.6954118521</v>
      </c>
      <c r="H30" s="113"/>
    </row>
    <row r="31" spans="1:10" ht="16.2" x14ac:dyDescent="0.45">
      <c r="A31" s="110" t="s">
        <v>213</v>
      </c>
      <c r="B31" s="125">
        <v>22338060.122524951</v>
      </c>
      <c r="D31" s="125">
        <v>0</v>
      </c>
      <c r="E31" s="113">
        <f>IF(B31=0,0,D31/B31)</f>
        <v>0</v>
      </c>
      <c r="G31" s="125">
        <f t="shared" si="4"/>
        <v>22338060.122524951</v>
      </c>
      <c r="H31" s="113"/>
    </row>
    <row r="32" spans="1:10" ht="16.2" x14ac:dyDescent="0.45">
      <c r="A32" s="126" t="s">
        <v>214</v>
      </c>
      <c r="B32" s="127">
        <f>SUM(B25:B31)</f>
        <v>1629918101.7614613</v>
      </c>
      <c r="D32" s="127">
        <f>SUM(D25:D31)</f>
        <v>51577890.160000004</v>
      </c>
      <c r="E32" s="113">
        <f>IF(B32=0,0,D32/B32)</f>
        <v>3.1644467353457516E-2</v>
      </c>
      <c r="G32" s="127">
        <f>SUM(G25:G31)</f>
        <v>1681495991.9214613</v>
      </c>
      <c r="H32" s="121"/>
    </row>
  </sheetData>
  <mergeCells count="2">
    <mergeCell ref="B1:H1"/>
    <mergeCell ref="D2:E2"/>
  </mergeCells>
  <printOptions horizontalCentered="1"/>
  <pageMargins left="1" right="1" top="1" bottom="1" header="0.3" footer="0.3"/>
  <pageSetup scale="8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D20" sqref="D20"/>
    </sheetView>
  </sheetViews>
  <sheetFormatPr defaultColWidth="9.109375" defaultRowHeight="14.4" x14ac:dyDescent="0.3"/>
  <cols>
    <col min="1" max="1" width="28.6640625" style="85" bestFit="1" customWidth="1"/>
    <col min="2" max="2" width="15.6640625" style="85" customWidth="1"/>
    <col min="3" max="3" width="7.88671875" style="85" customWidth="1"/>
    <col min="4" max="13" width="15.6640625" style="85" customWidth="1"/>
    <col min="14" max="16384" width="9.109375" style="85"/>
  </cols>
  <sheetData>
    <row r="1" spans="1:14" s="89" customFormat="1" ht="18" x14ac:dyDescent="0.35">
      <c r="A1" s="86" t="s">
        <v>118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</row>
    <row r="2" spans="1:14" s="91" customFormat="1" x14ac:dyDescent="0.3">
      <c r="A2" s="90" t="s">
        <v>216</v>
      </c>
      <c r="B2" s="90"/>
      <c r="C2" s="90"/>
      <c r="D2" s="90"/>
      <c r="E2" s="90"/>
      <c r="F2" s="90"/>
    </row>
    <row r="3" spans="1:14" s="91" customFormat="1" x14ac:dyDescent="0.3">
      <c r="A3" s="90"/>
      <c r="B3" s="90"/>
      <c r="C3" s="90"/>
      <c r="D3" s="90"/>
      <c r="E3" s="90"/>
      <c r="F3" s="90"/>
    </row>
    <row r="4" spans="1:14" ht="48.6" x14ac:dyDescent="0.45">
      <c r="A4" s="92" t="s">
        <v>119</v>
      </c>
      <c r="B4" s="93" t="s">
        <v>179</v>
      </c>
      <c r="C4" s="93" t="s">
        <v>178</v>
      </c>
      <c r="D4" s="93" t="s">
        <v>120</v>
      </c>
      <c r="E4" s="93" t="s">
        <v>121</v>
      </c>
    </row>
    <row r="5" spans="1:14" x14ac:dyDescent="0.3">
      <c r="A5" s="85" t="s">
        <v>180</v>
      </c>
      <c r="B5" s="99">
        <v>6091631439.7637749</v>
      </c>
      <c r="C5" s="94">
        <f>B5/B$7</f>
        <v>0.33233272627711469</v>
      </c>
    </row>
    <row r="6" spans="1:14" ht="16.2" x14ac:dyDescent="0.45">
      <c r="A6" s="95" t="s">
        <v>181</v>
      </c>
      <c r="B6" s="100">
        <v>12238286013.759253</v>
      </c>
      <c r="C6" s="96">
        <f>B6/B$7</f>
        <v>0.66766727372288537</v>
      </c>
    </row>
    <row r="7" spans="1:14" ht="16.2" x14ac:dyDescent="0.45">
      <c r="A7" s="97" t="s">
        <v>182</v>
      </c>
      <c r="B7" s="101">
        <f>SUM(B5:B6)</f>
        <v>18329917453.523026</v>
      </c>
      <c r="C7" s="98">
        <f>SUM(C5:C6)</f>
        <v>1</v>
      </c>
      <c r="D7" s="101">
        <v>18329917453.522999</v>
      </c>
      <c r="E7" s="101">
        <f>B7-D7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workbookViewId="0">
      <selection activeCell="A13" sqref="A13"/>
    </sheetView>
  </sheetViews>
  <sheetFormatPr defaultRowHeight="13.2" x14ac:dyDescent="0.25"/>
  <cols>
    <col min="1" max="1" width="9.6640625" customWidth="1"/>
    <col min="2" max="2" width="27.6640625" customWidth="1"/>
    <col min="3" max="7" width="16.33203125" customWidth="1"/>
  </cols>
  <sheetData>
    <row r="1" spans="1:7" ht="14.4" x14ac:dyDescent="0.3">
      <c r="A1" s="70" t="s">
        <v>95</v>
      </c>
      <c r="C1" s="52"/>
      <c r="D1" s="52"/>
      <c r="E1" s="52"/>
      <c r="F1" s="52"/>
      <c r="G1" s="52"/>
    </row>
    <row r="2" spans="1:7" x14ac:dyDescent="0.25">
      <c r="A2" t="s">
        <v>96</v>
      </c>
      <c r="C2" s="52"/>
      <c r="D2" s="52"/>
      <c r="E2" s="52"/>
      <c r="F2" s="52"/>
      <c r="G2" s="52"/>
    </row>
    <row r="3" spans="1:7" ht="13.8" thickBot="1" x14ac:dyDescent="0.3">
      <c r="C3" s="52"/>
      <c r="D3" s="52"/>
      <c r="E3" s="52"/>
      <c r="F3" s="52"/>
      <c r="G3" s="52"/>
    </row>
    <row r="4" spans="1:7" ht="13.8" thickBot="1" x14ac:dyDescent="0.3">
      <c r="C4" s="166" t="s">
        <v>97</v>
      </c>
      <c r="D4" s="167"/>
      <c r="E4" s="167"/>
      <c r="F4" s="167"/>
      <c r="G4" s="168"/>
    </row>
    <row r="5" spans="1:7" x14ac:dyDescent="0.25">
      <c r="C5" s="54"/>
      <c r="D5" s="172" t="s">
        <v>167</v>
      </c>
      <c r="E5" s="173"/>
      <c r="F5" s="172" t="s">
        <v>168</v>
      </c>
      <c r="G5" s="173"/>
    </row>
    <row r="6" spans="1:7" ht="14.4" x14ac:dyDescent="0.3">
      <c r="A6" s="55"/>
      <c r="B6" s="55"/>
      <c r="C6" s="56" t="s">
        <v>99</v>
      </c>
      <c r="D6" s="71" t="s">
        <v>100</v>
      </c>
      <c r="E6" s="56" t="s">
        <v>101</v>
      </c>
      <c r="F6" s="71" t="s">
        <v>102</v>
      </c>
      <c r="G6" s="56" t="s">
        <v>169</v>
      </c>
    </row>
    <row r="7" spans="1:7" x14ac:dyDescent="0.25">
      <c r="B7" s="72" t="s">
        <v>103</v>
      </c>
      <c r="C7" s="52">
        <f>SUM(D7:G7)</f>
        <v>-454519875</v>
      </c>
      <c r="D7" s="73">
        <f>-463117331-G7-F7</f>
        <v>-354831907.27999997</v>
      </c>
      <c r="E7" s="52">
        <v>8597456</v>
      </c>
      <c r="F7" s="73">
        <v>-107594802</v>
      </c>
      <c r="G7" s="52">
        <v>-690621.72</v>
      </c>
    </row>
    <row r="8" spans="1:7" x14ac:dyDescent="0.25">
      <c r="B8" s="72" t="s">
        <v>104</v>
      </c>
      <c r="C8" s="52">
        <f t="shared" ref="C8:G9" si="0">+C7+C14</f>
        <v>-445124392.93718392</v>
      </c>
      <c r="D8" s="73">
        <f t="shared" si="0"/>
        <v>-345424733.89168793</v>
      </c>
      <c r="E8" s="52">
        <f t="shared" si="0"/>
        <v>8419736.0628160648</v>
      </c>
      <c r="F8" s="73">
        <f t="shared" si="0"/>
        <v>-107428773.38831204</v>
      </c>
      <c r="G8" s="52">
        <f t="shared" si="0"/>
        <v>-690621.72</v>
      </c>
    </row>
    <row r="9" spans="1:7" x14ac:dyDescent="0.25">
      <c r="B9" s="72" t="s">
        <v>106</v>
      </c>
      <c r="C9" s="52">
        <f t="shared" si="0"/>
        <v>-441463901.83821523</v>
      </c>
      <c r="D9" s="73">
        <f t="shared" si="0"/>
        <v>-341757848.34069574</v>
      </c>
      <c r="E9" s="52">
        <f t="shared" si="0"/>
        <v>8350496.1617847299</v>
      </c>
      <c r="F9" s="73">
        <f t="shared" si="0"/>
        <v>-107365927.93930426</v>
      </c>
      <c r="G9" s="52">
        <f t="shared" si="0"/>
        <v>-690621.72</v>
      </c>
    </row>
    <row r="10" spans="1:7" ht="13.8" thickBot="1" x14ac:dyDescent="0.3"/>
    <row r="11" spans="1:7" ht="13.8" thickBot="1" x14ac:dyDescent="0.3">
      <c r="B11" s="54"/>
      <c r="C11" s="166" t="s">
        <v>98</v>
      </c>
      <c r="D11" s="167"/>
      <c r="E11" s="167"/>
      <c r="F11" s="167"/>
      <c r="G11" s="168"/>
    </row>
    <row r="12" spans="1:7" x14ac:dyDescent="0.25">
      <c r="B12" s="54"/>
      <c r="C12" s="54"/>
      <c r="D12" s="169" t="s">
        <v>167</v>
      </c>
      <c r="E12" s="170"/>
      <c r="F12" s="169" t="s">
        <v>168</v>
      </c>
      <c r="G12" s="171"/>
    </row>
    <row r="13" spans="1:7" ht="14.4" x14ac:dyDescent="0.3">
      <c r="B13" s="57"/>
      <c r="C13" s="56" t="s">
        <v>99</v>
      </c>
      <c r="D13" s="74" t="s">
        <v>100</v>
      </c>
      <c r="E13" s="57" t="s">
        <v>101</v>
      </c>
      <c r="F13" s="74" t="s">
        <v>102</v>
      </c>
      <c r="G13" s="57" t="s">
        <v>169</v>
      </c>
    </row>
    <row r="14" spans="1:7" x14ac:dyDescent="0.25">
      <c r="B14" s="58" t="s">
        <v>105</v>
      </c>
      <c r="C14" s="52">
        <f>SUM(D14:G14)</f>
        <v>9395482.0628160648</v>
      </c>
      <c r="D14" s="73">
        <f>9573202-F14</f>
        <v>9407173.3883120418</v>
      </c>
      <c r="E14" s="53">
        <f>SUM(D14,F14,G14)/SUM($D$7,$F$7,$G$7)*$E$7</f>
        <v>-177719.93718393578</v>
      </c>
      <c r="F14" s="73">
        <v>166028.61168795824</v>
      </c>
      <c r="G14" s="53">
        <v>0</v>
      </c>
    </row>
    <row r="15" spans="1:7" x14ac:dyDescent="0.25">
      <c r="B15" s="58" t="s">
        <v>170</v>
      </c>
      <c r="C15" s="52">
        <f>SUM(D15:G15)</f>
        <v>3660491.0989686651</v>
      </c>
      <c r="D15" s="73">
        <f>11189193/12*4-F15</f>
        <v>3666885.5509922155</v>
      </c>
      <c r="E15" s="53">
        <f>SUM(D15,F15,G15)/SUM($D$7,$F$7,$G$7)*$E$7</f>
        <v>-69239.901031334972</v>
      </c>
      <c r="F15" s="73">
        <f>188536.347023353/12*4</f>
        <v>62845.449007784337</v>
      </c>
      <c r="G15" s="53">
        <v>0</v>
      </c>
    </row>
    <row r="16" spans="1:7" ht="13.8" thickBot="1" x14ac:dyDescent="0.3">
      <c r="B16" s="75" t="s">
        <v>171</v>
      </c>
      <c r="C16" s="76">
        <f>SUM(C14:C15)</f>
        <v>13055973.161784731</v>
      </c>
      <c r="D16" s="77">
        <f t="shared" ref="D16:G16" si="1">SUM(D14:D15)</f>
        <v>13074058.939304257</v>
      </c>
      <c r="E16" s="76">
        <f t="shared" si="1"/>
        <v>-246959.83821527075</v>
      </c>
      <c r="F16" s="77">
        <f t="shared" si="1"/>
        <v>228874.06069574258</v>
      </c>
      <c r="G16" s="76">
        <f t="shared" si="1"/>
        <v>0</v>
      </c>
    </row>
    <row r="17" spans="2:5" x14ac:dyDescent="0.25">
      <c r="C17" s="78">
        <f>+C16-C22</f>
        <v>0</v>
      </c>
    </row>
    <row r="18" spans="2:5" x14ac:dyDescent="0.25">
      <c r="C18" s="78"/>
    </row>
    <row r="19" spans="2:5" ht="14.4" x14ac:dyDescent="0.3">
      <c r="B19" s="79" t="s">
        <v>220</v>
      </c>
    </row>
    <row r="20" spans="2:5" ht="14.4" x14ac:dyDescent="0.3">
      <c r="B20" s="80" t="s">
        <v>107</v>
      </c>
    </row>
    <row r="21" spans="2:5" ht="14.4" x14ac:dyDescent="0.3">
      <c r="C21" s="56" t="s">
        <v>99</v>
      </c>
      <c r="D21" s="56" t="s">
        <v>100</v>
      </c>
      <c r="E21" s="56" t="s">
        <v>102</v>
      </c>
    </row>
    <row r="22" spans="2:5" x14ac:dyDescent="0.25">
      <c r="B22" t="s">
        <v>108</v>
      </c>
      <c r="C22" s="52">
        <f>SUM(D22:E22)</f>
        <v>13055973.161784729</v>
      </c>
      <c r="D22" s="52">
        <f>SUM(D$14:E$15)</f>
        <v>12827099.101088986</v>
      </c>
      <c r="E22" s="52">
        <f>SUM(F$14:F$15)</f>
        <v>228874.06069574258</v>
      </c>
    </row>
    <row r="23" spans="2:5" x14ac:dyDescent="0.25">
      <c r="B23" t="s">
        <v>109</v>
      </c>
      <c r="C23" s="52">
        <f>SUM(D23:E23)</f>
        <v>1160096.9137777782</v>
      </c>
      <c r="D23" s="52">
        <v>952305.91377777816</v>
      </c>
      <c r="E23" s="52">
        <v>207791</v>
      </c>
    </row>
    <row r="24" spans="2:5" ht="13.8" thickBot="1" x14ac:dyDescent="0.3">
      <c r="B24" t="s">
        <v>110</v>
      </c>
      <c r="C24" s="59">
        <f>SUM(C22:C23)</f>
        <v>14216070.075562507</v>
      </c>
      <c r="D24" s="59">
        <f t="shared" ref="D24:E24" si="2">SUM(D22:D23)</f>
        <v>13779405.014866764</v>
      </c>
      <c r="E24" s="59">
        <f t="shared" si="2"/>
        <v>436665.06069574261</v>
      </c>
    </row>
    <row r="27" spans="2:5" ht="16.2" x14ac:dyDescent="0.45">
      <c r="B27" s="81" t="s">
        <v>172</v>
      </c>
    </row>
    <row r="28" spans="2:5" x14ac:dyDescent="0.25">
      <c r="B28" s="82" t="s">
        <v>173</v>
      </c>
      <c r="C28" s="78">
        <f>+SUM(D7:E7)</f>
        <v>-346234451.27999997</v>
      </c>
      <c r="D28">
        <f>D33</f>
        <v>0.89342076568543571</v>
      </c>
      <c r="E28" s="78">
        <f>C28*D28</f>
        <v>-309333048.56925428</v>
      </c>
    </row>
    <row r="29" spans="2:5" x14ac:dyDescent="0.25">
      <c r="B29" s="82" t="s">
        <v>174</v>
      </c>
      <c r="C29" s="78">
        <f>+SUM(F7:G7)</f>
        <v>-108285423.72</v>
      </c>
    </row>
    <row r="30" spans="2:5" ht="13.8" thickBot="1" x14ac:dyDescent="0.3">
      <c r="B30" s="82"/>
      <c r="C30" s="59">
        <f>SUM(C28:C29)</f>
        <v>-454519875</v>
      </c>
    </row>
    <row r="31" spans="2:5" x14ac:dyDescent="0.25">
      <c r="C31" s="78">
        <f>+C30-C7</f>
        <v>0</v>
      </c>
    </row>
    <row r="33" spans="1:6" ht="14.4" x14ac:dyDescent="0.3">
      <c r="A33" s="133"/>
      <c r="B33" s="82" t="s">
        <v>112</v>
      </c>
      <c r="C33" s="133"/>
      <c r="D33">
        <v>0.89342076568543571</v>
      </c>
    </row>
    <row r="34" spans="1:6" ht="14.4" x14ac:dyDescent="0.3">
      <c r="A34" s="133"/>
      <c r="B34" s="82"/>
      <c r="C34" s="133"/>
      <c r="D34" s="133"/>
    </row>
    <row r="35" spans="1:6" ht="14.4" x14ac:dyDescent="0.3">
      <c r="A35" s="82" t="s">
        <v>111</v>
      </c>
      <c r="B35" s="82" t="s">
        <v>108</v>
      </c>
      <c r="C35" s="133"/>
      <c r="D35" s="52">
        <f>D22*D33</f>
        <v>11459996.700417886</v>
      </c>
    </row>
    <row r="36" spans="1:6" ht="14.4" x14ac:dyDescent="0.3">
      <c r="A36" s="82" t="s">
        <v>111</v>
      </c>
      <c r="B36" s="82" t="s">
        <v>109</v>
      </c>
      <c r="C36" s="133"/>
      <c r="D36" s="52">
        <f>D23*D33</f>
        <v>850809.87865411106</v>
      </c>
      <c r="E36" s="83"/>
    </row>
    <row r="37" spans="1:6" ht="15" thickBot="1" x14ac:dyDescent="0.35">
      <c r="A37" s="82" t="s">
        <v>111</v>
      </c>
      <c r="B37" s="82" t="s">
        <v>110</v>
      </c>
      <c r="C37" s="133"/>
      <c r="D37" s="59">
        <f>SUM(D35:D36)</f>
        <v>12310806.579071997</v>
      </c>
    </row>
    <row r="40" spans="1:6" ht="14.4" x14ac:dyDescent="0.3">
      <c r="B40" s="60" t="s">
        <v>95</v>
      </c>
      <c r="C40" s="52"/>
      <c r="D40" s="52"/>
      <c r="E40" s="52"/>
      <c r="F40" s="52"/>
    </row>
    <row r="41" spans="1:6" x14ac:dyDescent="0.25">
      <c r="B41" s="61" t="s">
        <v>123</v>
      </c>
      <c r="C41" s="52"/>
      <c r="D41" s="52"/>
      <c r="E41" s="52"/>
      <c r="F41" s="52"/>
    </row>
    <row r="42" spans="1:6" x14ac:dyDescent="0.25">
      <c r="B42" s="61"/>
      <c r="C42" s="52"/>
      <c r="D42" s="52"/>
      <c r="E42" s="52"/>
      <c r="F42" s="52"/>
    </row>
    <row r="43" spans="1:6" ht="48.6" x14ac:dyDescent="0.45">
      <c r="B43" s="62" t="s">
        <v>124</v>
      </c>
      <c r="C43" s="63" t="s">
        <v>125</v>
      </c>
      <c r="D43" s="63" t="s">
        <v>126</v>
      </c>
      <c r="E43" s="63" t="s">
        <v>127</v>
      </c>
      <c r="F43" s="63" t="s">
        <v>128</v>
      </c>
    </row>
    <row r="44" spans="1:6" x14ac:dyDescent="0.25">
      <c r="B44" s="61"/>
      <c r="C44" s="52"/>
      <c r="D44" s="52"/>
      <c r="E44" s="52"/>
      <c r="F44" s="52"/>
    </row>
    <row r="45" spans="1:6" x14ac:dyDescent="0.25">
      <c r="B45" s="61" t="s">
        <v>129</v>
      </c>
      <c r="C45" s="52">
        <v>-567175.02</v>
      </c>
      <c r="D45" s="52">
        <v>-220631.07</v>
      </c>
      <c r="E45" s="52">
        <v>-145990.82999999999</v>
      </c>
      <c r="F45" s="53">
        <f>+E45-D45</f>
        <v>74640.24000000002</v>
      </c>
    </row>
    <row r="46" spans="1:6" x14ac:dyDescent="0.25">
      <c r="B46" s="61" t="s">
        <v>130</v>
      </c>
      <c r="C46" s="52">
        <v>-14786163.199999999</v>
      </c>
      <c r="D46" s="52">
        <v>-5751817.4800000004</v>
      </c>
      <c r="E46" s="52">
        <v>-3805958.4</v>
      </c>
      <c r="F46" s="53">
        <f t="shared" ref="F46:F78" si="3">+E46-D46</f>
        <v>1945859.0800000005</v>
      </c>
    </row>
    <row r="47" spans="1:6" x14ac:dyDescent="0.25">
      <c r="B47" s="61" t="s">
        <v>131</v>
      </c>
      <c r="C47" s="52">
        <v>-8826062.7799999993</v>
      </c>
      <c r="D47" s="52">
        <v>-3433338.42</v>
      </c>
      <c r="E47" s="52">
        <v>-2271828.56</v>
      </c>
      <c r="F47" s="53">
        <f t="shared" si="3"/>
        <v>1161509.8599999999</v>
      </c>
    </row>
    <row r="48" spans="1:6" x14ac:dyDescent="0.25">
      <c r="B48" s="61" t="s">
        <v>132</v>
      </c>
      <c r="C48" s="52">
        <v>1478120.07</v>
      </c>
      <c r="D48" s="52">
        <v>574988.68000000005</v>
      </c>
      <c r="E48" s="52">
        <v>380468.1</v>
      </c>
      <c r="F48" s="53">
        <f t="shared" si="3"/>
        <v>-194520.58000000007</v>
      </c>
    </row>
    <row r="49" spans="2:6" x14ac:dyDescent="0.25">
      <c r="B49" s="61" t="s">
        <v>133</v>
      </c>
      <c r="C49" s="52">
        <v>842194.15</v>
      </c>
      <c r="D49" s="52">
        <v>327613.65000000002</v>
      </c>
      <c r="E49" s="52">
        <v>216780.79</v>
      </c>
      <c r="F49" s="53">
        <f t="shared" si="3"/>
        <v>-110832.86000000002</v>
      </c>
    </row>
    <row r="50" spans="2:6" x14ac:dyDescent="0.25">
      <c r="B50" s="61" t="s">
        <v>134</v>
      </c>
      <c r="C50" s="52">
        <v>-28421223.169999987</v>
      </c>
      <c r="D50" s="52">
        <v>-11055855.82</v>
      </c>
      <c r="E50" s="52">
        <v>-7315622.8600000069</v>
      </c>
      <c r="F50" s="53">
        <f t="shared" si="3"/>
        <v>3740232.9599999934</v>
      </c>
    </row>
    <row r="51" spans="2:6" x14ac:dyDescent="0.25">
      <c r="B51" s="61" t="s">
        <v>135</v>
      </c>
      <c r="C51" s="52">
        <v>-162196.49</v>
      </c>
      <c r="D51" s="52">
        <v>-63094.42</v>
      </c>
      <c r="E51" s="52">
        <v>-41749.370000000003</v>
      </c>
      <c r="F51" s="53">
        <f t="shared" si="3"/>
        <v>21345.049999999996</v>
      </c>
    </row>
    <row r="52" spans="2:6" x14ac:dyDescent="0.25">
      <c r="B52" s="61" t="s">
        <v>136</v>
      </c>
      <c r="C52" s="52">
        <v>2433539.0299999998</v>
      </c>
      <c r="D52" s="52">
        <v>946646.67</v>
      </c>
      <c r="E52" s="52">
        <v>626392.94999999995</v>
      </c>
      <c r="F52" s="53">
        <f t="shared" si="3"/>
        <v>-320253.72000000009</v>
      </c>
    </row>
    <row r="53" spans="2:6" x14ac:dyDescent="0.25">
      <c r="B53" s="61" t="s">
        <v>137</v>
      </c>
      <c r="C53" s="52">
        <v>29150.37</v>
      </c>
      <c r="D53" s="52">
        <v>11339.49</v>
      </c>
      <c r="E53" s="52">
        <v>7503.31</v>
      </c>
      <c r="F53" s="53">
        <f t="shared" si="3"/>
        <v>-3836.1799999999994</v>
      </c>
    </row>
    <row r="54" spans="2:6" x14ac:dyDescent="0.25">
      <c r="B54" s="61" t="s">
        <v>138</v>
      </c>
      <c r="C54" s="52">
        <v>-482956.7</v>
      </c>
      <c r="D54" s="52">
        <v>-187870.16999999998</v>
      </c>
      <c r="E54" s="52">
        <v>-124313.06</v>
      </c>
      <c r="F54" s="53">
        <f t="shared" si="3"/>
        <v>63557.109999999986</v>
      </c>
    </row>
    <row r="55" spans="2:6" x14ac:dyDescent="0.25">
      <c r="B55" s="61" t="s">
        <v>139</v>
      </c>
      <c r="C55" s="52">
        <v>-131236.79999999999</v>
      </c>
      <c r="D55" s="52">
        <v>-51051.13</v>
      </c>
      <c r="E55" s="52">
        <v>-33780.36</v>
      </c>
      <c r="F55" s="53">
        <f t="shared" si="3"/>
        <v>17270.769999999997</v>
      </c>
    </row>
    <row r="56" spans="2:6" x14ac:dyDescent="0.25">
      <c r="B56" s="61" t="s">
        <v>140</v>
      </c>
      <c r="C56" s="52">
        <v>1118000</v>
      </c>
      <c r="D56" s="52">
        <v>434902</v>
      </c>
      <c r="E56" s="52">
        <v>287773.2</v>
      </c>
      <c r="F56" s="53">
        <f t="shared" si="3"/>
        <v>-147128.79999999999</v>
      </c>
    </row>
    <row r="57" spans="2:6" x14ac:dyDescent="0.25">
      <c r="B57" s="61" t="s">
        <v>141</v>
      </c>
      <c r="C57" s="52">
        <v>2965000</v>
      </c>
      <c r="D57" s="52">
        <v>1153385</v>
      </c>
      <c r="E57" s="52">
        <v>763191</v>
      </c>
      <c r="F57" s="53">
        <f t="shared" si="3"/>
        <v>-390194</v>
      </c>
    </row>
    <row r="58" spans="2:6" x14ac:dyDescent="0.25">
      <c r="B58" s="61" t="s">
        <v>142</v>
      </c>
      <c r="C58" s="52">
        <v>48306251.609999999</v>
      </c>
      <c r="D58" s="52">
        <v>18791131.879999999</v>
      </c>
      <c r="E58" s="52">
        <v>12434029.17</v>
      </c>
      <c r="F58" s="53">
        <f t="shared" si="3"/>
        <v>-6357102.709999999</v>
      </c>
    </row>
    <row r="59" spans="2:6" x14ac:dyDescent="0.25">
      <c r="B59" s="61" t="s">
        <v>143</v>
      </c>
      <c r="C59" s="52">
        <v>6891417</v>
      </c>
      <c r="D59" s="52">
        <v>2680761.21</v>
      </c>
      <c r="E59" s="52">
        <v>1773850.74</v>
      </c>
      <c r="F59" s="53">
        <f t="shared" si="3"/>
        <v>-906910.47</v>
      </c>
    </row>
    <row r="60" spans="2:6" s="134" customFormat="1" ht="14.4" x14ac:dyDescent="0.3">
      <c r="B60" s="135" t="s">
        <v>144</v>
      </c>
      <c r="C60" s="136">
        <v>-121135645.58</v>
      </c>
      <c r="D60" s="136">
        <v>-47121766.140000001</v>
      </c>
      <c r="E60" s="136">
        <v>-31180315.169999998</v>
      </c>
      <c r="F60" s="137">
        <f t="shared" si="3"/>
        <v>15941450.970000003</v>
      </c>
    </row>
    <row r="61" spans="2:6" x14ac:dyDescent="0.25">
      <c r="B61" s="61" t="s">
        <v>145</v>
      </c>
      <c r="C61" s="52">
        <v>-1878580.87</v>
      </c>
      <c r="D61" s="52">
        <v>-730767.93</v>
      </c>
      <c r="E61" s="52">
        <v>-483546.71</v>
      </c>
      <c r="F61" s="53">
        <f t="shared" si="3"/>
        <v>247221.22000000003</v>
      </c>
    </row>
    <row r="62" spans="2:6" x14ac:dyDescent="0.25">
      <c r="B62" s="61" t="s">
        <v>146</v>
      </c>
      <c r="C62" s="52">
        <v>-1166592.1499999985</v>
      </c>
      <c r="D62" s="52">
        <v>-453804.31000000052</v>
      </c>
      <c r="E62" s="52">
        <v>-300280.8200000003</v>
      </c>
      <c r="F62" s="53">
        <f t="shared" si="3"/>
        <v>153523.49000000022</v>
      </c>
    </row>
    <row r="63" spans="2:6" x14ac:dyDescent="0.25">
      <c r="B63" s="61" t="s">
        <v>147</v>
      </c>
      <c r="C63" s="52">
        <v>-5673388.5300000003</v>
      </c>
      <c r="D63" s="52">
        <v>-2206948.15</v>
      </c>
      <c r="E63" s="52">
        <v>-1460330.2</v>
      </c>
      <c r="F63" s="53">
        <f t="shared" si="3"/>
        <v>746617.95</v>
      </c>
    </row>
    <row r="64" spans="2:6" x14ac:dyDescent="0.25">
      <c r="B64" s="61" t="s">
        <v>148</v>
      </c>
      <c r="C64" s="52">
        <v>6219</v>
      </c>
      <c r="D64" s="52">
        <v>2419.19</v>
      </c>
      <c r="E64" s="52">
        <v>1600.77</v>
      </c>
      <c r="F64" s="53">
        <f t="shared" si="3"/>
        <v>-818.42000000000007</v>
      </c>
    </row>
    <row r="65" spans="2:6" x14ac:dyDescent="0.25">
      <c r="B65" s="61" t="s">
        <v>149</v>
      </c>
      <c r="C65" s="52">
        <v>634533.49</v>
      </c>
      <c r="D65" s="52">
        <v>246833.53</v>
      </c>
      <c r="E65" s="52">
        <v>163328.92000000001</v>
      </c>
      <c r="F65" s="53">
        <f t="shared" si="3"/>
        <v>-83504.609999999986</v>
      </c>
    </row>
    <row r="66" spans="2:6" x14ac:dyDescent="0.25">
      <c r="B66" s="61" t="s">
        <v>150</v>
      </c>
      <c r="C66" s="52">
        <v>-1642701.19</v>
      </c>
      <c r="D66" s="52">
        <v>-639010.78</v>
      </c>
      <c r="E66" s="52">
        <v>-422831.29</v>
      </c>
      <c r="F66" s="53">
        <f t="shared" si="3"/>
        <v>216179.49000000005</v>
      </c>
    </row>
    <row r="67" spans="2:6" x14ac:dyDescent="0.25">
      <c r="B67" s="61" t="s">
        <v>151</v>
      </c>
      <c r="C67" s="52">
        <v>8338.02</v>
      </c>
      <c r="D67" s="52">
        <v>3243.5</v>
      </c>
      <c r="E67" s="52">
        <v>2146.1999999999998</v>
      </c>
      <c r="F67" s="53">
        <f t="shared" si="3"/>
        <v>-1097.3000000000002</v>
      </c>
    </row>
    <row r="68" spans="2:6" x14ac:dyDescent="0.25">
      <c r="B68" s="61" t="s">
        <v>152</v>
      </c>
      <c r="C68" s="52">
        <v>148278</v>
      </c>
      <c r="D68" s="52">
        <v>57680.13</v>
      </c>
      <c r="E68" s="52">
        <v>38166.76</v>
      </c>
      <c r="F68" s="53">
        <f t="shared" si="3"/>
        <v>-19513.369999999995</v>
      </c>
    </row>
    <row r="69" spans="2:6" x14ac:dyDescent="0.25">
      <c r="B69" s="61" t="s">
        <v>153</v>
      </c>
      <c r="C69" s="52">
        <v>1220137.8400000001</v>
      </c>
      <c r="D69" s="52">
        <v>474633.62</v>
      </c>
      <c r="E69" s="52">
        <v>314063.48</v>
      </c>
      <c r="F69" s="53">
        <f t="shared" si="3"/>
        <v>-160570.14000000001</v>
      </c>
    </row>
    <row r="70" spans="2:6" x14ac:dyDescent="0.25">
      <c r="B70" s="61" t="s">
        <v>154</v>
      </c>
      <c r="C70" s="52">
        <v>2882884.51</v>
      </c>
      <c r="D70" s="52">
        <v>1121442.08</v>
      </c>
      <c r="E70" s="52">
        <v>742054.48</v>
      </c>
      <c r="F70" s="53">
        <f t="shared" si="3"/>
        <v>-379387.60000000009</v>
      </c>
    </row>
    <row r="71" spans="2:6" x14ac:dyDescent="0.25">
      <c r="B71" s="61" t="s">
        <v>155</v>
      </c>
      <c r="C71" s="52">
        <v>313709.26</v>
      </c>
      <c r="D71" s="52">
        <v>122032.92</v>
      </c>
      <c r="E71" s="52">
        <v>80748.759999999995</v>
      </c>
      <c r="F71" s="53">
        <f t="shared" si="3"/>
        <v>-41284.160000000003</v>
      </c>
    </row>
    <row r="72" spans="2:6" x14ac:dyDescent="0.25">
      <c r="B72" s="61" t="s">
        <v>156</v>
      </c>
      <c r="C72" s="52">
        <v>-3111003.08</v>
      </c>
      <c r="D72" s="52">
        <v>-1210180.19</v>
      </c>
      <c r="E72" s="52">
        <v>-800772.19</v>
      </c>
      <c r="F72" s="53">
        <f t="shared" si="3"/>
        <v>409408</v>
      </c>
    </row>
    <row r="73" spans="2:6" x14ac:dyDescent="0.25">
      <c r="B73" s="61" t="s">
        <v>157</v>
      </c>
      <c r="C73" s="52">
        <v>-1286608.99</v>
      </c>
      <c r="D73" s="52">
        <v>-500490.9</v>
      </c>
      <c r="E73" s="52">
        <v>-331173.15999999997</v>
      </c>
      <c r="F73" s="53">
        <f t="shared" si="3"/>
        <v>169317.74000000005</v>
      </c>
    </row>
    <row r="74" spans="2:6" x14ac:dyDescent="0.25">
      <c r="B74" s="61" t="s">
        <v>158</v>
      </c>
      <c r="C74" s="52">
        <v>1760599</v>
      </c>
      <c r="D74" s="52">
        <v>616209.65</v>
      </c>
      <c r="E74" s="52">
        <v>369725.79</v>
      </c>
      <c r="F74" s="53">
        <f t="shared" si="3"/>
        <v>-246483.86000000004</v>
      </c>
    </row>
    <row r="75" spans="2:6" x14ac:dyDescent="0.25">
      <c r="B75" s="61" t="s">
        <v>159</v>
      </c>
      <c r="C75" s="52">
        <v>-940337</v>
      </c>
      <c r="D75" s="52">
        <v>-365791.08</v>
      </c>
      <c r="E75" s="52">
        <v>-242042.74</v>
      </c>
      <c r="F75" s="53">
        <f t="shared" si="3"/>
        <v>123748.34000000003</v>
      </c>
    </row>
    <row r="76" spans="2:6" x14ac:dyDescent="0.25">
      <c r="B76" s="61" t="s">
        <v>160</v>
      </c>
      <c r="C76" s="52">
        <v>856000</v>
      </c>
      <c r="D76" s="52">
        <v>332984</v>
      </c>
      <c r="E76" s="52">
        <v>220334.4</v>
      </c>
      <c r="F76" s="53">
        <f t="shared" si="3"/>
        <v>-112649.60000000001</v>
      </c>
    </row>
    <row r="77" spans="2:6" x14ac:dyDescent="0.25">
      <c r="B77" s="61" t="s">
        <v>161</v>
      </c>
      <c r="C77" s="52">
        <v>4953372.97</v>
      </c>
      <c r="D77" s="52">
        <v>1926862.09</v>
      </c>
      <c r="E77" s="52">
        <v>1274998.2</v>
      </c>
      <c r="F77" s="53">
        <f t="shared" si="3"/>
        <v>-651863.89000000013</v>
      </c>
    </row>
    <row r="78" spans="2:6" x14ac:dyDescent="0.25">
      <c r="B78" s="61" t="s">
        <v>162</v>
      </c>
      <c r="C78" s="64">
        <v>3421394.34</v>
      </c>
      <c r="D78" s="64">
        <v>1330922.4099999999</v>
      </c>
      <c r="E78" s="64">
        <v>880666.9</v>
      </c>
      <c r="F78" s="64">
        <f t="shared" si="3"/>
        <v>-450255.50999999989</v>
      </c>
    </row>
    <row r="79" spans="2:6" x14ac:dyDescent="0.25">
      <c r="B79" s="61"/>
      <c r="C79" s="52">
        <f>SUM(C45:C78)</f>
        <v>-109942732.88999999</v>
      </c>
      <c r="D79" s="52">
        <f>SUM(D45:D78)</f>
        <v>-42836386.290000007</v>
      </c>
      <c r="E79" s="52">
        <f>SUM(E45:E78)</f>
        <v>-28382711.800000004</v>
      </c>
      <c r="F79" s="52">
        <f>SUM(F45:F78)</f>
        <v>14453674.489999998</v>
      </c>
    </row>
  </sheetData>
  <mergeCells count="6">
    <mergeCell ref="C11:G11"/>
    <mergeCell ref="D12:E12"/>
    <mergeCell ref="F12:G12"/>
    <mergeCell ref="C4:G4"/>
    <mergeCell ref="D5:E5"/>
    <mergeCell ref="F5:G5"/>
  </mergeCell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topLeftCell="C1" zoomScaleNormal="100" workbookViewId="0">
      <selection activeCell="N15" sqref="N15"/>
    </sheetView>
  </sheetViews>
  <sheetFormatPr defaultColWidth="9.109375" defaultRowHeight="13.2" x14ac:dyDescent="0.25"/>
  <cols>
    <col min="1" max="1" width="6.88671875" style="6" customWidth="1"/>
    <col min="2" max="2" width="24.33203125" style="6" customWidth="1"/>
    <col min="3" max="3" width="15.109375" style="6" customWidth="1"/>
    <col min="4" max="4" width="17.6640625" style="6" customWidth="1"/>
    <col min="5" max="5" width="13.88671875" style="6" customWidth="1"/>
    <col min="6" max="6" width="17.88671875" style="6" customWidth="1"/>
    <col min="7" max="7" width="16.109375" style="6" customWidth="1"/>
    <col min="8" max="8" width="16.44140625" style="6" customWidth="1"/>
    <col min="9" max="9" width="19.5546875" style="6" customWidth="1"/>
    <col min="10" max="10" width="17.109375" style="6" customWidth="1"/>
    <col min="11" max="11" width="12.5546875" style="6" customWidth="1"/>
    <col min="12" max="12" width="10.88671875" style="6" customWidth="1"/>
    <col min="13" max="13" width="12.88671875" style="6" customWidth="1"/>
    <col min="14" max="14" width="16.109375" style="6" customWidth="1"/>
    <col min="15" max="15" width="15.33203125" style="6" customWidth="1"/>
    <col min="16" max="16" width="11.5546875" style="6" bestFit="1" customWidth="1"/>
    <col min="17" max="17" width="12.109375" style="6" customWidth="1"/>
    <col min="18" max="16384" width="9.109375" style="6"/>
  </cols>
  <sheetData>
    <row r="1" spans="1:17" s="2" customFormat="1" ht="20.100000000000001" customHeight="1" x14ac:dyDescent="0.2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9"/>
    </row>
    <row r="2" spans="1:17" s="2" customFormat="1" ht="20.100000000000001" customHeight="1" x14ac:dyDescent="0.25">
      <c r="A2" s="162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29"/>
    </row>
    <row r="3" spans="1:17" s="2" customFormat="1" ht="20.100000000000001" customHeight="1" x14ac:dyDescent="0.25">
      <c r="A3" s="163" t="s">
        <v>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29"/>
    </row>
    <row r="4" spans="1:17" s="2" customFormat="1" ht="20.100000000000001" customHeight="1" x14ac:dyDescent="0.25">
      <c r="A4" s="163" t="s">
        <v>63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9"/>
    </row>
    <row r="5" spans="1:17" s="2" customFormat="1" ht="20.100000000000001" customHeight="1" x14ac:dyDescent="0.25">
      <c r="A5" s="163" t="s">
        <v>72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29"/>
    </row>
    <row r="6" spans="1:17" s="2" customFormat="1" ht="20.100000000000001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7" s="2" customFormat="1" ht="20.100000000000001" customHeight="1" x14ac:dyDescent="0.25">
      <c r="A7" s="3" t="s">
        <v>28</v>
      </c>
      <c r="M7" s="4"/>
    </row>
    <row r="8" spans="1:17" s="2" customFormat="1" ht="20.100000000000001" customHeight="1" x14ac:dyDescent="0.25">
      <c r="A8" s="3" t="s">
        <v>64</v>
      </c>
      <c r="M8" s="4" t="s">
        <v>65</v>
      </c>
    </row>
    <row r="9" spans="1:17" s="2" customFormat="1" ht="20.100000000000001" customHeight="1" x14ac:dyDescent="0.25">
      <c r="A9" s="51" t="s">
        <v>1</v>
      </c>
      <c r="M9" s="4" t="s">
        <v>66</v>
      </c>
    </row>
    <row r="10" spans="1:17" s="2" customFormat="1" ht="20.100000000000001" customHeight="1" x14ac:dyDescent="0.25">
      <c r="A10" s="3" t="s">
        <v>4</v>
      </c>
      <c r="M10" s="5" t="s">
        <v>62</v>
      </c>
    </row>
    <row r="11" spans="1:17" s="2" customFormat="1" ht="20.100000000000001" customHeight="1" x14ac:dyDescent="0.25"/>
    <row r="12" spans="1:17" ht="66" customHeight="1" x14ac:dyDescent="0.25">
      <c r="A12" s="14" t="s">
        <v>5</v>
      </c>
      <c r="B12" s="14" t="s">
        <v>29</v>
      </c>
      <c r="C12" s="14" t="s">
        <v>30</v>
      </c>
      <c r="D12" s="14" t="s">
        <v>67</v>
      </c>
      <c r="E12" s="14" t="s">
        <v>31</v>
      </c>
      <c r="F12" s="14" t="s">
        <v>32</v>
      </c>
      <c r="G12" s="14" t="s">
        <v>49</v>
      </c>
      <c r="H12" s="14" t="s">
        <v>54</v>
      </c>
      <c r="I12" s="14" t="s">
        <v>55</v>
      </c>
      <c r="J12" s="14" t="s">
        <v>50</v>
      </c>
      <c r="K12" s="14" t="s">
        <v>33</v>
      </c>
      <c r="L12" s="14" t="s">
        <v>34</v>
      </c>
      <c r="M12" s="14" t="s">
        <v>35</v>
      </c>
      <c r="N12" s="14" t="s">
        <v>68</v>
      </c>
      <c r="O12" s="14" t="s">
        <v>69</v>
      </c>
    </row>
    <row r="13" spans="1:17" ht="18.899999999999999" customHeight="1" x14ac:dyDescent="0.25">
      <c r="A13" s="7"/>
      <c r="B13" s="30" t="s">
        <v>36</v>
      </c>
      <c r="C13" s="30" t="s">
        <v>37</v>
      </c>
      <c r="D13" s="30" t="s">
        <v>38</v>
      </c>
      <c r="E13" s="30" t="s">
        <v>39</v>
      </c>
      <c r="F13" s="30" t="s">
        <v>40</v>
      </c>
      <c r="G13" s="30" t="s">
        <v>41</v>
      </c>
      <c r="H13" s="30" t="s">
        <v>51</v>
      </c>
      <c r="I13" s="30" t="s">
        <v>52</v>
      </c>
      <c r="J13" s="30" t="s">
        <v>56</v>
      </c>
      <c r="K13" s="30" t="s">
        <v>57</v>
      </c>
      <c r="L13" s="30" t="s">
        <v>58</v>
      </c>
      <c r="M13" s="30" t="s">
        <v>59</v>
      </c>
      <c r="N13" s="43">
        <f>'SCH H-1 (ORDER)'!E24+'SCH H-1 (ORDER)'!E30</f>
        <v>0.38563639899999996</v>
      </c>
      <c r="O13" s="43" t="s">
        <v>70</v>
      </c>
    </row>
    <row r="14" spans="1:17" ht="18.899999999999999" customHeight="1" x14ac:dyDescent="0.25">
      <c r="A14" s="7"/>
      <c r="B14" s="12"/>
      <c r="C14" s="12"/>
      <c r="D14" s="13" t="s">
        <v>6</v>
      </c>
      <c r="E14" s="13" t="s">
        <v>6</v>
      </c>
      <c r="F14" s="13" t="s">
        <v>6</v>
      </c>
      <c r="G14" s="13"/>
      <c r="H14" s="13" t="s">
        <v>6</v>
      </c>
      <c r="I14" s="13" t="s">
        <v>6</v>
      </c>
      <c r="J14" s="13" t="s">
        <v>6</v>
      </c>
      <c r="K14" s="13"/>
      <c r="L14" s="13" t="s">
        <v>42</v>
      </c>
      <c r="M14" s="13" t="s">
        <v>42</v>
      </c>
      <c r="N14" s="13" t="s">
        <v>42</v>
      </c>
      <c r="O14" s="13" t="s">
        <v>42</v>
      </c>
    </row>
    <row r="15" spans="1:17" ht="18.899999999999999" customHeight="1" x14ac:dyDescent="0.25">
      <c r="A15" s="10"/>
      <c r="B15" s="8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Q15" s="2"/>
    </row>
    <row r="16" spans="1:17" ht="18.899999999999999" customHeight="1" x14ac:dyDescent="0.25">
      <c r="A16" s="10">
        <v>1</v>
      </c>
      <c r="B16" s="8" t="s">
        <v>43</v>
      </c>
      <c r="C16" s="11" t="s">
        <v>44</v>
      </c>
      <c r="D16" s="9">
        <v>129187210.62411569</v>
      </c>
      <c r="E16" s="9">
        <f>J40</f>
        <v>-30146.840487458645</v>
      </c>
      <c r="F16" s="9">
        <f>SUM(D16:E16)</f>
        <v>129157063.78362823</v>
      </c>
      <c r="G16" s="31">
        <v>0.89280000000000004</v>
      </c>
      <c r="H16" s="9">
        <f>F16*G16</f>
        <v>115311426.54602328</v>
      </c>
      <c r="I16" s="9">
        <f>J64</f>
        <v>-26243509.738680318</v>
      </c>
      <c r="J16" s="9">
        <f>SUM(H16:I16)</f>
        <v>89067916.807342961</v>
      </c>
      <c r="K16" s="31">
        <f>H16/H$22</f>
        <v>2.468633552182883E-2</v>
      </c>
      <c r="L16" s="31">
        <v>7.4212675614836578E-3</v>
      </c>
      <c r="M16" s="31">
        <f>K16*L16</f>
        <v>1.8320390102005005E-4</v>
      </c>
      <c r="N16" s="31"/>
      <c r="O16" s="31">
        <f>SUM(M16:N16)</f>
        <v>1.8320390102005005E-4</v>
      </c>
      <c r="P16" s="31"/>
      <c r="Q16" s="9"/>
    </row>
    <row r="17" spans="1:17" ht="18.899999999999999" customHeight="1" x14ac:dyDescent="0.25">
      <c r="A17" s="10"/>
      <c r="B17" s="8"/>
      <c r="C17" s="11"/>
      <c r="D17" s="9"/>
      <c r="E17" s="9"/>
      <c r="F17" s="9"/>
      <c r="G17" s="31"/>
      <c r="H17" s="9"/>
      <c r="I17" s="9"/>
      <c r="J17" s="9"/>
      <c r="K17" s="31"/>
      <c r="L17" s="32"/>
      <c r="M17" s="32"/>
      <c r="N17" s="32"/>
      <c r="O17" s="32"/>
      <c r="P17" s="31"/>
      <c r="Q17" s="9"/>
    </row>
    <row r="18" spans="1:17" ht="18.899999999999999" customHeight="1" x14ac:dyDescent="0.25">
      <c r="A18" s="10">
        <v>2</v>
      </c>
      <c r="B18" s="8" t="s">
        <v>45</v>
      </c>
      <c r="C18" s="11" t="s">
        <v>46</v>
      </c>
      <c r="D18" s="9">
        <v>2315890751.4050875</v>
      </c>
      <c r="E18" s="9">
        <f>J42</f>
        <v>-540431.12109703722</v>
      </c>
      <c r="F18" s="9">
        <f>SUM(D18:E18)</f>
        <v>2315350320.2839904</v>
      </c>
      <c r="G18" s="31">
        <f>G$16</f>
        <v>0.89280000000000004</v>
      </c>
      <c r="H18" s="9">
        <f>F18*G18</f>
        <v>2067144765.9495468</v>
      </c>
      <c r="I18" s="9">
        <f>J66</f>
        <v>-470457572.34480989</v>
      </c>
      <c r="J18" s="9">
        <f>SUM(H18:I18)</f>
        <v>1596687193.6047368</v>
      </c>
      <c r="K18" s="31">
        <f>H18/H$22</f>
        <v>0.44254269323479034</v>
      </c>
      <c r="L18" s="33">
        <v>4.1173858867490545E-2</v>
      </c>
      <c r="M18" s="31">
        <f>K18*L18</f>
        <v>1.822119039408842E-2</v>
      </c>
      <c r="N18" s="31"/>
      <c r="O18" s="31">
        <f>SUM(M18:N18)</f>
        <v>1.822119039408842E-2</v>
      </c>
      <c r="P18" s="31"/>
      <c r="Q18" s="9"/>
    </row>
    <row r="19" spans="1:17" ht="18.899999999999999" customHeight="1" x14ac:dyDescent="0.25">
      <c r="A19" s="10"/>
      <c r="B19" s="8"/>
      <c r="C19" s="11"/>
      <c r="D19" s="34"/>
      <c r="E19" s="34"/>
      <c r="F19" s="34"/>
      <c r="G19" s="35"/>
      <c r="H19" s="34"/>
      <c r="I19" s="34"/>
      <c r="J19" s="34"/>
      <c r="K19" s="35"/>
      <c r="L19" s="36"/>
      <c r="M19" s="35"/>
      <c r="N19" s="35"/>
      <c r="O19" s="35"/>
      <c r="P19" s="35"/>
      <c r="Q19" s="34"/>
    </row>
    <row r="20" spans="1:17" ht="18.899999999999999" customHeight="1" x14ac:dyDescent="0.25">
      <c r="A20" s="10">
        <v>3</v>
      </c>
      <c r="B20" s="8" t="s">
        <v>47</v>
      </c>
      <c r="C20" s="11"/>
      <c r="D20" s="15">
        <v>2788572733.5827875</v>
      </c>
      <c r="E20" s="15">
        <f>J44</f>
        <v>-1154801.3384155042</v>
      </c>
      <c r="F20" s="15">
        <f>SUM(D20:E20)</f>
        <v>2787417932.2443719</v>
      </c>
      <c r="G20" s="31">
        <f>G$16</f>
        <v>0.89280000000000004</v>
      </c>
      <c r="H20" s="15">
        <f>F20*G20</f>
        <v>2488606729.9077754</v>
      </c>
      <c r="I20" s="15">
        <f>J68</f>
        <v>-566377304.5597831</v>
      </c>
      <c r="J20" s="15">
        <f>SUM(H20:I20)</f>
        <v>1922229425.3479924</v>
      </c>
      <c r="K20" s="37">
        <f>H20/H$22</f>
        <v>0.53277097124338091</v>
      </c>
      <c r="L20" s="31">
        <v>9.7000000000000003E-2</v>
      </c>
      <c r="M20" s="37">
        <f>K20*L20</f>
        <v>5.1678784210607953E-2</v>
      </c>
      <c r="N20" s="37">
        <f>M20*(N13/(1-N13))</f>
        <v>3.2438803690905682E-2</v>
      </c>
      <c r="O20" s="37">
        <f>SUM(M20:N20)</f>
        <v>8.4117587901513635E-2</v>
      </c>
      <c r="P20" s="31"/>
      <c r="Q20" s="9"/>
    </row>
    <row r="21" spans="1:17" ht="18.899999999999999" customHeight="1" x14ac:dyDescent="0.25">
      <c r="A21" s="10"/>
      <c r="B21" s="8"/>
      <c r="C21" s="11"/>
      <c r="D21" s="9"/>
      <c r="E21" s="9"/>
      <c r="F21" s="9"/>
      <c r="G21" s="32"/>
      <c r="H21" s="9"/>
      <c r="I21" s="9"/>
      <c r="J21" s="9"/>
      <c r="K21" s="32"/>
      <c r="L21" s="32"/>
      <c r="M21" s="31"/>
      <c r="N21" s="31"/>
      <c r="O21" s="31"/>
      <c r="P21" s="32"/>
      <c r="Q21" s="9"/>
    </row>
    <row r="22" spans="1:17" ht="18.899999999999999" customHeight="1" thickBot="1" x14ac:dyDescent="0.3">
      <c r="A22" s="10">
        <v>4</v>
      </c>
      <c r="B22" s="8" t="s">
        <v>48</v>
      </c>
      <c r="C22" s="11"/>
      <c r="D22" s="16">
        <f>SUM(D16:D20)</f>
        <v>5233650695.61199</v>
      </c>
      <c r="E22" s="16">
        <f>SUM(E16:E20)</f>
        <v>-1725379.3</v>
      </c>
      <c r="F22" s="16">
        <f>SUM(F16:F20)</f>
        <v>5231925316.3119907</v>
      </c>
      <c r="G22" s="31"/>
      <c r="H22" s="16">
        <f>SUM(H16:H20)</f>
        <v>4671062922.4033451</v>
      </c>
      <c r="I22" s="16">
        <f>SUM(I16:I20)</f>
        <v>-1063078386.6432734</v>
      </c>
      <c r="J22" s="16">
        <f>SUM(J16:J20)</f>
        <v>3607984535.7600722</v>
      </c>
      <c r="K22" s="38">
        <f>SUM(K16:K20)</f>
        <v>1</v>
      </c>
      <c r="L22" s="32"/>
      <c r="M22" s="38">
        <f t="shared" ref="M22:O22" si="0">SUM(M16:M20)</f>
        <v>7.0083178505716423E-2</v>
      </c>
      <c r="N22" s="38">
        <f t="shared" si="0"/>
        <v>3.2438803690905682E-2</v>
      </c>
      <c r="O22" s="38">
        <f t="shared" si="0"/>
        <v>0.10252198219662211</v>
      </c>
      <c r="P22" s="31"/>
      <c r="Q22" s="9"/>
    </row>
    <row r="23" spans="1:17" ht="18.899999999999999" customHeight="1" thickTop="1" x14ac:dyDescent="0.25">
      <c r="A23" s="10"/>
      <c r="B23" s="8"/>
      <c r="C23" s="11"/>
      <c r="D23" s="21"/>
      <c r="E23" s="21"/>
      <c r="F23" s="21"/>
      <c r="G23" s="21"/>
      <c r="H23" s="9"/>
      <c r="I23" s="9"/>
      <c r="J23" s="9"/>
      <c r="K23" s="21"/>
      <c r="L23" s="21"/>
      <c r="M23" s="21"/>
      <c r="N23" s="21"/>
      <c r="Q23" s="39"/>
    </row>
    <row r="24" spans="1:17" ht="18.899999999999999" customHeight="1" x14ac:dyDescent="0.25">
      <c r="A24" s="10"/>
      <c r="B24" s="8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</row>
    <row r="25" spans="1:17" s="2" customFormat="1" ht="20.100000000000001" customHeight="1" x14ac:dyDescent="0.25">
      <c r="A25" s="162" t="s">
        <v>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44"/>
      <c r="L25" s="44"/>
      <c r="M25" s="44"/>
      <c r="N25" s="45"/>
    </row>
    <row r="26" spans="1:17" s="2" customFormat="1" ht="20.100000000000001" customHeight="1" x14ac:dyDescent="0.3">
      <c r="A26" s="162" t="s">
        <v>71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44"/>
      <c r="L26" s="44"/>
      <c r="M26" s="50"/>
      <c r="N26" s="45"/>
    </row>
    <row r="27" spans="1:17" s="2" customFormat="1" ht="20.100000000000001" customHeight="1" x14ac:dyDescent="0.25">
      <c r="A27" s="162" t="s">
        <v>73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44"/>
      <c r="L27" s="44"/>
      <c r="M27" s="44"/>
      <c r="N27" s="45"/>
      <c r="O27" s="44"/>
    </row>
    <row r="28" spans="1:17" s="2" customFormat="1" ht="20.100000000000001" customHeight="1" x14ac:dyDescent="0.25">
      <c r="A28" s="162" t="s">
        <v>63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44"/>
      <c r="L28" s="44"/>
      <c r="M28" s="44"/>
      <c r="N28" s="29"/>
    </row>
    <row r="29" spans="1:17" s="2" customFormat="1" ht="20.100000000000001" customHeight="1" x14ac:dyDescent="0.25">
      <c r="A29" s="162" t="s">
        <v>72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44"/>
      <c r="L29" s="44"/>
      <c r="M29" s="44"/>
      <c r="N29" s="29"/>
    </row>
    <row r="30" spans="1:17" s="2" customFormat="1" ht="20.100000000000001" customHeight="1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7" s="2" customFormat="1" ht="20.100000000000001" customHeight="1" x14ac:dyDescent="0.25">
      <c r="A31" s="3" t="s">
        <v>28</v>
      </c>
      <c r="M31" s="4"/>
    </row>
    <row r="32" spans="1:17" s="2" customFormat="1" ht="20.100000000000001" customHeight="1" x14ac:dyDescent="0.25">
      <c r="A32" s="3" t="s">
        <v>64</v>
      </c>
      <c r="J32" s="4" t="s">
        <v>65</v>
      </c>
    </row>
    <row r="33" spans="1:17" s="2" customFormat="1" ht="20.100000000000001" customHeight="1" x14ac:dyDescent="0.25">
      <c r="A33" s="51" t="s">
        <v>1</v>
      </c>
      <c r="J33" s="4" t="s">
        <v>74</v>
      </c>
    </row>
    <row r="34" spans="1:17" s="2" customFormat="1" ht="20.100000000000001" customHeight="1" x14ac:dyDescent="0.25">
      <c r="A34" s="3" t="s">
        <v>4</v>
      </c>
      <c r="J34" s="5" t="s">
        <v>62</v>
      </c>
    </row>
    <row r="35" spans="1:17" s="2" customFormat="1" ht="20.100000000000001" customHeight="1" x14ac:dyDescent="0.25"/>
    <row r="36" spans="1:17" ht="48" customHeight="1" x14ac:dyDescent="0.25">
      <c r="A36" s="14" t="s">
        <v>5</v>
      </c>
      <c r="B36" s="14" t="s">
        <v>29</v>
      </c>
      <c r="C36" s="14" t="s">
        <v>30</v>
      </c>
      <c r="D36" s="14" t="s">
        <v>67</v>
      </c>
      <c r="E36" s="14" t="s">
        <v>33</v>
      </c>
      <c r="F36" s="14" t="s">
        <v>75</v>
      </c>
      <c r="G36" s="14" t="s">
        <v>76</v>
      </c>
      <c r="H36" s="14" t="s">
        <v>77</v>
      </c>
      <c r="I36" s="14" t="s">
        <v>78</v>
      </c>
      <c r="J36" s="14" t="s">
        <v>31</v>
      </c>
      <c r="K36" s="11"/>
      <c r="L36" s="11"/>
      <c r="M36" s="11"/>
      <c r="N36" s="11"/>
    </row>
    <row r="37" spans="1:17" ht="18.899999999999999" customHeight="1" x14ac:dyDescent="0.25">
      <c r="A37" s="7"/>
      <c r="B37" s="30" t="s">
        <v>36</v>
      </c>
      <c r="C37" s="30" t="s">
        <v>37</v>
      </c>
      <c r="D37" s="30" t="s">
        <v>38</v>
      </c>
      <c r="E37" s="30" t="s">
        <v>39</v>
      </c>
      <c r="F37" s="30" t="s">
        <v>79</v>
      </c>
      <c r="G37" s="30" t="s">
        <v>41</v>
      </c>
      <c r="H37" s="30" t="s">
        <v>80</v>
      </c>
      <c r="I37" s="30" t="s">
        <v>52</v>
      </c>
      <c r="J37" s="30" t="s">
        <v>81</v>
      </c>
      <c r="K37" s="30"/>
      <c r="L37" s="30"/>
      <c r="M37" s="30"/>
      <c r="N37" s="30"/>
    </row>
    <row r="38" spans="1:17" ht="18.899999999999999" customHeight="1" x14ac:dyDescent="0.25">
      <c r="A38" s="7"/>
      <c r="B38" s="12"/>
      <c r="C38" s="12"/>
      <c r="D38" s="13" t="s">
        <v>6</v>
      </c>
      <c r="E38" s="13"/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/>
      <c r="L38" s="13"/>
      <c r="M38" s="13"/>
      <c r="N38" s="13"/>
    </row>
    <row r="39" spans="1:17" ht="18.899999999999999" customHeight="1" x14ac:dyDescent="0.25">
      <c r="A39" s="10"/>
      <c r="B39" s="8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Q39" s="2"/>
    </row>
    <row r="40" spans="1:17" ht="18.899999999999999" customHeight="1" x14ac:dyDescent="0.25">
      <c r="A40" s="10">
        <v>1</v>
      </c>
      <c r="B40" s="8" t="s">
        <v>43</v>
      </c>
      <c r="C40" s="11" t="s">
        <v>44</v>
      </c>
      <c r="D40" s="9">
        <f>D16</f>
        <v>129187210.62411569</v>
      </c>
      <c r="E40" s="31">
        <f>D40/D$46</f>
        <v>2.4683957363151716E-2</v>
      </c>
      <c r="F40" s="9">
        <v>0</v>
      </c>
      <c r="G40" s="9">
        <f>S40</f>
        <v>0</v>
      </c>
      <c r="H40" s="9">
        <f>H$46*$E40</f>
        <v>-6170.989340787929</v>
      </c>
      <c r="I40" s="9">
        <f>I$46*$E40</f>
        <v>-23975.851146670717</v>
      </c>
      <c r="J40" s="9">
        <f>SUM(F40:I40)</f>
        <v>-30146.840487458645</v>
      </c>
      <c r="K40" s="31"/>
      <c r="L40" s="31"/>
      <c r="M40" s="31"/>
      <c r="N40" s="9"/>
      <c r="P40" s="31"/>
      <c r="Q40" s="9"/>
    </row>
    <row r="41" spans="1:17" ht="18.899999999999999" customHeight="1" x14ac:dyDescent="0.25">
      <c r="A41" s="10"/>
      <c r="B41" s="8"/>
      <c r="C41" s="11"/>
      <c r="D41" s="9"/>
      <c r="E41" s="31"/>
      <c r="F41" s="9"/>
      <c r="G41" s="9"/>
      <c r="H41" s="9"/>
      <c r="I41" s="9"/>
      <c r="J41" s="9"/>
      <c r="K41" s="31"/>
      <c r="L41" s="32"/>
      <c r="M41" s="32"/>
      <c r="N41" s="9"/>
      <c r="P41" s="31"/>
      <c r="Q41" s="9"/>
    </row>
    <row r="42" spans="1:17" ht="18.899999999999999" customHeight="1" x14ac:dyDescent="0.25">
      <c r="A42" s="10">
        <v>2</v>
      </c>
      <c r="B42" s="8" t="s">
        <v>45</v>
      </c>
      <c r="C42" s="11" t="s">
        <v>46</v>
      </c>
      <c r="D42" s="9">
        <f>D18</f>
        <v>2315890751.4050875</v>
      </c>
      <c r="E42" s="31">
        <f>D42/D$46</f>
        <v>0.44250006087467436</v>
      </c>
      <c r="F42" s="9">
        <v>0</v>
      </c>
      <c r="G42" s="39">
        <f>S42</f>
        <v>0</v>
      </c>
      <c r="H42" s="9">
        <f>H$46*$E42</f>
        <v>-110625.01521866859</v>
      </c>
      <c r="I42" s="9">
        <f>I$46*$E42</f>
        <v>-429806.1058783686</v>
      </c>
      <c r="J42" s="9">
        <f>SUM(F42:I42)</f>
        <v>-540431.12109703722</v>
      </c>
      <c r="K42" s="31"/>
      <c r="L42" s="33"/>
      <c r="M42" s="31"/>
      <c r="P42" s="31"/>
      <c r="Q42" s="9"/>
    </row>
    <row r="43" spans="1:17" ht="18.899999999999999" customHeight="1" x14ac:dyDescent="0.25">
      <c r="A43" s="10"/>
      <c r="B43" s="8"/>
      <c r="C43" s="11"/>
      <c r="D43" s="34"/>
      <c r="E43" s="35"/>
      <c r="F43" s="34"/>
      <c r="G43" s="34"/>
      <c r="H43" s="34"/>
      <c r="I43" s="34"/>
      <c r="J43" s="34"/>
      <c r="K43" s="35"/>
      <c r="L43" s="36"/>
      <c r="M43" s="35"/>
      <c r="N43" s="34"/>
      <c r="P43" s="35"/>
      <c r="Q43" s="34"/>
    </row>
    <row r="44" spans="1:17" ht="18.899999999999999" customHeight="1" x14ac:dyDescent="0.25">
      <c r="A44" s="10">
        <v>3</v>
      </c>
      <c r="B44" s="8" t="s">
        <v>47</v>
      </c>
      <c r="C44" s="11"/>
      <c r="D44" s="15">
        <f>D20</f>
        <v>2788572733.5827875</v>
      </c>
      <c r="E44" s="37">
        <f>D44/D$46</f>
        <v>0.53281598176217404</v>
      </c>
      <c r="F44" s="15">
        <f>F46</f>
        <v>0</v>
      </c>
      <c r="G44" s="15">
        <f>G46</f>
        <v>-504066.19999999995</v>
      </c>
      <c r="H44" s="15">
        <f>H$46*$E44</f>
        <v>-133203.99544054351</v>
      </c>
      <c r="I44" s="15">
        <f>I$46*$E44</f>
        <v>-517531.14297496068</v>
      </c>
      <c r="J44" s="15">
        <f>SUM(F44:I44)</f>
        <v>-1154801.3384155042</v>
      </c>
      <c r="K44" s="31"/>
      <c r="L44" s="31"/>
      <c r="M44" s="31"/>
      <c r="N44" s="9"/>
      <c r="P44" s="31"/>
      <c r="Q44" s="9"/>
    </row>
    <row r="45" spans="1:17" ht="18.899999999999999" customHeight="1" x14ac:dyDescent="0.25">
      <c r="A45" s="10"/>
      <c r="B45" s="8"/>
      <c r="C45" s="11"/>
      <c r="D45" s="9"/>
      <c r="E45" s="32"/>
      <c r="F45" s="9"/>
      <c r="G45" s="9"/>
      <c r="H45" s="9"/>
      <c r="I45" s="9"/>
      <c r="J45" s="9"/>
      <c r="K45" s="32"/>
      <c r="L45" s="32"/>
      <c r="M45" s="31"/>
      <c r="N45" s="9"/>
      <c r="P45" s="32"/>
      <c r="Q45" s="9"/>
    </row>
    <row r="46" spans="1:17" ht="18.899999999999999" customHeight="1" thickBot="1" x14ac:dyDescent="0.3">
      <c r="A46" s="10">
        <v>4</v>
      </c>
      <c r="B46" s="8" t="s">
        <v>48</v>
      </c>
      <c r="C46" s="11"/>
      <c r="D46" s="16">
        <f>SUM(D40:D44)</f>
        <v>5233650695.61199</v>
      </c>
      <c r="E46" s="38">
        <f>SUM(E40:E44)</f>
        <v>1</v>
      </c>
      <c r="F46" s="16">
        <v>0</v>
      </c>
      <c r="G46" s="16">
        <f>-(1295.8*0.389)*1000</f>
        <v>-504066.19999999995</v>
      </c>
      <c r="H46" s="16">
        <v>-250000</v>
      </c>
      <c r="I46" s="16">
        <v>-971313.09999999986</v>
      </c>
      <c r="J46" s="16">
        <f>SUM(J40:J44)</f>
        <v>-1725379.3</v>
      </c>
      <c r="K46" s="31"/>
      <c r="L46" s="32"/>
      <c r="M46" s="31"/>
      <c r="N46" s="9"/>
      <c r="P46" s="31"/>
      <c r="Q46" s="9"/>
    </row>
    <row r="47" spans="1:17" ht="18.899999999999999" customHeight="1" thickTop="1" x14ac:dyDescent="0.25">
      <c r="A47" s="10"/>
      <c r="B47" s="8"/>
      <c r="C47" s="11"/>
      <c r="D47" s="21"/>
      <c r="E47" s="21"/>
      <c r="F47" s="21"/>
      <c r="G47" s="21"/>
      <c r="H47" s="9"/>
      <c r="I47" s="9"/>
      <c r="J47" s="9"/>
      <c r="K47" s="21"/>
      <c r="L47" s="21"/>
      <c r="M47" s="21"/>
      <c r="N47" s="21"/>
      <c r="Q47" s="39"/>
    </row>
    <row r="48" spans="1:17" ht="18.899999999999999" customHeight="1" x14ac:dyDescent="0.25"/>
    <row r="49" spans="1:17" s="2" customFormat="1" ht="20.100000000000001" customHeight="1" x14ac:dyDescent="0.25">
      <c r="A49" s="162" t="str">
        <f>A25</f>
        <v>KENTUCKY UTILITIES COMPANY</v>
      </c>
      <c r="B49" s="162"/>
      <c r="C49" s="162"/>
      <c r="D49" s="162"/>
      <c r="E49" s="162"/>
      <c r="F49" s="162"/>
      <c r="G49" s="162"/>
      <c r="H49" s="162"/>
      <c r="I49" s="162"/>
      <c r="J49" s="162"/>
      <c r="K49" s="44"/>
      <c r="L49" s="44"/>
      <c r="M49" s="44"/>
      <c r="N49" s="29"/>
    </row>
    <row r="50" spans="1:17" s="2" customFormat="1" ht="20.100000000000001" customHeight="1" x14ac:dyDescent="0.25">
      <c r="A50" s="162" t="str">
        <f>A26</f>
        <v>CASE NO. 2016-00370</v>
      </c>
      <c r="B50" s="162"/>
      <c r="C50" s="162"/>
      <c r="D50" s="162"/>
      <c r="E50" s="162"/>
      <c r="F50" s="162"/>
      <c r="G50" s="162"/>
      <c r="H50" s="162"/>
      <c r="I50" s="162"/>
      <c r="J50" s="162"/>
      <c r="K50" s="44"/>
      <c r="L50" s="44"/>
      <c r="M50" s="44"/>
      <c r="N50" s="29"/>
    </row>
    <row r="51" spans="1:17" s="2" customFormat="1" ht="20.100000000000001" customHeight="1" x14ac:dyDescent="0.25">
      <c r="A51" s="162" t="s">
        <v>82</v>
      </c>
      <c r="B51" s="162"/>
      <c r="C51" s="162"/>
      <c r="D51" s="162"/>
      <c r="E51" s="162"/>
      <c r="F51" s="162"/>
      <c r="G51" s="162"/>
      <c r="H51" s="162"/>
      <c r="I51" s="162"/>
      <c r="J51" s="162"/>
      <c r="K51" s="44"/>
      <c r="L51" s="44"/>
      <c r="M51" s="44"/>
      <c r="N51" s="29"/>
    </row>
    <row r="52" spans="1:17" s="2" customFormat="1" ht="20.100000000000001" customHeight="1" x14ac:dyDescent="0.25">
      <c r="A52" s="162" t="s">
        <v>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44"/>
      <c r="L52" s="44"/>
      <c r="M52" s="44"/>
      <c r="N52" s="29"/>
    </row>
    <row r="53" spans="1:17" s="2" customFormat="1" ht="20.100000000000001" customHeight="1" x14ac:dyDescent="0.25">
      <c r="A53" s="162" t="str">
        <f>A29</f>
        <v>FROM JULY 1, 2017 TO JUNE 30, 2018</v>
      </c>
      <c r="B53" s="162"/>
      <c r="C53" s="162"/>
      <c r="D53" s="162"/>
      <c r="E53" s="162"/>
      <c r="F53" s="162"/>
      <c r="G53" s="162"/>
      <c r="H53" s="162"/>
      <c r="I53" s="162"/>
      <c r="J53" s="162"/>
      <c r="K53" s="44"/>
      <c r="L53" s="44"/>
      <c r="M53" s="44"/>
      <c r="N53" s="29"/>
    </row>
    <row r="54" spans="1:17" s="2" customFormat="1" ht="20.100000000000001" customHeight="1" x14ac:dyDescent="0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7" s="2" customFormat="1" ht="20.100000000000001" customHeight="1" x14ac:dyDescent="0.25">
      <c r="A55" s="3" t="s">
        <v>28</v>
      </c>
      <c r="M55" s="4"/>
    </row>
    <row r="56" spans="1:17" s="2" customFormat="1" ht="20.100000000000001" customHeight="1" x14ac:dyDescent="0.25">
      <c r="A56" s="3" t="s">
        <v>64</v>
      </c>
      <c r="J56" s="4" t="s">
        <v>65</v>
      </c>
    </row>
    <row r="57" spans="1:17" s="2" customFormat="1" ht="20.100000000000001" customHeight="1" x14ac:dyDescent="0.25">
      <c r="A57" s="51" t="s">
        <v>1</v>
      </c>
      <c r="J57" s="4" t="s">
        <v>83</v>
      </c>
    </row>
    <row r="58" spans="1:17" s="2" customFormat="1" ht="20.100000000000001" customHeight="1" x14ac:dyDescent="0.25">
      <c r="A58" s="3" t="s">
        <v>4</v>
      </c>
      <c r="J58" s="5" t="s">
        <v>62</v>
      </c>
    </row>
    <row r="59" spans="1:17" s="2" customFormat="1" ht="20.100000000000001" customHeight="1" x14ac:dyDescent="0.25"/>
    <row r="60" spans="1:17" ht="48" customHeight="1" x14ac:dyDescent="0.25">
      <c r="A60" s="14" t="s">
        <v>5</v>
      </c>
      <c r="B60" s="14" t="s">
        <v>29</v>
      </c>
      <c r="C60" s="14" t="s">
        <v>30</v>
      </c>
      <c r="D60" s="14" t="s">
        <v>54</v>
      </c>
      <c r="E60" s="14" t="s">
        <v>33</v>
      </c>
      <c r="F60" s="14" t="s">
        <v>84</v>
      </c>
      <c r="G60" s="14" t="s">
        <v>85</v>
      </c>
      <c r="H60" s="14" t="s">
        <v>86</v>
      </c>
      <c r="I60" s="14"/>
      <c r="J60" s="14" t="s">
        <v>55</v>
      </c>
      <c r="K60" s="11"/>
      <c r="L60" s="11"/>
      <c r="M60" s="11"/>
      <c r="N60" s="11"/>
    </row>
    <row r="61" spans="1:17" ht="18.899999999999999" customHeight="1" x14ac:dyDescent="0.25">
      <c r="A61" s="7"/>
      <c r="B61" s="30" t="s">
        <v>36</v>
      </c>
      <c r="C61" s="30" t="s">
        <v>37</v>
      </c>
      <c r="D61" s="30" t="s">
        <v>87</v>
      </c>
      <c r="E61" s="30" t="s">
        <v>39</v>
      </c>
      <c r="F61" s="30" t="s">
        <v>79</v>
      </c>
      <c r="G61" s="30" t="s">
        <v>41</v>
      </c>
      <c r="H61" s="30" t="s">
        <v>80</v>
      </c>
      <c r="I61" s="30"/>
      <c r="J61" s="30" t="s">
        <v>88</v>
      </c>
      <c r="K61" s="30"/>
      <c r="L61" s="30"/>
      <c r="M61" s="30"/>
      <c r="N61" s="30"/>
    </row>
    <row r="62" spans="1:17" ht="18.899999999999999" customHeight="1" x14ac:dyDescent="0.25">
      <c r="A62" s="7"/>
      <c r="B62" s="12"/>
      <c r="D62" s="13" t="s">
        <v>6</v>
      </c>
      <c r="E62" s="13"/>
      <c r="F62" s="13" t="s">
        <v>6</v>
      </c>
      <c r="G62" s="13" t="s">
        <v>6</v>
      </c>
      <c r="H62" s="13" t="s">
        <v>6</v>
      </c>
      <c r="I62" s="13"/>
      <c r="J62" s="13" t="s">
        <v>6</v>
      </c>
      <c r="K62" s="13"/>
      <c r="L62" s="13"/>
      <c r="M62" s="13"/>
      <c r="N62" s="13"/>
    </row>
    <row r="63" spans="1:17" ht="18.899999999999999" customHeight="1" x14ac:dyDescent="0.25">
      <c r="A63" s="10"/>
      <c r="B63" s="8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Q63" s="2"/>
    </row>
    <row r="64" spans="1:17" ht="18.899999999999999" customHeight="1" x14ac:dyDescent="0.25">
      <c r="A64" s="10">
        <v>1</v>
      </c>
      <c r="B64" s="8" t="s">
        <v>43</v>
      </c>
      <c r="C64" s="11"/>
      <c r="D64" s="9">
        <f>H16</f>
        <v>115311426.54602328</v>
      </c>
      <c r="E64" s="31">
        <f>D64/D$70</f>
        <v>2.468633552182883E-2</v>
      </c>
      <c r="F64" s="9">
        <f>F$70*$E64</f>
        <v>-25309255.802826487</v>
      </c>
      <c r="G64" s="9">
        <f>G$70*$E64</f>
        <v>-173515.03126406219</v>
      </c>
      <c r="H64" s="9">
        <f>H$70*$E64</f>
        <v>-760738.9045897685</v>
      </c>
      <c r="I64" s="9"/>
      <c r="J64" s="9">
        <f>SUM(F64:I64)</f>
        <v>-26243509.738680318</v>
      </c>
      <c r="K64" s="31"/>
      <c r="L64" s="31"/>
      <c r="M64" s="31"/>
      <c r="N64" s="9"/>
      <c r="P64" s="31"/>
      <c r="Q64" s="9"/>
    </row>
    <row r="65" spans="1:17" ht="18.899999999999999" customHeight="1" x14ac:dyDescent="0.25">
      <c r="A65" s="10"/>
      <c r="B65" s="8"/>
      <c r="C65" s="11"/>
      <c r="D65" s="9"/>
      <c r="E65" s="31"/>
      <c r="F65" s="9"/>
      <c r="G65" s="9"/>
      <c r="H65" s="9"/>
      <c r="I65" s="9"/>
      <c r="J65" s="9"/>
      <c r="K65" s="31"/>
      <c r="L65" s="32"/>
      <c r="M65" s="32"/>
      <c r="N65" s="9"/>
      <c r="P65" s="31"/>
      <c r="Q65" s="9"/>
    </row>
    <row r="66" spans="1:17" ht="18.899999999999999" customHeight="1" x14ac:dyDescent="0.25">
      <c r="A66" s="10">
        <v>2</v>
      </c>
      <c r="B66" s="8" t="s">
        <v>45</v>
      </c>
      <c r="C66" s="11"/>
      <c r="D66" s="9">
        <f>H18</f>
        <v>2067144765.9495468</v>
      </c>
      <c r="E66" s="31">
        <f>D66/D$70</f>
        <v>0.44254269323479034</v>
      </c>
      <c r="F66" s="9">
        <f>F$70*$E66</f>
        <v>-453709551.86309975</v>
      </c>
      <c r="G66" s="9">
        <f>G$70*$E66</f>
        <v>-3110538.9937043306</v>
      </c>
      <c r="H66" s="9">
        <f>H$70*$E66</f>
        <v>-13637481.488005787</v>
      </c>
      <c r="I66" s="9"/>
      <c r="J66" s="9">
        <f>SUM(F66:I66)</f>
        <v>-470457572.34480989</v>
      </c>
      <c r="K66" s="31"/>
      <c r="L66" s="33"/>
      <c r="M66" s="31"/>
      <c r="P66" s="31"/>
      <c r="Q66" s="9"/>
    </row>
    <row r="67" spans="1:17" ht="18.899999999999999" customHeight="1" x14ac:dyDescent="0.25">
      <c r="A67" s="10"/>
      <c r="B67" s="8"/>
      <c r="C67" s="11"/>
      <c r="D67" s="34"/>
      <c r="E67" s="35"/>
      <c r="F67" s="34"/>
      <c r="G67" s="34"/>
      <c r="H67" s="34"/>
      <c r="I67" s="34"/>
      <c r="J67" s="34"/>
      <c r="K67" s="35"/>
      <c r="L67" s="36"/>
      <c r="M67" s="35"/>
      <c r="N67" s="34"/>
      <c r="P67" s="35"/>
      <c r="Q67" s="34"/>
    </row>
    <row r="68" spans="1:17" ht="18.899999999999999" customHeight="1" x14ac:dyDescent="0.25">
      <c r="A68" s="10">
        <v>3</v>
      </c>
      <c r="B68" s="8" t="s">
        <v>47</v>
      </c>
      <c r="C68" s="11"/>
      <c r="D68" s="15">
        <f>H20</f>
        <v>2488606729.9077754</v>
      </c>
      <c r="E68" s="37">
        <f>D68/D$70</f>
        <v>0.53277097124338091</v>
      </c>
      <c r="F68" s="15">
        <f>F$70*$E68</f>
        <v>-546214596.4756825</v>
      </c>
      <c r="G68" s="15">
        <f>G$70*$E68</f>
        <v>-3744734.4766960992</v>
      </c>
      <c r="H68" s="15">
        <f>H$70*$E68</f>
        <v>-16417973.607404448</v>
      </c>
      <c r="I68" s="15"/>
      <c r="J68" s="15">
        <f>SUM(F68:I68)</f>
        <v>-566377304.5597831</v>
      </c>
      <c r="K68" s="31"/>
      <c r="L68" s="31"/>
      <c r="M68" s="31"/>
      <c r="N68" s="9"/>
      <c r="P68" s="31"/>
      <c r="Q68" s="9"/>
    </row>
    <row r="69" spans="1:17" ht="18.899999999999999" customHeight="1" x14ac:dyDescent="0.25">
      <c r="A69" s="10"/>
      <c r="B69" s="8"/>
      <c r="C69" s="11"/>
      <c r="D69" s="9"/>
      <c r="E69" s="32"/>
      <c r="F69" s="9"/>
      <c r="G69" s="9"/>
      <c r="H69" s="9"/>
      <c r="I69" s="9"/>
      <c r="J69" s="9"/>
      <c r="K69" s="32"/>
      <c r="L69" s="32"/>
      <c r="M69" s="31"/>
      <c r="N69" s="9"/>
      <c r="P69" s="32"/>
      <c r="Q69" s="9"/>
    </row>
    <row r="70" spans="1:17" ht="18.899999999999999" customHeight="1" thickBot="1" x14ac:dyDescent="0.3">
      <c r="A70" s="10">
        <v>4</v>
      </c>
      <c r="B70" s="8" t="s">
        <v>48</v>
      </c>
      <c r="C70" s="30"/>
      <c r="D70" s="16">
        <f>SUM(D64:D68)</f>
        <v>4671062922.4033451</v>
      </c>
      <c r="E70" s="38">
        <f>SUM(E64:E68)</f>
        <v>1</v>
      </c>
      <c r="F70" s="16">
        <v>-1025233404.1416087</v>
      </c>
      <c r="G70" s="16">
        <v>-7028788.5016644914</v>
      </c>
      <c r="H70" s="16">
        <f>H74+H73</f>
        <v>-30816194</v>
      </c>
      <c r="I70" s="16"/>
      <c r="J70" s="16">
        <f>SUM(J64:J68)</f>
        <v>-1063078386.6432734</v>
      </c>
      <c r="K70" s="31"/>
      <c r="L70" s="32"/>
      <c r="M70" s="31"/>
      <c r="N70" s="9"/>
      <c r="P70" s="31"/>
      <c r="Q70" s="9"/>
    </row>
    <row r="71" spans="1:17" ht="18.899999999999999" customHeight="1" thickTop="1" x14ac:dyDescent="0.25">
      <c r="A71" s="10"/>
      <c r="B71" s="8"/>
      <c r="C71" s="11"/>
      <c r="D71" s="21"/>
      <c r="E71" s="21"/>
      <c r="F71" s="21"/>
      <c r="G71" s="21"/>
      <c r="H71" s="9"/>
      <c r="I71" s="9"/>
      <c r="J71" s="9"/>
      <c r="K71" s="21"/>
      <c r="L71" s="21"/>
      <c r="M71" s="21"/>
      <c r="N71" s="21"/>
      <c r="Q71" s="39"/>
    </row>
    <row r="72" spans="1:17" ht="18.899999999999999" customHeight="1" x14ac:dyDescent="0.25"/>
    <row r="73" spans="1:17" ht="18.899999999999999" customHeight="1" x14ac:dyDescent="0.25">
      <c r="H73" s="46">
        <f>-(26241000-733698-1834000)</f>
        <v>-23673302</v>
      </c>
      <c r="I73" s="2" t="s">
        <v>89</v>
      </c>
    </row>
    <row r="74" spans="1:17" ht="18.899999999999999" customHeight="1" x14ac:dyDescent="0.25">
      <c r="H74" s="46">
        <v>-7142892</v>
      </c>
      <c r="I74" s="2" t="s">
        <v>90</v>
      </c>
    </row>
    <row r="75" spans="1:17" ht="18.899999999999999" customHeight="1" x14ac:dyDescent="0.25"/>
    <row r="76" spans="1:17" ht="18.899999999999999" customHeight="1" x14ac:dyDescent="0.25"/>
    <row r="77" spans="1:17" ht="18.899999999999999" customHeight="1" x14ac:dyDescent="0.25"/>
    <row r="78" spans="1:17" ht="18.899999999999999" customHeight="1" x14ac:dyDescent="0.25"/>
    <row r="79" spans="1:17" ht="18.899999999999999" customHeight="1" x14ac:dyDescent="0.25"/>
    <row r="80" spans="1:17" ht="18.899999999999999" customHeight="1" x14ac:dyDescent="0.25"/>
    <row r="81" ht="18.899999999999999" customHeight="1" x14ac:dyDescent="0.25"/>
    <row r="82" ht="18.899999999999999" customHeight="1" x14ac:dyDescent="0.25"/>
    <row r="83" ht="18.899999999999999" customHeight="1" x14ac:dyDescent="0.25"/>
    <row r="84" ht="18.899999999999999" customHeight="1" x14ac:dyDescent="0.25"/>
    <row r="85" ht="18.899999999999999" customHeight="1" x14ac:dyDescent="0.25"/>
    <row r="86" ht="18.899999999999999" customHeight="1" x14ac:dyDescent="0.25"/>
    <row r="87" ht="18.899999999999999" customHeight="1" x14ac:dyDescent="0.25"/>
    <row r="88" ht="18.899999999999999" customHeight="1" x14ac:dyDescent="0.25"/>
    <row r="89" ht="18.899999999999999" customHeight="1" x14ac:dyDescent="0.25"/>
    <row r="90" ht="18.899999999999999" customHeight="1" x14ac:dyDescent="0.25"/>
    <row r="91" ht="18.899999999999999" customHeight="1" x14ac:dyDescent="0.25"/>
    <row r="92" ht="18.899999999999999" customHeight="1" x14ac:dyDescent="0.25"/>
    <row r="93" ht="18.899999999999999" customHeight="1" x14ac:dyDescent="0.25"/>
    <row r="94" ht="18.899999999999999" customHeight="1" x14ac:dyDescent="0.25"/>
    <row r="95" ht="18.899999999999999" customHeight="1" x14ac:dyDescent="0.25"/>
    <row r="96" ht="18.899999999999999" customHeight="1" x14ac:dyDescent="0.25"/>
    <row r="97" ht="18.899999999999999" customHeight="1" x14ac:dyDescent="0.25"/>
    <row r="98" ht="18.899999999999999" customHeight="1" x14ac:dyDescent="0.25"/>
    <row r="99" ht="18.899999999999999" customHeight="1" x14ac:dyDescent="0.25"/>
    <row r="100" ht="18.899999999999999" customHeight="1" x14ac:dyDescent="0.25"/>
    <row r="101" ht="18.899999999999999" customHeight="1" x14ac:dyDescent="0.25"/>
    <row r="102" ht="18.899999999999999" customHeight="1" x14ac:dyDescent="0.25"/>
    <row r="103" ht="18.899999999999999" customHeight="1" x14ac:dyDescent="0.25"/>
    <row r="104" ht="18.899999999999999" customHeight="1" x14ac:dyDescent="0.25"/>
    <row r="105" ht="18.899999999999999" customHeight="1" x14ac:dyDescent="0.25"/>
    <row r="106" ht="18.899999999999999" customHeight="1" x14ac:dyDescent="0.25"/>
    <row r="107" ht="18.899999999999999" customHeight="1" x14ac:dyDescent="0.25"/>
    <row r="108" ht="18.899999999999999" customHeight="1" x14ac:dyDescent="0.25"/>
    <row r="109" ht="18.899999999999999" customHeight="1" x14ac:dyDescent="0.25"/>
    <row r="110" ht="18.899999999999999" customHeight="1" x14ac:dyDescent="0.25"/>
    <row r="111" ht="18.899999999999999" customHeight="1" x14ac:dyDescent="0.25"/>
    <row r="112" ht="18.899999999999999" customHeight="1" x14ac:dyDescent="0.25"/>
    <row r="113" ht="18.899999999999999" customHeight="1" x14ac:dyDescent="0.25"/>
    <row r="114" ht="18.899999999999999" customHeight="1" x14ac:dyDescent="0.25"/>
    <row r="115" ht="18.899999999999999" customHeight="1" x14ac:dyDescent="0.25"/>
    <row r="116" ht="18.899999999999999" customHeight="1" x14ac:dyDescent="0.25"/>
    <row r="117" ht="18.899999999999999" customHeight="1" x14ac:dyDescent="0.25"/>
    <row r="118" ht="18.899999999999999" customHeight="1" x14ac:dyDescent="0.25"/>
    <row r="119" ht="18.899999999999999" customHeight="1" x14ac:dyDescent="0.25"/>
    <row r="120" ht="18.899999999999999" customHeight="1" x14ac:dyDescent="0.25"/>
    <row r="121" ht="18.899999999999999" customHeight="1" x14ac:dyDescent="0.25"/>
    <row r="122" ht="18.899999999999999" customHeight="1" x14ac:dyDescent="0.25"/>
    <row r="123" ht="18.899999999999999" customHeight="1" x14ac:dyDescent="0.25"/>
    <row r="124" ht="18.899999999999999" customHeight="1" x14ac:dyDescent="0.25"/>
    <row r="125" ht="18.899999999999999" customHeight="1" x14ac:dyDescent="0.25"/>
    <row r="126" ht="18.899999999999999" customHeight="1" x14ac:dyDescent="0.25"/>
    <row r="127" ht="18.899999999999999" customHeight="1" x14ac:dyDescent="0.25"/>
    <row r="128" ht="18.899999999999999" customHeight="1" x14ac:dyDescent="0.25"/>
    <row r="129" ht="18.899999999999999" customHeight="1" x14ac:dyDescent="0.25"/>
    <row r="130" ht="18.899999999999999" customHeight="1" x14ac:dyDescent="0.25"/>
    <row r="131" ht="18.899999999999999" customHeight="1" x14ac:dyDescent="0.25"/>
    <row r="132" ht="18.899999999999999" customHeight="1" x14ac:dyDescent="0.25"/>
    <row r="133" ht="18.899999999999999" customHeight="1" x14ac:dyDescent="0.25"/>
    <row r="134" ht="18.899999999999999" customHeight="1" x14ac:dyDescent="0.25"/>
    <row r="135" ht="18.899999999999999" customHeight="1" x14ac:dyDescent="0.25"/>
    <row r="136" ht="18.899999999999999" customHeight="1" x14ac:dyDescent="0.25"/>
    <row r="137" ht="18.899999999999999" customHeight="1" x14ac:dyDescent="0.25"/>
    <row r="138" ht="18.899999999999999" customHeight="1" x14ac:dyDescent="0.25"/>
    <row r="139" ht="18.899999999999999" customHeight="1" x14ac:dyDescent="0.25"/>
    <row r="140" ht="18.899999999999999" customHeight="1" x14ac:dyDescent="0.25"/>
    <row r="141" ht="18.899999999999999" customHeight="1" x14ac:dyDescent="0.25"/>
    <row r="142" ht="18.899999999999999" customHeight="1" x14ac:dyDescent="0.25"/>
    <row r="143" ht="18.899999999999999" customHeight="1" x14ac:dyDescent="0.25"/>
    <row r="144" ht="18.899999999999999" customHeight="1" x14ac:dyDescent="0.25"/>
    <row r="145" ht="18.899999999999999" customHeight="1" x14ac:dyDescent="0.25"/>
    <row r="146" ht="18.899999999999999" customHeight="1" x14ac:dyDescent="0.25"/>
    <row r="147" ht="18.899999999999999" customHeight="1" x14ac:dyDescent="0.25"/>
    <row r="148" ht="18.899999999999999" customHeight="1" x14ac:dyDescent="0.25"/>
    <row r="149" ht="18.899999999999999" customHeight="1" x14ac:dyDescent="0.25"/>
    <row r="150" ht="18.899999999999999" customHeight="1" x14ac:dyDescent="0.25"/>
    <row r="151" ht="18.899999999999999" customHeight="1" x14ac:dyDescent="0.25"/>
    <row r="152" ht="18.899999999999999" customHeight="1" x14ac:dyDescent="0.25"/>
    <row r="153" ht="18.899999999999999" customHeight="1" x14ac:dyDescent="0.25"/>
    <row r="154" ht="18.899999999999999" customHeight="1" x14ac:dyDescent="0.25"/>
    <row r="155" ht="18.899999999999999" customHeight="1" x14ac:dyDescent="0.25"/>
    <row r="156" ht="18.899999999999999" customHeight="1" x14ac:dyDescent="0.25"/>
    <row r="157" ht="18.899999999999999" customHeight="1" x14ac:dyDescent="0.25"/>
    <row r="158" ht="18.899999999999999" customHeight="1" x14ac:dyDescent="0.25"/>
    <row r="159" ht="18.899999999999999" customHeight="1" x14ac:dyDescent="0.25"/>
    <row r="160" ht="18.899999999999999" customHeight="1" x14ac:dyDescent="0.25"/>
    <row r="161" ht="18.899999999999999" customHeight="1" x14ac:dyDescent="0.25"/>
    <row r="162" ht="18.899999999999999" customHeight="1" x14ac:dyDescent="0.25"/>
    <row r="163" ht="18.899999999999999" customHeight="1" x14ac:dyDescent="0.25"/>
    <row r="164" ht="18.899999999999999" customHeight="1" x14ac:dyDescent="0.25"/>
    <row r="165" ht="18.899999999999999" customHeight="1" x14ac:dyDescent="0.25"/>
    <row r="166" ht="18.899999999999999" customHeight="1" x14ac:dyDescent="0.25"/>
    <row r="167" ht="18.899999999999999" customHeight="1" x14ac:dyDescent="0.25"/>
    <row r="168" ht="18.899999999999999" customHeight="1" x14ac:dyDescent="0.25"/>
    <row r="169" ht="18.899999999999999" customHeight="1" x14ac:dyDescent="0.25"/>
    <row r="170" ht="18.899999999999999" customHeight="1" x14ac:dyDescent="0.25"/>
    <row r="171" ht="18.899999999999999" customHeight="1" x14ac:dyDescent="0.25"/>
    <row r="172" ht="18.899999999999999" customHeight="1" x14ac:dyDescent="0.25"/>
    <row r="173" ht="18.899999999999999" customHeight="1" x14ac:dyDescent="0.25"/>
    <row r="174" ht="18.899999999999999" customHeight="1" x14ac:dyDescent="0.25"/>
    <row r="175" ht="18.899999999999999" customHeight="1" x14ac:dyDescent="0.25"/>
    <row r="176" ht="18.899999999999999" customHeight="1" x14ac:dyDescent="0.25"/>
    <row r="177" ht="18.899999999999999" customHeight="1" x14ac:dyDescent="0.25"/>
    <row r="178" ht="18.899999999999999" customHeight="1" x14ac:dyDescent="0.25"/>
    <row r="179" ht="18.899999999999999" customHeight="1" x14ac:dyDescent="0.25"/>
    <row r="180" ht="18.899999999999999" customHeight="1" x14ac:dyDescent="0.25"/>
    <row r="181" ht="18.899999999999999" customHeight="1" x14ac:dyDescent="0.25"/>
    <row r="182" ht="18.899999999999999" customHeight="1" x14ac:dyDescent="0.25"/>
    <row r="183" ht="18.899999999999999" customHeight="1" x14ac:dyDescent="0.25"/>
    <row r="184" ht="18.899999999999999" customHeight="1" x14ac:dyDescent="0.25"/>
    <row r="185" ht="18.899999999999999" customHeight="1" x14ac:dyDescent="0.25"/>
    <row r="186" ht="18.899999999999999" customHeight="1" x14ac:dyDescent="0.25"/>
    <row r="187" ht="18.899999999999999" customHeight="1" x14ac:dyDescent="0.25"/>
    <row r="188" ht="18.899999999999999" customHeight="1" x14ac:dyDescent="0.25"/>
    <row r="189" ht="18.899999999999999" customHeight="1" x14ac:dyDescent="0.25"/>
    <row r="190" ht="18.899999999999999" customHeight="1" x14ac:dyDescent="0.25"/>
    <row r="191" ht="18.899999999999999" customHeight="1" x14ac:dyDescent="0.25"/>
    <row r="192" ht="18.899999999999999" customHeight="1" x14ac:dyDescent="0.25"/>
    <row r="193" ht="18.899999999999999" customHeight="1" x14ac:dyDescent="0.25"/>
    <row r="194" ht="18.899999999999999" customHeight="1" x14ac:dyDescent="0.25"/>
    <row r="195" ht="18.899999999999999" customHeight="1" x14ac:dyDescent="0.25"/>
  </sheetData>
  <mergeCells count="15">
    <mergeCell ref="A25:J25"/>
    <mergeCell ref="A1:M1"/>
    <mergeCell ref="A2:M2"/>
    <mergeCell ref="A3:M3"/>
    <mergeCell ref="A4:M4"/>
    <mergeCell ref="A5:M5"/>
    <mergeCell ref="A51:J51"/>
    <mergeCell ref="A52:J52"/>
    <mergeCell ref="A53:J53"/>
    <mergeCell ref="A26:J26"/>
    <mergeCell ref="A27:J27"/>
    <mergeCell ref="A28:J28"/>
    <mergeCell ref="A29:J29"/>
    <mergeCell ref="A49:J49"/>
    <mergeCell ref="A50:J50"/>
  </mergeCells>
  <pageMargins left="0.95" right="0.5" top="0.75" bottom="0.75" header="0.3" footer="0.3"/>
  <pageSetup scale="53" fitToHeight="0" orientation="landscape" r:id="rId1"/>
  <rowBreaks count="2" manualBreakCount="2">
    <brk id="24" max="16383" man="1"/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07 - Post Hearing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7A0F15-C4AF-4C20-9499-5B9049A6C6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47992A-5A7A-49D5-9665-55641AFD26C8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f789fa03-9022-4931-acb2-79f11ac92edf"/>
    <ds:schemaRef ds:uri="http://schemas.microsoft.com/office/2006/documentManagement/types"/>
    <ds:schemaRef ds:uri="http://schemas.openxmlformats.org/package/2006/metadata/core-properties"/>
    <ds:schemaRef ds:uri="2ad705b9-adad-42ba-803b-2580de5ca47a"/>
    <ds:schemaRef ds:uri="65bfb563-8fe2-4d34-a09f-38a217d8fee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980DE7-EE5E-4833-93A1-4FC7FA18A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SUMMARY (PG1)</vt:lpstr>
      <vt:lpstr>SUPPORT&gt;&gt;&gt;</vt:lpstr>
      <vt:lpstr>UPDATED SCH J-1 (ORDER) (21%)</vt:lpstr>
      <vt:lpstr>PENSION CONTRIBUTION</vt:lpstr>
      <vt:lpstr>KU Composite Tax Rate (21%)</vt:lpstr>
      <vt:lpstr>TY TARIFF BILLING</vt:lpstr>
      <vt:lpstr>TY KWH-RS vs Non-RS</vt:lpstr>
      <vt:lpstr>Excess DIT</vt:lpstr>
      <vt:lpstr>SCH J-1 (ORDER)</vt:lpstr>
      <vt:lpstr>SCH H-1 (ORDER)</vt:lpstr>
      <vt:lpstr>'SUMMARY (PG1)'!Print_Area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2018-06-11T17:17:43Z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