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/>
  </bookViews>
  <sheets>
    <sheet name="SUMMARY (PG1)" sheetId="22" r:id="rId1"/>
    <sheet name="SUPPORT&gt;&gt;&gt;" sheetId="7" r:id="rId2"/>
    <sheet name="UPDATED SCH J-1 (ORDER) (21%)" sheetId="45" r:id="rId3"/>
    <sheet name="PENSION CONTRIBUTION" sheetId="47" r:id="rId4"/>
    <sheet name="LGE Composite Tax Rate (21%)" sheetId="46" r:id="rId5"/>
    <sheet name="TY TARIFF BILLING" sheetId="44" r:id="rId6"/>
    <sheet name="TY KWH-RS vs Non-RS" sheetId="43" r:id="rId7"/>
    <sheet name="Excess DIT" sheetId="38" r:id="rId8"/>
    <sheet name="SCH J-1.1|J-1.2" sheetId="34" r:id="rId9"/>
    <sheet name="SCH J-1 (ORDER)" sheetId="32" r:id="rId10"/>
    <sheet name="SCH H-1 (ORDER)" sheetId="33" r:id="rId11"/>
  </sheets>
  <externalReferences>
    <externalReference r:id="rId12"/>
  </externalReferences>
  <definedNames>
    <definedName name="\\" localSheetId="4" hidden="1">#REF!</definedName>
    <definedName name="\\" localSheetId="3" hidden="1">#REF!</definedName>
    <definedName name="\\" localSheetId="8" hidden="1">#REF!</definedName>
    <definedName name="\\" localSheetId="2" hidden="1">#REF!</definedName>
    <definedName name="\\" hidden="1">#REF!</definedName>
    <definedName name="\\\" localSheetId="4" hidden="1">#REF!</definedName>
    <definedName name="\\\" localSheetId="3" hidden="1">#REF!</definedName>
    <definedName name="\\\" localSheetId="8" hidden="1">#REF!</definedName>
    <definedName name="\\\" localSheetId="2" hidden="1">#REF!</definedName>
    <definedName name="\\\" hidden="1">#REF!</definedName>
    <definedName name="\\\\" localSheetId="4" hidden="1">#REF!</definedName>
    <definedName name="\\\\" localSheetId="3" hidden="1">#REF!</definedName>
    <definedName name="\\\\" localSheetId="8" hidden="1">#REF!</definedName>
    <definedName name="\\\\" localSheetId="2" hidden="1">#REF!</definedName>
    <definedName name="\\\\" hidden="1">#REF!</definedName>
    <definedName name="__123Graph_1" localSheetId="4" hidden="1">#REF!</definedName>
    <definedName name="__123Graph_1" localSheetId="8" hidden="1">#REF!</definedName>
    <definedName name="__123Graph_1" localSheetId="2" hidden="1">#REF!</definedName>
    <definedName name="__123Graph_1" hidden="1">#REF!</definedName>
    <definedName name="__123Graph_2" localSheetId="4" hidden="1">#REF!</definedName>
    <definedName name="__123Graph_2" localSheetId="8" hidden="1">#REF!</definedName>
    <definedName name="__123Graph_2" localSheetId="2" hidden="1">#REF!</definedName>
    <definedName name="__123Graph_2" hidden="1">#REF!</definedName>
    <definedName name="__123Graph_3" localSheetId="4" hidden="1">#REF!</definedName>
    <definedName name="__123Graph_3" localSheetId="8" hidden="1">#REF!</definedName>
    <definedName name="__123Graph_3" localSheetId="2" hidden="1">#REF!</definedName>
    <definedName name="__123Graph_3" hidden="1">#REF!</definedName>
    <definedName name="__123Graph_4" localSheetId="4" hidden="1">#REF!</definedName>
    <definedName name="__123Graph_4" localSheetId="8" hidden="1">#REF!</definedName>
    <definedName name="__123Graph_4" localSheetId="2" hidden="1">#REF!</definedName>
    <definedName name="__123Graph_4" hidden="1">#REF!</definedName>
    <definedName name="__123Graph_5" localSheetId="4" hidden="1">#REF!</definedName>
    <definedName name="__123Graph_5" localSheetId="8" hidden="1">#REF!</definedName>
    <definedName name="__123Graph_5" localSheetId="2" hidden="1">#REF!</definedName>
    <definedName name="__123Graph_5" hidden="1">#REF!</definedName>
    <definedName name="__123Graph_6" localSheetId="4" hidden="1">#REF!</definedName>
    <definedName name="__123Graph_6" localSheetId="8" hidden="1">#REF!</definedName>
    <definedName name="__123Graph_6" localSheetId="2" hidden="1">#REF!</definedName>
    <definedName name="__123Graph_6" hidden="1">#REF!</definedName>
    <definedName name="__123Graph_8" localSheetId="4" hidden="1">#REF!</definedName>
    <definedName name="__123Graph_8" localSheetId="8" hidden="1">#REF!</definedName>
    <definedName name="__123Graph_8" localSheetId="2" hidden="1">#REF!</definedName>
    <definedName name="__123Graph_8" hidden="1">#REF!</definedName>
    <definedName name="__123Graph_A" localSheetId="4" hidden="1">#REF!</definedName>
    <definedName name="__123Graph_A" localSheetId="8" hidden="1">#REF!</definedName>
    <definedName name="__123Graph_A" localSheetId="2" hidden="1">#REF!</definedName>
    <definedName name="__123Graph_A" hidden="1">#REF!</definedName>
    <definedName name="__123Graph_B" localSheetId="4" hidden="1">#REF!</definedName>
    <definedName name="__123Graph_B" localSheetId="8" hidden="1">#REF!</definedName>
    <definedName name="__123Graph_B" localSheetId="2" hidden="1">#REF!</definedName>
    <definedName name="__123Graph_B" hidden="1">#REF!</definedName>
    <definedName name="__123Graph_C" localSheetId="4" hidden="1">#REF!</definedName>
    <definedName name="__123Graph_C" localSheetId="8" hidden="1">#REF!</definedName>
    <definedName name="__123Graph_C" localSheetId="2" hidden="1">#REF!</definedName>
    <definedName name="__123Graph_C" hidden="1">#REF!</definedName>
    <definedName name="__123Graph_D" localSheetId="4" hidden="1">#REF!</definedName>
    <definedName name="__123Graph_D" localSheetId="8" hidden="1">#REF!</definedName>
    <definedName name="__123Graph_D" localSheetId="2" hidden="1">#REF!</definedName>
    <definedName name="__123Graph_D" hidden="1">#REF!</definedName>
    <definedName name="__123Graph_E" localSheetId="4" hidden="1">#REF!</definedName>
    <definedName name="__123Graph_E" localSheetId="8" hidden="1">#REF!</definedName>
    <definedName name="__123Graph_E" localSheetId="2" hidden="1">#REF!</definedName>
    <definedName name="__123Graph_E" hidden="1">#REF!</definedName>
    <definedName name="__123Graph_F" localSheetId="4" hidden="1">#REF!</definedName>
    <definedName name="__123Graph_F" localSheetId="8" hidden="1">#REF!</definedName>
    <definedName name="__123Graph_F" localSheetId="2" hidden="1">#REF!</definedName>
    <definedName name="__123Graph_F" hidden="1">#REF!</definedName>
    <definedName name="__123Graph_X" localSheetId="4" hidden="1">#REF!</definedName>
    <definedName name="__123Graph_X" localSheetId="8" hidden="1">#REF!</definedName>
    <definedName name="__123Graph_X" localSheetId="2" hidden="1">#REF!</definedName>
    <definedName name="__123Graph_X" hidden="1">#REF!</definedName>
    <definedName name="_Fill" localSheetId="4" hidden="1">#REF!</definedName>
    <definedName name="_Fill" localSheetId="8" hidden="1">#REF!</definedName>
    <definedName name="_Fill" localSheetId="2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3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3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BNE_MESSAGES_HIDDEN" hidden="1">#REF!</definedName>
    <definedName name="DolUnitFactor">[1]ListsValues!$M$29</definedName>
    <definedName name="HTML_CodePage" hidden="1">1252</definedName>
    <definedName name="HTML_Control" localSheetId="4" hidden="1">{"'Server Configuration'!$A$1:$DB$281"}</definedName>
    <definedName name="HTML_Control" localSheetId="3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9">'SCH J-1 (ORDER)'!$A$1:$M$45</definedName>
    <definedName name="_xlnm.Print_Area" localSheetId="8">'SCH J-1.1|J-1.2'!$A$1:$M$40</definedName>
    <definedName name="_xlnm.Print_Area" localSheetId="0">'SUMMARY (PG1)'!$A$1:$H$42</definedName>
    <definedName name="_xlnm.Print_Area" localSheetId="5">'TY TARIFF BILLING'!$A$1:$H$34</definedName>
    <definedName name="_xlnm.Print_Area" localSheetId="2">'UPDATED SCH J-1 (ORDER) (21%)'!$A$1:$M$45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3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3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3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3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3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3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3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L36" i="45" l="1"/>
  <c r="D20" i="45" l="1"/>
  <c r="D18" i="45"/>
  <c r="D16" i="45"/>
  <c r="F13" i="47"/>
  <c r="E13" i="47"/>
  <c r="D13" i="47"/>
  <c r="C13" i="47"/>
  <c r="F11" i="47"/>
  <c r="F15" i="47" s="1"/>
  <c r="F17" i="47" s="1"/>
  <c r="E11" i="47"/>
  <c r="E15" i="47" s="1"/>
  <c r="E17" i="47" s="1"/>
  <c r="D11" i="47"/>
  <c r="D15" i="47" s="1"/>
  <c r="D17" i="47" s="1"/>
  <c r="C11" i="47"/>
  <c r="C15" i="47" s="1"/>
  <c r="C17" i="47" s="1"/>
  <c r="E27" i="22" l="1"/>
  <c r="B27" i="22"/>
  <c r="L13" i="45"/>
  <c r="E20" i="46"/>
  <c r="D20" i="46"/>
  <c r="E18" i="46"/>
  <c r="D18" i="46"/>
  <c r="E16" i="46"/>
  <c r="E14" i="46"/>
  <c r="G45" i="45"/>
  <c r="E43" i="45"/>
  <c r="D43" i="45"/>
  <c r="F43" i="45" s="1"/>
  <c r="H43" i="45" s="1"/>
  <c r="J41" i="45"/>
  <c r="E41" i="45"/>
  <c r="D41" i="45"/>
  <c r="J39" i="45"/>
  <c r="D39" i="45"/>
  <c r="F39" i="45" s="1"/>
  <c r="H39" i="45" s="1"/>
  <c r="K33" i="45"/>
  <c r="A33" i="45"/>
  <c r="A32" i="45"/>
  <c r="A31" i="45"/>
  <c r="A30" i="45"/>
  <c r="A28" i="45"/>
  <c r="A27" i="45"/>
  <c r="A26" i="45"/>
  <c r="A25" i="45"/>
  <c r="A24" i="45"/>
  <c r="R22" i="45"/>
  <c r="R18" i="45" s="1"/>
  <c r="S18" i="45" s="1"/>
  <c r="G18" i="45" s="1"/>
  <c r="Q22" i="45"/>
  <c r="D22" i="45"/>
  <c r="F20" i="45"/>
  <c r="E20" i="45"/>
  <c r="E18" i="45"/>
  <c r="F18" i="45" s="1"/>
  <c r="H18" i="45" s="1"/>
  <c r="R16" i="45"/>
  <c r="S16" i="45" s="1"/>
  <c r="F16" i="45"/>
  <c r="D45" i="45" l="1"/>
  <c r="F41" i="45"/>
  <c r="H41" i="45" s="1"/>
  <c r="E22" i="46"/>
  <c r="E24" i="46" s="1"/>
  <c r="E26" i="46" s="1"/>
  <c r="F22" i="45"/>
  <c r="H45" i="45"/>
  <c r="I39" i="45" s="1"/>
  <c r="S22" i="45"/>
  <c r="G16" i="45"/>
  <c r="R20" i="45"/>
  <c r="S20" i="45" s="1"/>
  <c r="G20" i="45" s="1"/>
  <c r="H20" i="45" s="1"/>
  <c r="F45" i="45"/>
  <c r="E23" i="22"/>
  <c r="F22" i="38"/>
  <c r="K39" i="45" l="1"/>
  <c r="I43" i="45"/>
  <c r="K43" i="45" s="1"/>
  <c r="I41" i="45"/>
  <c r="K41" i="45" s="1"/>
  <c r="M41" i="45" s="1"/>
  <c r="H16" i="45"/>
  <c r="G22" i="45"/>
  <c r="G37" i="34"/>
  <c r="D35" i="34"/>
  <c r="J33" i="34"/>
  <c r="D33" i="34"/>
  <c r="J31" i="34"/>
  <c r="E35" i="34"/>
  <c r="F35" i="34" s="1"/>
  <c r="H35" i="34" s="1"/>
  <c r="D31" i="34"/>
  <c r="A23" i="34"/>
  <c r="A22" i="34"/>
  <c r="A21" i="34"/>
  <c r="A20" i="34"/>
  <c r="G18" i="34"/>
  <c r="F12" i="34"/>
  <c r="A24" i="34"/>
  <c r="L43" i="45" l="1"/>
  <c r="L45" i="45" s="1"/>
  <c r="H22" i="45"/>
  <c r="E11" i="22" s="1"/>
  <c r="I45" i="45"/>
  <c r="M39" i="45"/>
  <c r="K45" i="45"/>
  <c r="D37" i="34"/>
  <c r="F31" i="34"/>
  <c r="H31" i="34" s="1"/>
  <c r="H12" i="34"/>
  <c r="E14" i="34"/>
  <c r="F14" i="34" s="1"/>
  <c r="H14" i="34" s="1"/>
  <c r="E16" i="34"/>
  <c r="F16" i="34" s="1"/>
  <c r="H16" i="34" s="1"/>
  <c r="E33" i="34"/>
  <c r="F33" i="34" s="1"/>
  <c r="H33" i="34" s="1"/>
  <c r="I18" i="45" l="1"/>
  <c r="K18" i="45" s="1"/>
  <c r="M18" i="45" s="1"/>
  <c r="I20" i="45"/>
  <c r="K20" i="45" s="1"/>
  <c r="I16" i="45"/>
  <c r="M43" i="45"/>
  <c r="M45" i="45" s="1"/>
  <c r="F18" i="34"/>
  <c r="F37" i="34"/>
  <c r="H37" i="34"/>
  <c r="I35" i="34" s="1"/>
  <c r="K35" i="34" s="1"/>
  <c r="H18" i="34"/>
  <c r="I16" i="34" s="1"/>
  <c r="K16" i="34" s="1"/>
  <c r="I22" i="45" l="1"/>
  <c r="K16" i="45"/>
  <c r="L20" i="45"/>
  <c r="L22" i="45" s="1"/>
  <c r="I12" i="34"/>
  <c r="I14" i="34"/>
  <c r="K14" i="34" s="1"/>
  <c r="I18" i="34"/>
  <c r="K12" i="34"/>
  <c r="K18" i="34" s="1"/>
  <c r="I31" i="34"/>
  <c r="I33" i="34"/>
  <c r="K33" i="34" s="1"/>
  <c r="M20" i="45" l="1"/>
  <c r="M16" i="45"/>
  <c r="K22" i="45"/>
  <c r="I37" i="34"/>
  <c r="K31" i="34"/>
  <c r="K37" i="34" s="1"/>
  <c r="M22" i="45" l="1"/>
  <c r="E13" i="22" s="1"/>
  <c r="G40" i="22"/>
  <c r="G33" i="22"/>
  <c r="G50" i="44"/>
  <c r="G49" i="44"/>
  <c r="G45" i="44"/>
  <c r="G44" i="44"/>
  <c r="G43" i="44"/>
  <c r="G42" i="44"/>
  <c r="G41" i="44"/>
  <c r="G40" i="44"/>
  <c r="G39" i="44"/>
  <c r="G38" i="44"/>
  <c r="G32" i="44"/>
  <c r="G31" i="44"/>
  <c r="G30" i="44"/>
  <c r="G29" i="44"/>
  <c r="G25" i="44"/>
  <c r="G23" i="44"/>
  <c r="G22" i="44"/>
  <c r="G21" i="44"/>
  <c r="G20" i="44"/>
  <c r="G19" i="44"/>
  <c r="G18" i="44"/>
  <c r="G16" i="44"/>
  <c r="G15" i="44"/>
  <c r="G14" i="44"/>
  <c r="G13" i="44"/>
  <c r="G12" i="44"/>
  <c r="G11" i="44"/>
  <c r="G9" i="44"/>
  <c r="G8" i="44"/>
  <c r="G7" i="44"/>
  <c r="G6" i="44"/>
  <c r="G5" i="44"/>
  <c r="D46" i="44"/>
  <c r="B46" i="44"/>
  <c r="B51" i="44" s="1"/>
  <c r="E45" i="44"/>
  <c r="E44" i="44"/>
  <c r="E43" i="44"/>
  <c r="E42" i="44"/>
  <c r="E41" i="44"/>
  <c r="E40" i="44"/>
  <c r="E39" i="44"/>
  <c r="E38" i="44"/>
  <c r="H36" i="44"/>
  <c r="E36" i="44"/>
  <c r="D36" i="44"/>
  <c r="B36" i="44"/>
  <c r="E30" i="44"/>
  <c r="E29" i="44"/>
  <c r="E25" i="44"/>
  <c r="B24" i="44"/>
  <c r="E24" i="44" s="1"/>
  <c r="E23" i="44"/>
  <c r="E22" i="44"/>
  <c r="E21" i="44"/>
  <c r="E20" i="44"/>
  <c r="E19" i="44"/>
  <c r="E18" i="44"/>
  <c r="D17" i="44"/>
  <c r="B17" i="44"/>
  <c r="G17" i="44" s="1"/>
  <c r="E16" i="44"/>
  <c r="E15" i="44"/>
  <c r="E14" i="44"/>
  <c r="E13" i="44"/>
  <c r="E12" i="44"/>
  <c r="E11" i="44"/>
  <c r="D10" i="44"/>
  <c r="B10" i="44"/>
  <c r="G10" i="44" s="1"/>
  <c r="E9" i="44"/>
  <c r="E8" i="44"/>
  <c r="E7" i="44"/>
  <c r="J6" i="44"/>
  <c r="E6" i="44"/>
  <c r="J5" i="44"/>
  <c r="E5" i="44"/>
  <c r="G46" i="44" l="1"/>
  <c r="H44" i="44" s="1"/>
  <c r="G24" i="44"/>
  <c r="G26" i="44" s="1"/>
  <c r="J7" i="44"/>
  <c r="E32" i="44"/>
  <c r="E17" i="44"/>
  <c r="E46" i="44"/>
  <c r="D51" i="44"/>
  <c r="E51" i="44" s="1"/>
  <c r="D26" i="44"/>
  <c r="E49" i="44"/>
  <c r="B26" i="44"/>
  <c r="E31" i="44"/>
  <c r="E50" i="44"/>
  <c r="E10" i="44"/>
  <c r="H26" i="44" l="1"/>
  <c r="H23" i="44"/>
  <c r="H9" i="44"/>
  <c r="H7" i="44"/>
  <c r="H25" i="44"/>
  <c r="H10" i="44"/>
  <c r="G51" i="44"/>
  <c r="H46" i="44"/>
  <c r="H40" i="44"/>
  <c r="H38" i="44"/>
  <c r="H45" i="44"/>
  <c r="H43" i="44"/>
  <c r="H42" i="44"/>
  <c r="H41" i="44"/>
  <c r="H39" i="44"/>
  <c r="G33" i="44"/>
  <c r="H5" i="44"/>
  <c r="H17" i="44"/>
  <c r="H12" i="44"/>
  <c r="H11" i="44"/>
  <c r="H16" i="44"/>
  <c r="H14" i="44"/>
  <c r="H21" i="44"/>
  <c r="H20" i="44"/>
  <c r="H19" i="44"/>
  <c r="H24" i="44"/>
  <c r="H18" i="44"/>
  <c r="H13" i="44"/>
  <c r="H8" i="44"/>
  <c r="H22" i="44"/>
  <c r="H15" i="44"/>
  <c r="H6" i="44"/>
  <c r="D33" i="44"/>
  <c r="J26" i="44"/>
  <c r="K7" i="44" s="1"/>
  <c r="B33" i="44"/>
  <c r="E26" i="44"/>
  <c r="E33" i="44" l="1"/>
  <c r="B6" i="43" l="1"/>
  <c r="B7" i="43" l="1"/>
  <c r="C6" i="43" s="1"/>
  <c r="H40" i="22"/>
  <c r="H33" i="22"/>
  <c r="C5" i="43"/>
  <c r="E7" i="43"/>
  <c r="F40" i="22" l="1"/>
  <c r="F33" i="22"/>
  <c r="C7" i="43"/>
  <c r="E70" i="38" l="1"/>
  <c r="D70" i="38"/>
  <c r="C70" i="38"/>
  <c r="F69" i="38"/>
  <c r="F68" i="38"/>
  <c r="F67" i="38"/>
  <c r="F66" i="38"/>
  <c r="F65" i="38"/>
  <c r="F64" i="38"/>
  <c r="F63" i="38"/>
  <c r="F62" i="38"/>
  <c r="F61" i="38"/>
  <c r="L60" i="38"/>
  <c r="K60" i="38"/>
  <c r="J60" i="38"/>
  <c r="I60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C30" i="38"/>
  <c r="J16" i="38"/>
  <c r="I16" i="38"/>
  <c r="H16" i="38"/>
  <c r="F15" i="38"/>
  <c r="F16" i="38" s="1"/>
  <c r="D15" i="38"/>
  <c r="D16" i="38" s="1"/>
  <c r="J8" i="38"/>
  <c r="J9" i="38" s="1"/>
  <c r="I8" i="38"/>
  <c r="I9" i="38" s="1"/>
  <c r="H8" i="38"/>
  <c r="H9" i="38" s="1"/>
  <c r="F7" i="38"/>
  <c r="F8" i="38" s="1"/>
  <c r="D7" i="38"/>
  <c r="C28" i="38" s="1"/>
  <c r="C29" i="38" l="1"/>
  <c r="C31" i="38" s="1"/>
  <c r="D8" i="38"/>
  <c r="D9" i="38" s="1"/>
  <c r="E14" i="38"/>
  <c r="F24" i="38"/>
  <c r="C7" i="38"/>
  <c r="G14" i="38"/>
  <c r="G8" i="38" s="1"/>
  <c r="F70" i="38"/>
  <c r="F9" i="38"/>
  <c r="E15" i="38"/>
  <c r="G15" i="38"/>
  <c r="C14" i="38" l="1"/>
  <c r="C8" i="38" s="1"/>
  <c r="G9" i="38"/>
  <c r="G16" i="38"/>
  <c r="E16" i="38"/>
  <c r="C32" i="38"/>
  <c r="E8" i="38"/>
  <c r="E9" i="38" s="1"/>
  <c r="C15" i="38"/>
  <c r="C16" i="38" s="1"/>
  <c r="C23" i="38"/>
  <c r="D22" i="38" l="1"/>
  <c r="E21" i="22" s="1"/>
  <c r="E22" i="38"/>
  <c r="E24" i="38" s="1"/>
  <c r="C9" i="38"/>
  <c r="D24" i="38" l="1"/>
  <c r="C22" i="38"/>
  <c r="C24" i="38" l="1"/>
  <c r="C17" i="38"/>
  <c r="G45" i="32" l="1"/>
  <c r="E43" i="32"/>
  <c r="D43" i="32"/>
  <c r="J41" i="32"/>
  <c r="E41" i="32"/>
  <c r="D41" i="32"/>
  <c r="J39" i="32"/>
  <c r="D39" i="32"/>
  <c r="K33" i="32"/>
  <c r="A33" i="32"/>
  <c r="A32" i="32"/>
  <c r="A31" i="32"/>
  <c r="A30" i="32"/>
  <c r="A28" i="32"/>
  <c r="A27" i="32"/>
  <c r="A26" i="32"/>
  <c r="A25" i="32"/>
  <c r="A24" i="32"/>
  <c r="R22" i="32"/>
  <c r="R18" i="32" s="1"/>
  <c r="S18" i="32" s="1"/>
  <c r="G18" i="32" s="1"/>
  <c r="Q22" i="32"/>
  <c r="D22" i="32"/>
  <c r="E20" i="32"/>
  <c r="F20" i="32" s="1"/>
  <c r="E18" i="32"/>
  <c r="F18" i="32" s="1"/>
  <c r="F16" i="32"/>
  <c r="F43" i="32" l="1"/>
  <c r="H43" i="32" s="1"/>
  <c r="F41" i="32"/>
  <c r="H41" i="32" s="1"/>
  <c r="F22" i="32"/>
  <c r="R16" i="32"/>
  <c r="S16" i="32" s="1"/>
  <c r="G16" i="32" s="1"/>
  <c r="R20" i="32"/>
  <c r="S20" i="32" s="1"/>
  <c r="G20" i="32" s="1"/>
  <c r="H20" i="32" s="1"/>
  <c r="D45" i="32"/>
  <c r="H18" i="32"/>
  <c r="F39" i="32"/>
  <c r="S22" i="32" l="1"/>
  <c r="H39" i="32"/>
  <c r="F45" i="32"/>
  <c r="G22" i="32"/>
  <c r="H16" i="32"/>
  <c r="H22" i="32" l="1"/>
  <c r="D11" i="22" s="1"/>
  <c r="H45" i="32"/>
  <c r="I16" i="32" l="1"/>
  <c r="K16" i="32" s="1"/>
  <c r="I43" i="32"/>
  <c r="K43" i="32" s="1"/>
  <c r="I41" i="32"/>
  <c r="K41" i="32" s="1"/>
  <c r="M41" i="32" s="1"/>
  <c r="I39" i="32"/>
  <c r="I20" i="32"/>
  <c r="K20" i="32" s="1"/>
  <c r="I18" i="32"/>
  <c r="K18" i="32" s="1"/>
  <c r="M18" i="32" s="1"/>
  <c r="K22" i="32" l="1"/>
  <c r="M16" i="32"/>
  <c r="I45" i="32"/>
  <c r="K39" i="32"/>
  <c r="I22" i="32"/>
  <c r="K45" i="32" l="1"/>
  <c r="M39" i="32"/>
  <c r="D22" i="33" l="1"/>
  <c r="D24" i="33" s="1"/>
  <c r="E24" i="33" s="1"/>
  <c r="E18" i="33"/>
  <c r="E16" i="33"/>
  <c r="E22" i="33" l="1"/>
  <c r="E28" i="33" s="1"/>
  <c r="E30" i="33" s="1"/>
  <c r="E32" i="33" s="1"/>
  <c r="E34" i="33" s="1"/>
  <c r="L13" i="32" l="1"/>
  <c r="L20" i="32" s="1"/>
  <c r="L22" i="32" s="1"/>
  <c r="L36" i="32"/>
  <c r="L43" i="32" s="1"/>
  <c r="M43" i="32" s="1"/>
  <c r="M45" i="32" s="1"/>
  <c r="M20" i="32" l="1"/>
  <c r="M22" i="32" s="1"/>
  <c r="D13" i="22" s="1"/>
  <c r="L45" i="32"/>
  <c r="E25" i="22" l="1"/>
  <c r="F29" i="22" l="1"/>
  <c r="F17" i="22"/>
  <c r="D15" i="22" l="1"/>
  <c r="F11" i="22" l="1"/>
  <c r="F13" i="22" l="1"/>
  <c r="E15" i="22" l="1"/>
  <c r="F15" i="22" s="1"/>
  <c r="F19" i="22" l="1"/>
  <c r="F31" i="22" s="1"/>
  <c r="G31" i="22" s="1"/>
  <c r="G38" i="22" l="1"/>
  <c r="G42" i="22" s="1"/>
  <c r="F38" i="22"/>
  <c r="F42" i="22" s="1"/>
  <c r="G35" i="22" l="1"/>
  <c r="H31" i="22"/>
  <c r="H38" i="22" l="1"/>
  <c r="H42" i="22" s="1"/>
  <c r="H35" i="22"/>
</calcChain>
</file>

<file path=xl/sharedStrings.xml><?xml version="1.0" encoding="utf-8"?>
<sst xmlns="http://schemas.openxmlformats.org/spreadsheetml/2006/main" count="543" uniqueCount="251">
  <si>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</si>
  <si>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DESCRIPTION</t>
  </si>
  <si>
    <t>STATE</t>
  </si>
  <si>
    <t xml:space="preserve">WORKPAPER REFERENCE NO(S).: </t>
  </si>
  <si>
    <t>LINE NO.</t>
  </si>
  <si>
    <t>$</t>
  </si>
  <si>
    <t>DATA:__X__BASE  PERIOD__X__FORECASTED  PERIOD</t>
  </si>
  <si>
    <t>PAGE 1 OF 1</t>
  </si>
  <si>
    <t>OVERALL FINANCIAL SUMMARY</t>
  </si>
  <si>
    <t>SUPPORTING SCHEDULE REFERENCE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</si>
  <si>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</si>
  <si>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</si>
  <si>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</si>
  <si>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</si>
  <si>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</si>
  <si>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</si>
  <si>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</si>
  <si>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</si>
  <si>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</si>
  <si>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</si>
  <si>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</si>
  <si>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</si>
  <si>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</si>
  <si>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</si>
  <si>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</si>
  <si>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</si>
  <si>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</si>
  <si>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</si>
  <si>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</si>
  <si>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</si>
  <si>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</si>
  <si>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</si>
  <si>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</si>
  <si>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</si>
  <si>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</si>
  <si>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</si>
  <si>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</si>
  <si>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</si>
  <si>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</si>
  <si>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</si>
  <si>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</si>
  <si>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</si>
  <si>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</si>
  <si>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</si>
  <si>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</si>
  <si>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</si>
  <si>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JURISDICTIONAL RATE BASE PERCENTAGE</t>
  </si>
  <si>
    <t>JURISDICTIONAL ADJUSTED CAPITAL</t>
  </si>
  <si>
    <t>(H)</t>
  </si>
  <si>
    <t>JURISDICTIONAL CAPITAL</t>
  </si>
  <si>
    <t>FOR THE 12 MONTHS ENDED FEBRUARY 28, 2017</t>
  </si>
  <si>
    <t>WITNESS:   C. M. GARRETT</t>
  </si>
  <si>
    <t>WITNESS:   D. K. ARBOUGH</t>
  </si>
  <si>
    <t>CASE NO. 2017-00477</t>
  </si>
  <si>
    <t>THIRTEEN MONTH AVERAGE</t>
  </si>
  <si>
    <t>DATE OF CAPITAL STRUCTURE: 13 MO AVG FOR FORECASTED  PERIOD</t>
  </si>
  <si>
    <t>SCHEDULE J-1.1/J-1.2</t>
  </si>
  <si>
    <t>13 MONTH AVERAGE AMOUNT</t>
  </si>
  <si>
    <t>AMS</t>
  </si>
  <si>
    <t>SLIPPAGE</t>
  </si>
  <si>
    <t>FROM JANUARY 1, 2018 TO APRIL 30, 2019</t>
  </si>
  <si>
    <t>TAX GROSS-UP</t>
  </si>
  <si>
    <t>WEIGHTED COST ADJUSTED FOR INCOME TAXES</t>
  </si>
  <si>
    <t>FROM JULY 1, 2017 TO JUNE 30, 2018</t>
  </si>
  <si>
    <t>STIPULATION ADJUSTMENTS</t>
  </si>
  <si>
    <t>REQUIRED RATE OF RETURN ADJUSTED FOR INCOME TAXES</t>
  </si>
  <si>
    <t>FOR THE 12 MONTHS ENDED JUNE 30, 2018</t>
  </si>
  <si>
    <t>SEVENTEEN MONTH AVERAGE</t>
  </si>
  <si>
    <t>17 MONTH AVERAGE AMOUNT</t>
  </si>
  <si>
    <t>17 MONTH AVERAGE WEIGHTED COST</t>
  </si>
  <si>
    <t>REVENUE REQUIREMENT IMPACT</t>
  </si>
  <si>
    <t>YEARS EQUIVALENT TO 16 MONTHS (16/12)</t>
  </si>
  <si>
    <t>Excess Deferred Tax Forecast</t>
  </si>
  <si>
    <t>Reg Liab before Gross Up</t>
  </si>
  <si>
    <t>Excess Deferred Amortization</t>
  </si>
  <si>
    <t>Total</t>
  </si>
  <si>
    <t>Electric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</si>
  <si>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</si>
  <si>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</si>
  <si>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</si>
  <si>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</si>
  <si>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</si>
  <si>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</si>
  <si>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</si>
  <si>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</si>
  <si>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</si>
  <si>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TOTAL AMORTIZATION OF EXCESS ADIT (6 + 7)</t>
  </si>
  <si>
    <t xml:space="preserve"> TOTAL REDUCTION IN INCOME TAX EXPENSE (3 x 4)</t>
  </si>
  <si>
    <t>REQUIRED ANNUAL OPERATING INCOME BEFORE TAXES (1 x 2)</t>
  </si>
  <si>
    <t>TOTAL REDUCTION IN DEFERRED INCOME TAX EXPENSE (8 x 9)</t>
  </si>
  <si>
    <t>TOTAL REDUCTION IN REVENUE REQUIREMENTS (5 + 10)</t>
  </si>
  <si>
    <t>ELECTRIC</t>
  </si>
  <si>
    <t>Test Year Total</t>
  </si>
  <si>
    <t>Sch M-2.3/
Sch M-2.2 Totals</t>
  </si>
  <si>
    <t>Difference</t>
  </si>
  <si>
    <t>(E=CxD)</t>
  </si>
  <si>
    <t>(G=E+F)</t>
  </si>
  <si>
    <t>(I)</t>
  </si>
  <si>
    <t>(J=HxI)</t>
  </si>
  <si>
    <t>LOUISVILLE GAS AND ELECTRIC COMPANY</t>
  </si>
  <si>
    <t>ELECTRIC:</t>
  </si>
  <si>
    <t>NOL - ELECTRIC</t>
  </si>
  <si>
    <t>Gas</t>
  </si>
  <si>
    <t>4 Months 2019</t>
  </si>
  <si>
    <t>CAPITALIZATION ALLOCATED TO ELECTRIC OPERATIONS</t>
  </si>
  <si>
    <t>Louisville Gas &amp; Electric</t>
  </si>
  <si>
    <t>GAS</t>
  </si>
  <si>
    <t>CASE NO. 2016-00371</t>
  </si>
  <si>
    <t>PAGE 1 OF 4</t>
  </si>
  <si>
    <t>PAGE 2 OF 4</t>
  </si>
  <si>
    <t>GAS:</t>
  </si>
  <si>
    <t>ENERGY CREDIT PER KWH (APRIL 1, 2018 - APRIL 30, 2019) (11 / 12)</t>
  </si>
  <si>
    <t>Louisville Gas and Electric Company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</si>
  <si>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</si>
  <si>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</si>
  <si>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</si>
  <si>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</si>
  <si>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</si>
  <si>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</si>
  <si>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</si>
  <si>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</si>
  <si>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2011 Summer Storm Damages</t>
  </si>
  <si>
    <t>African American Venture Fund</t>
  </si>
  <si>
    <t>Amortization Loss on Reacquired Debt</t>
  </si>
  <si>
    <t>Bad Debts Reserves</t>
  </si>
  <si>
    <t>CAFC</t>
  </si>
  <si>
    <t>CCR ARO Ponds</t>
  </si>
  <si>
    <t>CMRG Regulatory Asset</t>
  </si>
  <si>
    <t>Contingency Reserve</t>
  </si>
  <si>
    <t>Demand Side Management</t>
  </si>
  <si>
    <t>Emission Allowances</t>
  </si>
  <si>
    <t>Environmental Cost Recovery - Current</t>
  </si>
  <si>
    <t>FAC Under Recovery KY - Current</t>
  </si>
  <si>
    <t>FAS 106 Cost Write-Off (Post Retirement)</t>
  </si>
  <si>
    <t>FAS 112 Cost Write-Off (Post Employment)</t>
  </si>
  <si>
    <t>FAS 87 Pensions</t>
  </si>
  <si>
    <t>Interest Rate Swaps</t>
  </si>
  <si>
    <t>Off-System Sales Tracker - Reg Liab</t>
  </si>
  <si>
    <t>Performance Incentive</t>
  </si>
  <si>
    <t xml:space="preserve">Plant Outage Normalization - Reg Asset </t>
  </si>
  <si>
    <t>Prepaid Insurance</t>
  </si>
  <si>
    <t>Refined Coal - KY - Reg Liab</t>
  </si>
  <si>
    <t>Regulatory Expenses</t>
  </si>
  <si>
    <t>Research Dev. &amp; Demo Exp.</t>
  </si>
  <si>
    <t>State Tax Current</t>
  </si>
  <si>
    <t>Swap Termination</t>
  </si>
  <si>
    <t>Tenant Incentive Amortization</t>
  </si>
  <si>
    <t>Unclaimed Checks</t>
  </si>
  <si>
    <t>Vacation Pay</t>
  </si>
  <si>
    <t>Workers Compensation</t>
  </si>
  <si>
    <t>ENERGY BILLING UNITS (TY KWH / 12 MO x 13 MO)</t>
  </si>
  <si>
    <t>PAGE 2</t>
  </si>
  <si>
    <t>AMORTIZATION OF EXCESS ADIT (UNPROTECTED) - (SL OVER 15 YEARS)</t>
  </si>
  <si>
    <t>BASE RATES</t>
  </si>
  <si>
    <t>MECHANISMS</t>
  </si>
  <si>
    <t>NOL - GAS</t>
  </si>
  <si>
    <t>GLT</t>
  </si>
  <si>
    <t>DSM</t>
  </si>
  <si>
    <t>16 Month Period</t>
  </si>
  <si>
    <t>Protected Deferreds under ARAM</t>
  </si>
  <si>
    <t>Electric - Base</t>
  </si>
  <si>
    <t>Gas - Base</t>
  </si>
  <si>
    <t>Mechanisms</t>
  </si>
  <si>
    <t>AMORTIZATION OF EXCESS ADIT (PROTECTED) -  ($207,520,098 USING ARAM)</t>
  </si>
  <si>
    <t>Capitalized Gas Inventory Costs</t>
  </si>
  <si>
    <t>Gas Line Tracker Reg Liab - Current</t>
  </si>
  <si>
    <t>Line Pack - IRS Audit</t>
  </si>
  <si>
    <t>Purchased Gas Adjustment - Current</t>
  </si>
  <si>
    <t>REFERENCE</t>
  </si>
  <si>
    <t>RATE PER MONTH CALCULATIONS:</t>
  </si>
  <si>
    <t>TOTAL MONTHLY REDUCTION IN REVENUE REQUIREMENTS (11 / 16 MO)</t>
  </si>
  <si>
    <t>ENERGY BILLING UNITS PER MONTH (TY KWH / 12 MO)</t>
  </si>
  <si>
    <t>% of Total</t>
  </si>
  <si>
    <t>Based on Rates per June 29, 2017 Order</t>
  </si>
  <si>
    <t>Rates RS, RTOD-D, RTOD-E</t>
  </si>
  <si>
    <t>All Other Rates</t>
  </si>
  <si>
    <t>Total kWh</t>
  </si>
  <si>
    <t>Per PSC Order (6/29/17)</t>
  </si>
  <si>
    <t>Forecasted Test Year Revenues</t>
  </si>
  <si>
    <t>Increase</t>
  </si>
  <si>
    <t>Percentage Increase</t>
  </si>
  <si>
    <t>Percentage Change</t>
  </si>
  <si>
    <t>Tariffed Revenues:</t>
  </si>
  <si>
    <t>Residential Service - RS</t>
  </si>
  <si>
    <t>Residential Time-of-Day Rate - RTOD</t>
  </si>
  <si>
    <t>General Service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</si>
  <si>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</si>
  <si>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</si>
  <si>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</si>
  <si>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</si>
  <si>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</si>
  <si>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</si>
  <si>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</si>
  <si>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 - RTS</t>
  </si>
  <si>
    <t>Curtailable Service Rider - TODP</t>
  </si>
  <si>
    <t>Curtailable Service Riders</t>
  </si>
  <si>
    <t>Special Contract -- Customer #1 (FK)</t>
  </si>
  <si>
    <t>Special Contract -- Customer #2 (LWC)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</si>
  <si>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</si>
  <si>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</si>
  <si>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</si>
  <si>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</si>
  <si>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</si>
  <si>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</si>
  <si>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</si>
  <si>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</si>
  <si>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</si>
  <si>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</si>
  <si>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</si>
  <si>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</si>
  <si>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Sales</t>
  </si>
  <si>
    <t>Residential Gas Service - RGS</t>
  </si>
  <si>
    <t>Commercial Gas Service - Rate CGS</t>
  </si>
  <si>
    <t>Industrial Gas Service - Rate IGS</t>
  </si>
  <si>
    <t>Distributed Generation Gas Service - Rate DGGS</t>
  </si>
  <si>
    <t>As-Available Gas Service - Rate AAGS</t>
  </si>
  <si>
    <t>Firm Transportation Service (Non-Standby) - Rate FT</t>
  </si>
  <si>
    <t>Special Contract - Intra-Company Sales</t>
  </si>
  <si>
    <t>Substitute Gas Sales Service - Rate SGSS</t>
  </si>
  <si>
    <t>Total Ultimate Consumers and Intra-Company</t>
  </si>
  <si>
    <t>Forecasted Test Year Data - per KPSC's June 29, 2017 Order</t>
  </si>
  <si>
    <t>RESIDENTIAL TARIFF            (41% OF TOTAL REVENUES)</t>
  </si>
  <si>
    <t>OTHER TARIFFS (59% OF TOTAL REVENUES)</t>
  </si>
  <si>
    <t>Total Revenues per Updated Final Order</t>
  </si>
  <si>
    <t>(15 year amort for unprotected - Base)</t>
  </si>
  <si>
    <t>CASE NO. 2018-00034 - ELECTRIC OPERATIONS</t>
  </si>
  <si>
    <t>CASE NO. 2018-00034</t>
  </si>
  <si>
    <t>MONTHLY ENERGY CREDIT PER KWH  (14 / 15)</t>
  </si>
  <si>
    <t>CASE NO. 2016-00371 FINAL ORDER                                    (7/1/2017 - 6/30/2018) (35%)</t>
  </si>
  <si>
    <t>EXHIBIT KWB-3</t>
  </si>
  <si>
    <t>PAGE 5 OF 5</t>
  </si>
  <si>
    <t>COMPUTATION OF COMPOSITE FEDERAL AND STATE INCOME TAX RATE</t>
  </si>
  <si>
    <t>BASED ON LAW AS OF JANUARY 1, 2018</t>
  </si>
  <si>
    <t>INCOME BEFORE STATE INCOME TAX (LINES 1 - 2 - 3)</t>
  </si>
  <si>
    <t>STATE INCOME TAX (LINE 4 X 6.00%)</t>
  </si>
  <si>
    <t>INCOME BEFORE FEDERAL INCOME TAX (LINES 4 - 5)</t>
  </si>
  <si>
    <t>FEDERAL INCOME TAX (LINE 6 X 21.00%)</t>
  </si>
  <si>
    <t>TOTAL STATE AND FEDERAL INCOME TAXES (LINES 5 + 7)</t>
  </si>
  <si>
    <t>BLAKE</t>
  </si>
  <si>
    <t>UPDATED                        CASE NO. 2016-00371 FINAL ORDER                                    (7/1/2017 - 6/30/2018) (21%)</t>
  </si>
  <si>
    <t>PENSION CONTRIBUTION IMPACT ON CAPITALIZATION</t>
  </si>
  <si>
    <t>TOTAL COMPANY</t>
  </si>
  <si>
    <t>EQUITY</t>
  </si>
  <si>
    <t>THIRTEEN MONTH CAPITALIZATION PER CASE 2016-00371</t>
  </si>
  <si>
    <t>LESS: PENSION INCLUDED IN LAST RATE CASE (THIRTEEN MONTH AVERAGE)</t>
  </si>
  <si>
    <t>ADD: UPDATED PENSION CONTRIBUTION (THIRTEEN MONTH AVERAGE)</t>
  </si>
  <si>
    <t xml:space="preserve">REVISED CAPITALIZATION </t>
  </si>
  <si>
    <t>DIFFERENCE (LINE 4 - 1)</t>
  </si>
  <si>
    <t>UPDATED 13 MONTH AVERAGE AMOUNT (PENSION CONTRIBUTION)</t>
  </si>
  <si>
    <t>UPDATED COST RATE</t>
  </si>
  <si>
    <t>ATTACHMENT TO RESPONSE TO STAFF POST HEARING QUESTION NO.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</si>
</sst>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_(&quot;$&quot;* #,##0_);_(&quot;$&quot;* \(#,##0\);_(&quot;$&quot;* &quot;-&quot;??_);_(@_)"/>
    <numFmt numFmtId="188" formatCode="_(* #,##0.00000_);_(* \(#,##0.00000\);_(* &quot;-&quot;??_);_(@_)"/>
    <numFmt numFmtId="189" formatCode="0.0%"/>
    <numFmt numFmtId="190" formatCode="0.00000000%"/>
    <numFmt numFmtId="191" formatCode="0.000000000%"/>
  </numFmts>
  <fonts count="1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Accounting"/>
      <sz val="13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vertAlign val="superscript"/>
      <sz val="1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654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37" fontId="20" fillId="0" borderId="0"/>
    <xf numFmtId="0" fontId="12" fillId="15" borderId="0"/>
    <xf numFmtId="0" fontId="12" fillId="15" borderId="0"/>
    <xf numFmtId="165" fontId="12" fillId="0" borderId="0"/>
    <xf numFmtId="165" fontId="12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1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2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1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1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2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1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2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2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2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3" fillId="21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0" fontId="23" fillId="25" borderId="0" applyNumberFormat="0" applyBorder="0" applyAlignment="0" applyProtection="0"/>
    <xf numFmtId="166" fontId="24" fillId="17" borderId="0" applyNumberFormat="0" applyBorder="0" applyAlignment="0" applyProtection="0"/>
    <xf numFmtId="166" fontId="24" fillId="17" borderId="0" applyNumberFormat="0" applyBorder="0" applyAlignment="0" applyProtection="0"/>
    <xf numFmtId="166" fontId="24" fillId="17" borderId="0" applyNumberFormat="0" applyBorder="0" applyAlignment="0" applyProtection="0"/>
    <xf numFmtId="0" fontId="23" fillId="26" borderId="0" applyNumberFormat="0" applyBorder="0" applyAlignment="0" applyProtection="0"/>
    <xf numFmtId="166" fontId="24" fillId="27" borderId="0" applyNumberFormat="0" applyBorder="0" applyAlignment="0" applyProtection="0"/>
    <xf numFmtId="166" fontId="24" fillId="27" borderId="0" applyNumberFormat="0" applyBorder="0" applyAlignment="0" applyProtection="0"/>
    <xf numFmtId="166" fontId="24" fillId="27" borderId="0" applyNumberFormat="0" applyBorder="0" applyAlignment="0" applyProtection="0"/>
    <xf numFmtId="0" fontId="23" fillId="23" borderId="0" applyNumberFormat="0" applyBorder="0" applyAlignment="0" applyProtection="0"/>
    <xf numFmtId="166" fontId="24" fillId="19" borderId="0" applyNumberFormat="0" applyBorder="0" applyAlignment="0" applyProtection="0"/>
    <xf numFmtId="166" fontId="24" fillId="19" borderId="0" applyNumberFormat="0" applyBorder="0" applyAlignment="0" applyProtection="0"/>
    <xf numFmtId="166" fontId="24" fillId="19" borderId="0" applyNumberFormat="0" applyBorder="0" applyAlignment="0" applyProtection="0"/>
    <xf numFmtId="0" fontId="23" fillId="21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0" fontId="23" fillId="17" borderId="0" applyNumberFormat="0" applyBorder="0" applyAlignment="0" applyProtection="0"/>
    <xf numFmtId="166" fontId="24" fillId="20" borderId="0" applyNumberFormat="0" applyBorder="0" applyAlignment="0" applyProtection="0"/>
    <xf numFmtId="166" fontId="24" fillId="20" borderId="0" applyNumberFormat="0" applyBorder="0" applyAlignment="0" applyProtection="0"/>
    <xf numFmtId="166" fontId="24" fillId="20" borderId="0" applyNumberFormat="0" applyBorder="0" applyAlignment="0" applyProtection="0"/>
    <xf numFmtId="0" fontId="23" fillId="28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0" fontId="23" fillId="25" borderId="0" applyNumberFormat="0" applyBorder="0" applyAlignment="0" applyProtection="0"/>
    <xf numFmtId="166" fontId="24" fillId="30" borderId="0" applyNumberFormat="0" applyBorder="0" applyAlignment="0" applyProtection="0"/>
    <xf numFmtId="166" fontId="24" fillId="30" borderId="0" applyNumberFormat="0" applyBorder="0" applyAlignment="0" applyProtection="0"/>
    <xf numFmtId="166" fontId="24" fillId="30" borderId="0" applyNumberFormat="0" applyBorder="0" applyAlignment="0" applyProtection="0"/>
    <xf numFmtId="0" fontId="23" fillId="26" borderId="0" applyNumberFormat="0" applyBorder="0" applyAlignment="0" applyProtection="0"/>
    <xf numFmtId="166" fontId="24" fillId="31" borderId="0" applyNumberFormat="0" applyBorder="0" applyAlignment="0" applyProtection="0"/>
    <xf numFmtId="166" fontId="24" fillId="31" borderId="0" applyNumberFormat="0" applyBorder="0" applyAlignment="0" applyProtection="0"/>
    <xf numFmtId="166" fontId="24" fillId="31" borderId="0" applyNumberFormat="0" applyBorder="0" applyAlignment="0" applyProtection="0"/>
    <xf numFmtId="0" fontId="23" fillId="32" borderId="0" applyNumberFormat="0" applyBorder="0" applyAlignment="0" applyProtection="0"/>
    <xf numFmtId="166" fontId="24" fillId="32" borderId="0" applyNumberFormat="0" applyBorder="0" applyAlignment="0" applyProtection="0"/>
    <xf numFmtId="166" fontId="24" fillId="32" borderId="0" applyNumberFormat="0" applyBorder="0" applyAlignment="0" applyProtection="0"/>
    <xf numFmtId="166" fontId="24" fillId="32" borderId="0" applyNumberFormat="0" applyBorder="0" applyAlignment="0" applyProtection="0"/>
    <xf numFmtId="0" fontId="23" fillId="29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0" fontId="23" fillId="30" borderId="0" applyNumberFormat="0" applyBorder="0" applyAlignment="0" applyProtection="0"/>
    <xf numFmtId="166" fontId="24" fillId="25" borderId="0" applyNumberFormat="0" applyBorder="0" applyAlignment="0" applyProtection="0"/>
    <xf numFmtId="166" fontId="24" fillId="25" borderId="0" applyNumberFormat="0" applyBorder="0" applyAlignment="0" applyProtection="0"/>
    <xf numFmtId="166" fontId="24" fillId="25" borderId="0" applyNumberFormat="0" applyBorder="0" applyAlignment="0" applyProtection="0"/>
    <xf numFmtId="0" fontId="25" fillId="33" borderId="0" applyNumberFormat="0" applyBorder="0" applyAlignment="0" applyProtection="0"/>
    <xf numFmtId="166" fontId="26" fillId="23" borderId="0" applyNumberFormat="0" applyBorder="0" applyAlignment="0" applyProtection="0"/>
    <xf numFmtId="166" fontId="26" fillId="23" borderId="0" applyNumberFormat="0" applyBorder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166" fontId="28" fillId="35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166" fontId="28" fillId="35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166" fontId="28" fillId="35" borderId="8" applyNumberFormat="0" applyAlignment="0" applyProtection="0"/>
    <xf numFmtId="0" fontId="27" fillId="34" borderId="8" applyNumberFormat="0" applyAlignment="0" applyProtection="0"/>
    <xf numFmtId="166" fontId="28" fillId="35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9" fillId="36" borderId="9" applyNumberFormat="0" applyAlignment="0" applyProtection="0"/>
    <xf numFmtId="166" fontId="30" fillId="36" borderId="9" applyNumberFormat="0" applyAlignment="0" applyProtection="0"/>
    <xf numFmtId="166" fontId="30" fillId="36" borderId="9" applyNumberFormat="0" applyAlignment="0" applyProtection="0"/>
    <xf numFmtId="167" fontId="31" fillId="0" borderId="10" applyBorder="0">
      <alignment horizontal="center" vertical="center"/>
    </xf>
    <xf numFmtId="168" fontId="30" fillId="37" borderId="0">
      <alignment horizontal="left"/>
    </xf>
    <xf numFmtId="0" fontId="30" fillId="37" borderId="0">
      <alignment horizontal="left"/>
    </xf>
    <xf numFmtId="166" fontId="30" fillId="37" borderId="0">
      <alignment horizontal="left"/>
    </xf>
    <xf numFmtId="168" fontId="32" fillId="37" borderId="0">
      <alignment horizontal="right"/>
    </xf>
    <xf numFmtId="0" fontId="32" fillId="37" borderId="0">
      <alignment horizontal="right"/>
    </xf>
    <xf numFmtId="166" fontId="32" fillId="37" borderId="0">
      <alignment horizontal="right"/>
    </xf>
    <xf numFmtId="168" fontId="33" fillId="34" borderId="0">
      <alignment horizontal="center"/>
    </xf>
    <xf numFmtId="0" fontId="33" fillId="34" borderId="0">
      <alignment horizontal="center"/>
    </xf>
    <xf numFmtId="166" fontId="33" fillId="34" borderId="0">
      <alignment horizontal="center"/>
    </xf>
    <xf numFmtId="168" fontId="32" fillId="37" borderId="0">
      <alignment horizontal="right"/>
    </xf>
    <xf numFmtId="0" fontId="32" fillId="37" borderId="0">
      <alignment horizontal="right"/>
    </xf>
    <xf numFmtId="166" fontId="32" fillId="37" borderId="0">
      <alignment horizontal="right"/>
    </xf>
    <xf numFmtId="168" fontId="34" fillId="34" borderId="0">
      <alignment horizontal="left"/>
    </xf>
    <xf numFmtId="0" fontId="34" fillId="34" borderId="0">
      <alignment horizontal="left"/>
    </xf>
    <xf numFmtId="166" fontId="34" fillId="34" borderId="0">
      <alignment horizontal="left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37" fontId="12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38" borderId="11" applyNumberFormat="0" applyFont="0" applyAlignment="0">
      <protection locked="0"/>
    </xf>
    <xf numFmtId="0" fontId="12" fillId="38" borderId="11" applyNumberFormat="0" applyFont="0" applyAlignment="0">
      <protection locked="0"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11" fillId="0" borderId="0" applyProtection="0"/>
    <xf numFmtId="166" fontId="11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10" fillId="0" borderId="0" applyProtection="0"/>
    <xf numFmtId="166" fontId="10" fillId="0" borderId="0" applyProtection="0"/>
    <xf numFmtId="166" fontId="10" fillId="0" borderId="0" applyProtection="0"/>
    <xf numFmtId="0" fontId="12" fillId="0" borderId="0" applyProtection="0"/>
    <xf numFmtId="0" fontId="12" fillId="0" borderId="0" applyProtection="0"/>
    <xf numFmtId="166" fontId="12" fillId="0" borderId="0" applyProtection="0"/>
    <xf numFmtId="166" fontId="12" fillId="0" borderId="0" applyProtection="0"/>
    <xf numFmtId="0" fontId="11" fillId="0" borderId="0" applyProtection="0"/>
    <xf numFmtId="166" fontId="11" fillId="0" borderId="0" applyProtection="0"/>
    <xf numFmtId="0" fontId="42" fillId="0" borderId="0" applyProtection="0"/>
    <xf numFmtId="166" fontId="42" fillId="0" borderId="0" applyProtection="0"/>
    <xf numFmtId="2" fontId="17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3" fillId="21" borderId="0" applyNumberFormat="0" applyBorder="0" applyAlignment="0" applyProtection="0"/>
    <xf numFmtId="166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44" fillId="0" borderId="12" applyNumberFormat="0" applyFill="0" applyAlignment="0" applyProtection="0"/>
    <xf numFmtId="166" fontId="45" fillId="0" borderId="13" applyNumberFormat="0" applyFill="0" applyAlignment="0" applyProtection="0"/>
    <xf numFmtId="0" fontId="14" fillId="0" borderId="4" applyNumberFormat="0" applyFill="0" applyAlignment="0" applyProtection="0"/>
    <xf numFmtId="166" fontId="45" fillId="0" borderId="13" applyNumberFormat="0" applyFill="0" applyAlignment="0" applyProtection="0"/>
    <xf numFmtId="0" fontId="46" fillId="0" borderId="14" applyNumberFormat="0" applyFill="0" applyAlignment="0" applyProtection="0"/>
    <xf numFmtId="166" fontId="47" fillId="0" borderId="15" applyNumberFormat="0" applyFill="0" applyAlignment="0" applyProtection="0"/>
    <xf numFmtId="0" fontId="15" fillId="0" borderId="5" applyNumberFormat="0" applyFill="0" applyAlignment="0" applyProtection="0"/>
    <xf numFmtId="166" fontId="47" fillId="0" borderId="15" applyNumberFormat="0" applyFill="0" applyAlignment="0" applyProtection="0"/>
    <xf numFmtId="0" fontId="48" fillId="0" borderId="16" applyNumberFormat="0" applyFill="0" applyAlignment="0" applyProtection="0"/>
    <xf numFmtId="166" fontId="49" fillId="0" borderId="17" applyNumberFormat="0" applyFill="0" applyAlignment="0" applyProtection="0"/>
    <xf numFmtId="166" fontId="49" fillId="0" borderId="17" applyNumberFormat="0" applyFill="0" applyAlignment="0" applyProtection="0"/>
    <xf numFmtId="166" fontId="49" fillId="0" borderId="17" applyNumberFormat="0" applyFill="0" applyAlignment="0" applyProtection="0"/>
    <xf numFmtId="166" fontId="49" fillId="0" borderId="17" applyNumberFormat="0" applyFill="0" applyAlignment="0" applyProtection="0"/>
    <xf numFmtId="166" fontId="49" fillId="0" borderId="17" applyNumberFormat="0" applyFill="0" applyAlignment="0" applyProtection="0"/>
    <xf numFmtId="0" fontId="48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168" fontId="50" fillId="0" borderId="0" applyNumberFormat="0" applyFill="0" applyBorder="0" applyAlignment="0" applyProtection="0">
      <alignment vertical="top"/>
      <protection locked="0"/>
    </xf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166" fontId="52" fillId="20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166" fontId="52" fillId="20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166" fontId="52" fillId="20" borderId="8" applyNumberFormat="0" applyAlignment="0" applyProtection="0"/>
    <xf numFmtId="0" fontId="51" fillId="22" borderId="8" applyNumberFormat="0" applyAlignment="0" applyProtection="0"/>
    <xf numFmtId="166" fontId="52" fillId="20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168" fontId="30" fillId="37" borderId="0">
      <alignment horizontal="left"/>
    </xf>
    <xf numFmtId="0" fontId="30" fillId="37" borderId="0">
      <alignment horizontal="left"/>
    </xf>
    <xf numFmtId="166" fontId="30" fillId="37" borderId="0">
      <alignment horizontal="left"/>
    </xf>
    <xf numFmtId="168" fontId="53" fillId="34" borderId="0">
      <alignment horizontal="left"/>
    </xf>
    <xf numFmtId="0" fontId="53" fillId="34" borderId="0">
      <alignment horizontal="left"/>
    </xf>
    <xf numFmtId="0" fontId="53" fillId="34" borderId="0">
      <alignment horizontal="left"/>
    </xf>
    <xf numFmtId="166" fontId="53" fillId="34" borderId="0">
      <alignment horizontal="left"/>
    </xf>
    <xf numFmtId="0" fontId="54" fillId="0" borderId="18" applyNumberFormat="0" applyFill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0" fontId="56" fillId="22" borderId="0" applyNumberFormat="0" applyBorder="0" applyAlignment="0" applyProtection="0"/>
    <xf numFmtId="166" fontId="57" fillId="22" borderId="0" applyNumberFormat="0" applyBorder="0" applyAlignment="0" applyProtection="0"/>
    <xf numFmtId="166" fontId="57" fillId="22" borderId="0" applyNumberFormat="0" applyBorder="0" applyAlignment="0" applyProtection="0"/>
    <xf numFmtId="168" fontId="12" fillId="0" borderId="0"/>
    <xf numFmtId="0" fontId="12" fillId="0" borderId="0"/>
    <xf numFmtId="166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166" fontId="12" fillId="0" borderId="0"/>
    <xf numFmtId="165" fontId="12" fillId="0" borderId="0"/>
    <xf numFmtId="165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66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166" fontId="12" fillId="0" borderId="0"/>
    <xf numFmtId="0" fontId="12" fillId="0" borderId="0"/>
    <xf numFmtId="0" fontId="22" fillId="0" borderId="0"/>
    <xf numFmtId="171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71" fontId="12" fillId="0" borderId="0"/>
    <xf numFmtId="0" fontId="9" fillId="0" borderId="0"/>
    <xf numFmtId="0" fontId="12" fillId="0" borderId="0"/>
    <xf numFmtId="171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66" fontId="12" fillId="0" borderId="0"/>
    <xf numFmtId="37" fontId="40" fillId="0" borderId="0"/>
    <xf numFmtId="0" fontId="9" fillId="0" borderId="0"/>
    <xf numFmtId="0" fontId="9" fillId="0" borderId="0"/>
    <xf numFmtId="0" fontId="36" fillId="0" borderId="0"/>
    <xf numFmtId="37" fontId="20" fillId="0" borderId="0"/>
    <xf numFmtId="168" fontId="12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2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2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2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2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9" fillId="0" borderId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9" fillId="0" borderId="0"/>
    <xf numFmtId="0" fontId="9" fillId="0" borderId="0"/>
    <xf numFmtId="0" fontId="9" fillId="0" borderId="0"/>
    <xf numFmtId="172" fontId="60" fillId="34" borderId="0">
      <alignment horizontal="right"/>
    </xf>
    <xf numFmtId="40" fontId="61" fillId="40" borderId="0">
      <alignment horizontal="right"/>
    </xf>
    <xf numFmtId="4" fontId="60" fillId="40" borderId="0">
      <alignment horizontal="right"/>
    </xf>
    <xf numFmtId="0" fontId="9" fillId="0" borderId="0"/>
    <xf numFmtId="40" fontId="61" fillId="40" borderId="0">
      <alignment horizontal="right"/>
    </xf>
    <xf numFmtId="168" fontId="62" fillId="41" borderId="0">
      <alignment horizontal="center"/>
    </xf>
    <xf numFmtId="0" fontId="63" fillId="40" borderId="0">
      <alignment horizontal="right"/>
    </xf>
    <xf numFmtId="0" fontId="9" fillId="0" borderId="0"/>
    <xf numFmtId="0" fontId="62" fillId="40" borderId="0">
      <alignment horizontal="center" vertical="center"/>
    </xf>
    <xf numFmtId="0" fontId="9" fillId="0" borderId="0"/>
    <xf numFmtId="0" fontId="63" fillId="40" borderId="0">
      <alignment horizontal="right"/>
    </xf>
    <xf numFmtId="168" fontId="30" fillId="42" borderId="0"/>
    <xf numFmtId="0" fontId="64" fillId="40" borderId="10"/>
    <xf numFmtId="0" fontId="53" fillId="40" borderId="10"/>
    <xf numFmtId="0" fontId="9" fillId="0" borderId="0"/>
    <xf numFmtId="0" fontId="53" fillId="40" borderId="10"/>
    <xf numFmtId="0" fontId="9" fillId="0" borderId="0"/>
    <xf numFmtId="0" fontId="64" fillId="40" borderId="10"/>
    <xf numFmtId="168" fontId="65" fillId="34" borderId="0" applyBorder="0">
      <alignment horizontal="centerContinuous"/>
    </xf>
    <xf numFmtId="0" fontId="64" fillId="0" borderId="0" applyBorder="0">
      <alignment horizontal="centerContinuous"/>
    </xf>
    <xf numFmtId="0" fontId="9" fillId="0" borderId="0"/>
    <xf numFmtId="0" fontId="62" fillId="40" borderId="0" applyBorder="0">
      <alignment horizontal="centerContinuous"/>
    </xf>
    <xf numFmtId="0" fontId="9" fillId="0" borderId="0"/>
    <xf numFmtId="0" fontId="64" fillId="0" borderId="0" applyBorder="0">
      <alignment horizontal="centerContinuous"/>
    </xf>
    <xf numFmtId="168" fontId="66" fillId="42" borderId="0" applyBorder="0">
      <alignment horizontal="centerContinuous"/>
    </xf>
    <xf numFmtId="0" fontId="67" fillId="0" borderId="0" applyBorder="0">
      <alignment horizontal="centerContinuous"/>
    </xf>
    <xf numFmtId="0" fontId="9" fillId="0" borderId="0"/>
    <xf numFmtId="0" fontId="68" fillId="40" borderId="0" applyBorder="0">
      <alignment horizontal="centerContinuous"/>
    </xf>
    <xf numFmtId="0" fontId="9" fillId="0" borderId="0"/>
    <xf numFmtId="0" fontId="67" fillId="0" borderId="0" applyBorder="0">
      <alignment horizontal="centerContinuous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70" fillId="0" borderId="3">
      <alignment horizontal="center"/>
    </xf>
    <xf numFmtId="3" fontId="69" fillId="0" borderId="0" applyFont="0" applyFill="0" applyBorder="0" applyAlignment="0" applyProtection="0"/>
    <xf numFmtId="0" fontId="69" fillId="43" borderId="0" applyNumberFormat="0" applyFont="0" applyBorder="0" applyAlignment="0" applyProtection="0"/>
    <xf numFmtId="168" fontId="53" fillId="22" borderId="0">
      <alignment horizontal="center"/>
    </xf>
    <xf numFmtId="0" fontId="53" fillId="22" borderId="0">
      <alignment horizontal="center"/>
    </xf>
    <xf numFmtId="0" fontId="53" fillId="22" borderId="0">
      <alignment horizontal="center"/>
    </xf>
    <xf numFmtId="0" fontId="9" fillId="0" borderId="0"/>
    <xf numFmtId="49" fontId="71" fillId="34" borderId="0">
      <alignment horizontal="center"/>
    </xf>
    <xf numFmtId="0" fontId="9" fillId="0" borderId="0"/>
    <xf numFmtId="168" fontId="32" fillId="37" borderId="0">
      <alignment horizontal="center"/>
    </xf>
    <xf numFmtId="0" fontId="32" fillId="37" borderId="0">
      <alignment horizontal="center"/>
    </xf>
    <xf numFmtId="0" fontId="9" fillId="0" borderId="0"/>
    <xf numFmtId="168" fontId="32" fillId="37" borderId="0">
      <alignment horizontal="centerContinuous"/>
    </xf>
    <xf numFmtId="0" fontId="32" fillId="37" borderId="0">
      <alignment horizontal="centerContinuous"/>
    </xf>
    <xf numFmtId="0" fontId="9" fillId="0" borderId="0"/>
    <xf numFmtId="168" fontId="72" fillId="34" borderId="0">
      <alignment horizontal="left"/>
    </xf>
    <xf numFmtId="0" fontId="72" fillId="34" borderId="0">
      <alignment horizontal="left"/>
    </xf>
    <xf numFmtId="0" fontId="9" fillId="0" borderId="0"/>
    <xf numFmtId="49" fontId="72" fillId="34" borderId="0">
      <alignment horizontal="center"/>
    </xf>
    <xf numFmtId="0" fontId="9" fillId="0" borderId="0"/>
    <xf numFmtId="168" fontId="30" fillId="37" borderId="0">
      <alignment horizontal="left"/>
    </xf>
    <xf numFmtId="0" fontId="30" fillId="37" borderId="0">
      <alignment horizontal="left"/>
    </xf>
    <xf numFmtId="0" fontId="9" fillId="0" borderId="0"/>
    <xf numFmtId="49" fontId="72" fillId="34" borderId="0">
      <alignment horizontal="left"/>
    </xf>
    <xf numFmtId="0" fontId="9" fillId="0" borderId="0"/>
    <xf numFmtId="168" fontId="30" fillId="37" borderId="0">
      <alignment horizontal="centerContinuous"/>
    </xf>
    <xf numFmtId="0" fontId="30" fillId="37" borderId="0">
      <alignment horizontal="centerContinuous"/>
    </xf>
    <xf numFmtId="0" fontId="9" fillId="0" borderId="0"/>
    <xf numFmtId="168" fontId="30" fillId="37" borderId="0">
      <alignment horizontal="right"/>
    </xf>
    <xf numFmtId="0" fontId="30" fillId="37" borderId="0">
      <alignment horizontal="right"/>
    </xf>
    <xf numFmtId="0" fontId="9" fillId="0" borderId="0"/>
    <xf numFmtId="49" fontId="53" fillId="34" borderId="0">
      <alignment horizontal="left"/>
    </xf>
    <xf numFmtId="49" fontId="53" fillId="34" borderId="0">
      <alignment horizontal="left"/>
    </xf>
    <xf numFmtId="0" fontId="9" fillId="0" borderId="0"/>
    <xf numFmtId="168" fontId="32" fillId="37" borderId="0">
      <alignment horizontal="right"/>
    </xf>
    <xf numFmtId="0" fontId="32" fillId="37" borderId="0">
      <alignment horizontal="right"/>
    </xf>
    <xf numFmtId="0" fontId="9" fillId="0" borderId="0"/>
    <xf numFmtId="168" fontId="72" fillId="20" borderId="0">
      <alignment horizontal="center"/>
    </xf>
    <xf numFmtId="0" fontId="72" fillId="20" borderId="0">
      <alignment horizontal="center"/>
    </xf>
    <xf numFmtId="0" fontId="9" fillId="0" borderId="0"/>
    <xf numFmtId="168" fontId="73" fillId="20" borderId="0">
      <alignment horizontal="center"/>
    </xf>
    <xf numFmtId="0" fontId="73" fillId="20" borderId="0">
      <alignment horizontal="center"/>
    </xf>
    <xf numFmtId="0" fontId="9" fillId="0" borderId="0"/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4" fontId="11" fillId="42" borderId="0" applyNumberFormat="0" applyProtection="0">
      <alignment horizontal="left" vertical="center" indent="1"/>
    </xf>
    <xf numFmtId="4" fontId="11" fillId="42" borderId="0" applyNumberFormat="0" applyProtection="0">
      <alignment horizontal="left" vertical="center" indent="1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1" fillId="49" borderId="0" applyNumberFormat="0" applyProtection="0">
      <alignment horizontal="left" vertical="center" indent="1"/>
    </xf>
    <xf numFmtId="4" fontId="11" fillId="49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71" fillId="50" borderId="0" applyNumberFormat="0" applyProtection="0">
      <alignment horizontal="left" vertical="center" indent="1"/>
    </xf>
    <xf numFmtId="4" fontId="71" fillId="50" borderId="0" applyNumberFormat="0" applyProtection="0">
      <alignment horizontal="left" vertical="center" indent="1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4" fontId="77" fillId="0" borderId="0" applyNumberFormat="0" applyProtection="0">
      <alignment horizontal="left" vertical="center" indent="1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 applyNumberFormat="0" applyFill="0" applyBorder="0" applyAlignment="0" applyProtection="0"/>
    <xf numFmtId="0" fontId="9" fillId="0" borderId="0"/>
    <xf numFmtId="0" fontId="9" fillId="0" borderId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9" fillId="0" borderId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9" fillId="0" borderId="0"/>
    <xf numFmtId="0" fontId="16" fillId="0" borderId="7" applyNumberFormat="0" applyFill="0" applyAlignment="0" applyProtection="0"/>
    <xf numFmtId="0" fontId="9" fillId="0" borderId="0"/>
    <xf numFmtId="0" fontId="9" fillId="0" borderId="0"/>
    <xf numFmtId="0" fontId="20" fillId="0" borderId="0"/>
    <xf numFmtId="168" fontId="80" fillId="34" borderId="0">
      <alignment horizontal="center"/>
    </xf>
    <xf numFmtId="0" fontId="80" fillId="34" borderId="0">
      <alignment horizontal="center"/>
    </xf>
    <xf numFmtId="0" fontId="9" fillId="0" borderId="0"/>
    <xf numFmtId="0" fontId="54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20" fillId="0" borderId="0" applyFont="0" applyFill="0" applyBorder="0" applyAlignment="0" applyProtection="0"/>
    <xf numFmtId="165" fontId="12" fillId="0" borderId="0"/>
    <xf numFmtId="165" fontId="12" fillId="0" borderId="0"/>
    <xf numFmtId="0" fontId="12" fillId="0" borderId="0"/>
    <xf numFmtId="0" fontId="21" fillId="71" borderId="0" applyNumberFormat="0" applyBorder="0" applyAlignment="0" applyProtection="0"/>
    <xf numFmtId="175" fontId="22" fillId="3" borderId="0" applyNumberFormat="0" applyBorder="0" applyAlignment="0" applyProtection="0"/>
    <xf numFmtId="175" fontId="22" fillId="3" borderId="0" applyNumberFormat="0" applyBorder="0" applyAlignment="0" applyProtection="0"/>
    <xf numFmtId="0" fontId="2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23" borderId="0" applyNumberFormat="0" applyBorder="0" applyAlignment="0" applyProtection="0"/>
    <xf numFmtId="175" fontId="22" fillId="5" borderId="0" applyNumberFormat="0" applyBorder="0" applyAlignment="0" applyProtection="0"/>
    <xf numFmtId="175" fontId="22" fillId="5" borderId="0" applyNumberFormat="0" applyBorder="0" applyAlignment="0" applyProtection="0"/>
    <xf numFmtId="0" fontId="21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1" fillId="39" borderId="0" applyNumberFormat="0" applyBorder="0" applyAlignment="0" applyProtection="0"/>
    <xf numFmtId="175" fontId="22" fillId="7" borderId="0" applyNumberFormat="0" applyBorder="0" applyAlignment="0" applyProtection="0"/>
    <xf numFmtId="175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5" fontId="22" fillId="9" borderId="0" applyNumberFormat="0" applyBorder="0" applyAlignment="0" applyProtection="0"/>
    <xf numFmtId="175" fontId="22" fillId="9" borderId="0" applyNumberFormat="0" applyBorder="0" applyAlignment="0" applyProtection="0"/>
    <xf numFmtId="0" fontId="21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21" fillId="21" borderId="0" applyNumberFormat="0" applyBorder="0" applyAlignment="0" applyProtection="0"/>
    <xf numFmtId="175" fontId="22" fillId="11" borderId="0" applyNumberFormat="0" applyBorder="0" applyAlignment="0" applyProtection="0"/>
    <xf numFmtId="175" fontId="22" fillId="11" borderId="0" applyNumberFormat="0" applyBorder="0" applyAlignment="0" applyProtection="0"/>
    <xf numFmtId="0" fontId="21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1" fillId="20" borderId="0" applyNumberFormat="0" applyBorder="0" applyAlignment="0" applyProtection="0"/>
    <xf numFmtId="175" fontId="22" fillId="13" borderId="0" applyNumberFormat="0" applyBorder="0" applyAlignment="0" applyProtection="0"/>
    <xf numFmtId="175" fontId="22" fillId="13" borderId="0" applyNumberFormat="0" applyBorder="0" applyAlignment="0" applyProtection="0"/>
    <xf numFmtId="0" fontId="21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16" borderId="0" applyNumberFormat="0" applyBorder="0" applyAlignment="0" applyProtection="0"/>
    <xf numFmtId="175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1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17" borderId="0" applyNumberFormat="0" applyBorder="0" applyAlignment="0" applyProtection="0"/>
    <xf numFmtId="175" fontId="22" fillId="6" borderId="0" applyNumberFormat="0" applyBorder="0" applyAlignment="0" applyProtection="0"/>
    <xf numFmtId="175" fontId="22" fillId="6" borderId="0" applyNumberFormat="0" applyBorder="0" applyAlignment="0" applyProtection="0"/>
    <xf numFmtId="0" fontId="21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38" borderId="0" applyNumberFormat="0" applyBorder="0" applyAlignment="0" applyProtection="0"/>
    <xf numFmtId="175" fontId="22" fillId="8" borderId="0" applyNumberFormat="0" applyBorder="0" applyAlignment="0" applyProtection="0"/>
    <xf numFmtId="175" fontId="22" fillId="8" borderId="0" applyNumberFormat="0" applyBorder="0" applyAlignment="0" applyProtection="0"/>
    <xf numFmtId="0" fontId="21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33" borderId="0" applyNumberFormat="0" applyBorder="0" applyAlignment="0" applyProtection="0"/>
    <xf numFmtId="175" fontId="22" fillId="10" borderId="0" applyNumberFormat="0" applyBorder="0" applyAlignment="0" applyProtection="0"/>
    <xf numFmtId="175" fontId="22" fillId="10" borderId="0" applyNumberFormat="0" applyBorder="0" applyAlignment="0" applyProtection="0"/>
    <xf numFmtId="0" fontId="2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16" borderId="0" applyNumberFormat="0" applyBorder="0" applyAlignment="0" applyProtection="0"/>
    <xf numFmtId="175" fontId="22" fillId="12" borderId="0" applyNumberFormat="0" applyBorder="0" applyAlignment="0" applyProtection="0"/>
    <xf numFmtId="175" fontId="22" fillId="12" borderId="0" applyNumberFormat="0" applyBorder="0" applyAlignment="0" applyProtection="0"/>
    <xf numFmtId="0" fontId="21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26" borderId="0" applyNumberFormat="0" applyBorder="0" applyAlignment="0" applyProtection="0"/>
    <xf numFmtId="175" fontId="22" fillId="14" borderId="0" applyNumberFormat="0" applyBorder="0" applyAlignment="0" applyProtection="0"/>
    <xf numFmtId="175" fontId="22" fillId="14" borderId="0" applyNumberFormat="0" applyBorder="0" applyAlignment="0" applyProtection="0"/>
    <xf numFmtId="0" fontId="21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175" fontId="95" fillId="60" borderId="0" applyNumberFormat="0" applyBorder="0" applyAlignment="0" applyProtection="0"/>
    <xf numFmtId="175" fontId="95" fillId="60" borderId="0" applyNumberFormat="0" applyBorder="0" applyAlignment="0" applyProtection="0"/>
    <xf numFmtId="0" fontId="23" fillId="21" borderId="0" applyNumberFormat="0" applyBorder="0" applyAlignment="0" applyProtection="0"/>
    <xf numFmtId="165" fontId="23" fillId="72" borderId="0" applyNumberFormat="0" applyBorder="0" applyAlignment="0" applyProtection="0"/>
    <xf numFmtId="165" fontId="23" fillId="72" borderId="0" applyNumberFormat="0" applyBorder="0" applyAlignment="0" applyProtection="0"/>
    <xf numFmtId="165" fontId="23" fillId="72" borderId="0" applyNumberFormat="0" applyBorder="0" applyAlignment="0" applyProtection="0"/>
    <xf numFmtId="165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75" fontId="95" fillId="62" borderId="0" applyNumberFormat="0" applyBorder="0" applyAlignment="0" applyProtection="0"/>
    <xf numFmtId="175" fontId="95" fillId="62" borderId="0" applyNumberFormat="0" applyBorder="0" applyAlignment="0" applyProtection="0"/>
    <xf numFmtId="0" fontId="23" fillId="25" borderId="0" applyNumberFormat="0" applyBorder="0" applyAlignment="0" applyProtection="0"/>
    <xf numFmtId="165" fontId="23" fillId="17" borderId="0" applyNumberFormat="0" applyBorder="0" applyAlignment="0" applyProtection="0"/>
    <xf numFmtId="165" fontId="23" fillId="17" borderId="0" applyNumberFormat="0" applyBorder="0" applyAlignment="0" applyProtection="0"/>
    <xf numFmtId="165" fontId="23" fillId="17" borderId="0" applyNumberFormat="0" applyBorder="0" applyAlignment="0" applyProtection="0"/>
    <xf numFmtId="165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75" fontId="95" fillId="64" borderId="0" applyNumberFormat="0" applyBorder="0" applyAlignment="0" applyProtection="0"/>
    <xf numFmtId="175" fontId="95" fillId="64" borderId="0" applyNumberFormat="0" applyBorder="0" applyAlignment="0" applyProtection="0"/>
    <xf numFmtId="0" fontId="23" fillId="26" borderId="0" applyNumberFormat="0" applyBorder="0" applyAlignment="0" applyProtection="0"/>
    <xf numFmtId="165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175" fontId="95" fillId="66" borderId="0" applyNumberFormat="0" applyBorder="0" applyAlignment="0" applyProtection="0"/>
    <xf numFmtId="175" fontId="95" fillId="66" borderId="0" applyNumberFormat="0" applyBorder="0" applyAlignment="0" applyProtection="0"/>
    <xf numFmtId="0" fontId="23" fillId="2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175" fontId="95" fillId="68" borderId="0" applyNumberFormat="0" applyBorder="0" applyAlignment="0" applyProtection="0"/>
    <xf numFmtId="175" fontId="95" fillId="68" borderId="0" applyNumberFormat="0" applyBorder="0" applyAlignment="0" applyProtection="0"/>
    <xf numFmtId="0" fontId="23" fillId="21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175" fontId="95" fillId="70" borderId="0" applyNumberFormat="0" applyBorder="0" applyAlignment="0" applyProtection="0"/>
    <xf numFmtId="175" fontId="95" fillId="70" borderId="0" applyNumberFormat="0" applyBorder="0" applyAlignment="0" applyProtection="0"/>
    <xf numFmtId="0" fontId="23" fillId="17" borderId="0" applyNumberFormat="0" applyBorder="0" applyAlignment="0" applyProtection="0"/>
    <xf numFmtId="165" fontId="23" fillId="48" borderId="0" applyNumberFormat="0" applyBorder="0" applyAlignment="0" applyProtection="0"/>
    <xf numFmtId="165" fontId="23" fillId="48" borderId="0" applyNumberFormat="0" applyBorder="0" applyAlignment="0" applyProtection="0"/>
    <xf numFmtId="165" fontId="23" fillId="48" borderId="0" applyNumberFormat="0" applyBorder="0" applyAlignment="0" applyProtection="0"/>
    <xf numFmtId="165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58" fillId="0" borderId="2" applyBorder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175" fontId="95" fillId="59" borderId="0" applyNumberFormat="0" applyBorder="0" applyAlignment="0" applyProtection="0"/>
    <xf numFmtId="175" fontId="95" fillId="59" borderId="0" applyNumberFormat="0" applyBorder="0" applyAlignment="0" applyProtection="0"/>
    <xf numFmtId="0" fontId="23" fillId="28" borderId="0" applyNumberFormat="0" applyBorder="0" applyAlignment="0" applyProtection="0"/>
    <xf numFmtId="165" fontId="23" fillId="74" borderId="0" applyNumberFormat="0" applyBorder="0" applyAlignment="0" applyProtection="0"/>
    <xf numFmtId="165" fontId="23" fillId="74" borderId="0" applyNumberFormat="0" applyBorder="0" applyAlignment="0" applyProtection="0"/>
    <xf numFmtId="165" fontId="23" fillId="74" borderId="0" applyNumberFormat="0" applyBorder="0" applyAlignment="0" applyProtection="0"/>
    <xf numFmtId="165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175" fontId="95" fillId="61" borderId="0" applyNumberFormat="0" applyBorder="0" applyAlignment="0" applyProtection="0"/>
    <xf numFmtId="175" fontId="95" fillId="61" borderId="0" applyNumberFormat="0" applyBorder="0" applyAlignment="0" applyProtection="0"/>
    <xf numFmtId="0" fontId="23" fillId="25" borderId="0" applyNumberFormat="0" applyBorder="0" applyAlignment="0" applyProtection="0"/>
    <xf numFmtId="165" fontId="23" fillId="30" borderId="0" applyNumberFormat="0" applyBorder="0" applyAlignment="0" applyProtection="0"/>
    <xf numFmtId="165" fontId="23" fillId="30" borderId="0" applyNumberFormat="0" applyBorder="0" applyAlignment="0" applyProtection="0"/>
    <xf numFmtId="165" fontId="23" fillId="30" borderId="0" applyNumberFormat="0" applyBorder="0" applyAlignment="0" applyProtection="0"/>
    <xf numFmtId="165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175" fontId="95" fillId="63" borderId="0" applyNumberFormat="0" applyBorder="0" applyAlignment="0" applyProtection="0"/>
    <xf numFmtId="175" fontId="95" fillId="63" borderId="0" applyNumberFormat="0" applyBorder="0" applyAlignment="0" applyProtection="0"/>
    <xf numFmtId="0" fontId="23" fillId="26" borderId="0" applyNumberFormat="0" applyBorder="0" applyAlignment="0" applyProtection="0"/>
    <xf numFmtId="165" fontId="23" fillId="31" borderId="0" applyNumberFormat="0" applyBorder="0" applyAlignment="0" applyProtection="0"/>
    <xf numFmtId="165" fontId="23" fillId="31" borderId="0" applyNumberFormat="0" applyBorder="0" applyAlignment="0" applyProtection="0"/>
    <xf numFmtId="165" fontId="23" fillId="31" borderId="0" applyNumberFormat="0" applyBorder="0" applyAlignment="0" applyProtection="0"/>
    <xf numFmtId="165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175" fontId="95" fillId="65" borderId="0" applyNumberFormat="0" applyBorder="0" applyAlignment="0" applyProtection="0"/>
    <xf numFmtId="175" fontId="95" fillId="65" borderId="0" applyNumberFormat="0" applyBorder="0" applyAlignment="0" applyProtection="0"/>
    <xf numFmtId="0" fontId="23" fillId="32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175" fontId="95" fillId="67" borderId="0" applyNumberFormat="0" applyBorder="0" applyAlignment="0" applyProtection="0"/>
    <xf numFmtId="175" fontId="95" fillId="67" borderId="0" applyNumberFormat="0" applyBorder="0" applyAlignment="0" applyProtection="0"/>
    <xf numFmtId="0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175" fontId="95" fillId="69" borderId="0" applyNumberFormat="0" applyBorder="0" applyAlignment="0" applyProtection="0"/>
    <xf numFmtId="175" fontId="95" fillId="69" borderId="0" applyNumberFormat="0" applyBorder="0" applyAlignment="0" applyProtection="0"/>
    <xf numFmtId="0" fontId="23" fillId="30" borderId="0" applyNumberFormat="0" applyBorder="0" applyAlignment="0" applyProtection="0"/>
    <xf numFmtId="165" fontId="23" fillId="25" borderId="0" applyNumberFormat="0" applyBorder="0" applyAlignment="0" applyProtection="0"/>
    <xf numFmtId="165" fontId="23" fillId="25" borderId="0" applyNumberFormat="0" applyBorder="0" applyAlignment="0" applyProtection="0"/>
    <xf numFmtId="165" fontId="23" fillId="25" borderId="0" applyNumberFormat="0" applyBorder="0" applyAlignment="0" applyProtection="0"/>
    <xf numFmtId="165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175" fontId="96" fillId="54" borderId="0" applyNumberFormat="0" applyBorder="0" applyAlignment="0" applyProtection="0"/>
    <xf numFmtId="175" fontId="96" fillId="54" borderId="0" applyNumberFormat="0" applyBorder="0" applyAlignment="0" applyProtection="0"/>
    <xf numFmtId="0" fontId="25" fillId="33" borderId="0" applyNumberFormat="0" applyBorder="0" applyAlignment="0" applyProtection="0"/>
    <xf numFmtId="165" fontId="25" fillId="23" borderId="0" applyNumberFormat="0" applyBorder="0" applyAlignment="0" applyProtection="0"/>
    <xf numFmtId="165" fontId="25" fillId="23" borderId="0" applyNumberFormat="0" applyBorder="0" applyAlignment="0" applyProtection="0"/>
    <xf numFmtId="165" fontId="25" fillId="23" borderId="0" applyNumberFormat="0" applyBorder="0" applyAlignment="0" applyProtection="0"/>
    <xf numFmtId="165" fontId="25" fillId="23" borderId="0" applyNumberFormat="0" applyBorder="0" applyAlignment="0" applyProtection="0"/>
    <xf numFmtId="165" fontId="25" fillId="23" borderId="0" applyNumberFormat="0" applyBorder="0" applyAlignment="0" applyProtection="0"/>
    <xf numFmtId="0" fontId="25" fillId="23" borderId="0" applyNumberFormat="0" applyBorder="0" applyAlignment="0" applyProtection="0"/>
    <xf numFmtId="164" fontId="97" fillId="0" borderId="26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175" fontId="98" fillId="58" borderId="32" applyNumberFormat="0" applyAlignment="0" applyProtection="0"/>
    <xf numFmtId="175" fontId="98" fillId="58" borderId="32" applyNumberFormat="0" applyAlignment="0" applyProtection="0"/>
    <xf numFmtId="0" fontId="29" fillId="36" borderId="9" applyNumberFormat="0" applyAlignment="0" applyProtection="0"/>
    <xf numFmtId="165" fontId="29" fillId="36" borderId="9" applyNumberFormat="0" applyAlignment="0" applyProtection="0"/>
    <xf numFmtId="165" fontId="29" fillId="36" borderId="9" applyNumberFormat="0" applyAlignment="0" applyProtection="0"/>
    <xf numFmtId="165" fontId="29" fillId="36" borderId="9" applyNumberFormat="0" applyAlignment="0" applyProtection="0"/>
    <xf numFmtId="165" fontId="29" fillId="36" borderId="9" applyNumberFormat="0" applyAlignment="0" applyProtection="0"/>
    <xf numFmtId="165" fontId="29" fillId="36" borderId="9" applyNumberFormat="0" applyAlignment="0" applyProtection="0"/>
    <xf numFmtId="0" fontId="29" fillId="36" borderId="9" applyNumberFormat="0" applyAlignment="0" applyProtection="0"/>
    <xf numFmtId="0" fontId="30" fillId="37" borderId="0">
      <alignment horizontal="left"/>
    </xf>
    <xf numFmtId="168" fontId="30" fillId="37" borderId="0">
      <alignment horizontal="left"/>
    </xf>
    <xf numFmtId="0" fontId="32" fillId="37" borderId="0">
      <alignment horizontal="right"/>
    </xf>
    <xf numFmtId="168" fontId="32" fillId="37" borderId="0">
      <alignment horizontal="right"/>
    </xf>
    <xf numFmtId="0" fontId="33" fillId="34" borderId="0">
      <alignment horizontal="center"/>
    </xf>
    <xf numFmtId="168" fontId="33" fillId="34" borderId="0">
      <alignment horizontal="center"/>
    </xf>
    <xf numFmtId="0" fontId="32" fillId="37" borderId="0">
      <alignment horizontal="right"/>
    </xf>
    <xf numFmtId="168" fontId="32" fillId="37" borderId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75" borderId="0"/>
    <xf numFmtId="3" fontId="12" fillId="75" borderId="0"/>
    <xf numFmtId="3" fontId="12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75" borderId="0"/>
    <xf numFmtId="3" fontId="12" fillId="75" borderId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0" fillId="0" borderId="0"/>
    <xf numFmtId="0" fontId="100" fillId="0" borderId="33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101" fillId="0" borderId="0" applyNumberFormat="0" applyFill="0" applyBorder="0" applyAlignment="0" applyProtection="0"/>
    <xf numFmtId="175" fontId="10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5" fontId="11" fillId="0" borderId="0" applyProtection="0"/>
    <xf numFmtId="175" fontId="11" fillId="0" borderId="0" applyProtection="0"/>
    <xf numFmtId="0" fontId="11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5" fontId="40" fillId="0" borderId="0" applyProtection="0"/>
    <xf numFmtId="175" fontId="40" fillId="0" borderId="0" applyProtection="0"/>
    <xf numFmtId="0" fontId="40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75" fontId="41" fillId="0" borderId="0" applyProtection="0"/>
    <xf numFmtId="175" fontId="41" fillId="0" borderId="0" applyProtection="0"/>
    <xf numFmtId="0" fontId="41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175" fontId="12" fillId="0" borderId="0" applyProtection="0"/>
    <xf numFmtId="175" fontId="12" fillId="0" borderId="0" applyProtection="0"/>
    <xf numFmtId="0" fontId="12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5" fontId="11" fillId="0" borderId="0" applyProtection="0"/>
    <xf numFmtId="175" fontId="11" fillId="0" borderId="0" applyProtection="0"/>
    <xf numFmtId="0" fontId="11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175" fontId="42" fillId="0" borderId="0" applyProtection="0"/>
    <xf numFmtId="175" fontId="42" fillId="0" borderId="0" applyProtection="0"/>
    <xf numFmtId="0" fontId="42" fillId="0" borderId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175" fontId="102" fillId="53" borderId="0" applyNumberFormat="0" applyBorder="0" applyAlignment="0" applyProtection="0"/>
    <xf numFmtId="175" fontId="102" fillId="53" borderId="0" applyNumberFormat="0" applyBorder="0" applyAlignment="0" applyProtection="0"/>
    <xf numFmtId="0" fontId="43" fillId="21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175" fontId="104" fillId="0" borderId="4" applyNumberFormat="0" applyFill="0" applyAlignment="0" applyProtection="0"/>
    <xf numFmtId="175" fontId="104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6" fillId="0" borderId="0" applyNumberFormat="0" applyFon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5" fontId="103" fillId="0" borderId="34" applyNumberFormat="0" applyFill="0" applyAlignment="0" applyProtection="0"/>
    <xf numFmtId="165" fontId="103" fillId="0" borderId="34" applyNumberFormat="0" applyFill="0" applyAlignment="0" applyProtection="0"/>
    <xf numFmtId="165" fontId="103" fillId="0" borderId="34" applyNumberFormat="0" applyFill="0" applyAlignment="0" applyProtection="0"/>
    <xf numFmtId="165" fontId="103" fillId="0" borderId="34" applyNumberFormat="0" applyFill="0" applyAlignment="0" applyProtection="0"/>
    <xf numFmtId="165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175" fontId="108" fillId="0" borderId="5" applyNumberFormat="0" applyFill="0" applyAlignment="0" applyProtection="0"/>
    <xf numFmtId="175" fontId="10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0" fillId="0" borderId="0" applyNumberFormat="0" applyFon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07" fillId="0" borderId="35" applyNumberFormat="0" applyFill="0" applyAlignment="0" applyProtection="0"/>
    <xf numFmtId="165" fontId="107" fillId="0" borderId="35" applyNumberFormat="0" applyFill="0" applyAlignment="0" applyProtection="0"/>
    <xf numFmtId="165" fontId="107" fillId="0" borderId="35" applyNumberFormat="0" applyFill="0" applyAlignment="0" applyProtection="0"/>
    <xf numFmtId="165" fontId="107" fillId="0" borderId="35" applyNumberFormat="0" applyFill="0" applyAlignment="0" applyProtection="0"/>
    <xf numFmtId="165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175" fontId="110" fillId="0" borderId="28" applyNumberFormat="0" applyFill="0" applyAlignment="0" applyProtection="0"/>
    <xf numFmtId="175" fontId="110" fillId="0" borderId="28" applyNumberFormat="0" applyFill="0" applyAlignment="0" applyProtection="0"/>
    <xf numFmtId="0" fontId="48" fillId="0" borderId="16" applyNumberFormat="0" applyFill="0" applyAlignment="0" applyProtection="0"/>
    <xf numFmtId="165" fontId="109" fillId="0" borderId="36" applyNumberFormat="0" applyFill="0" applyAlignment="0" applyProtection="0"/>
    <xf numFmtId="165" fontId="109" fillId="0" borderId="36" applyNumberFormat="0" applyFill="0" applyAlignment="0" applyProtection="0"/>
    <xf numFmtId="165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/>
    <xf numFmtId="175" fontId="1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111" fillId="41" borderId="33"/>
    <xf numFmtId="0" fontId="30" fillId="37" borderId="0">
      <alignment horizontal="left"/>
    </xf>
    <xf numFmtId="168" fontId="30" fillId="37" borderId="0">
      <alignment horizontal="left"/>
    </xf>
    <xf numFmtId="0" fontId="53" fillId="34" borderId="0">
      <alignment horizontal="left"/>
    </xf>
    <xf numFmtId="168" fontId="53" fillId="34" borderId="0">
      <alignment horizontal="left"/>
    </xf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175" fontId="113" fillId="0" borderId="31" applyNumberFormat="0" applyFill="0" applyAlignment="0" applyProtection="0"/>
    <xf numFmtId="175" fontId="113" fillId="0" borderId="31" applyNumberFormat="0" applyFill="0" applyAlignment="0" applyProtection="0"/>
    <xf numFmtId="0" fontId="54" fillId="0" borderId="18" applyNumberFormat="0" applyFill="0" applyAlignment="0" applyProtection="0"/>
    <xf numFmtId="165" fontId="112" fillId="0" borderId="19" applyNumberFormat="0" applyFill="0" applyAlignment="0" applyProtection="0"/>
    <xf numFmtId="165" fontId="112" fillId="0" borderId="19" applyNumberFormat="0" applyFill="0" applyAlignment="0" applyProtection="0"/>
    <xf numFmtId="165" fontId="112" fillId="0" borderId="19" applyNumberFormat="0" applyFill="0" applyAlignment="0" applyProtection="0"/>
    <xf numFmtId="165" fontId="112" fillId="0" borderId="19" applyNumberFormat="0" applyFill="0" applyAlignment="0" applyProtection="0"/>
    <xf numFmtId="165" fontId="112" fillId="0" borderId="19" applyNumberFormat="0" applyFill="0" applyAlignment="0" applyProtection="0"/>
    <xf numFmtId="0" fontId="112" fillId="0" borderId="19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14" fillId="22" borderId="0" applyNumberFormat="0" applyBorder="0" applyAlignment="0" applyProtection="0"/>
    <xf numFmtId="0" fontId="114" fillId="22" borderId="0" applyNumberFormat="0" applyBorder="0" applyAlignment="0" applyProtection="0"/>
    <xf numFmtId="0" fontId="114" fillId="22" borderId="0" applyNumberFormat="0" applyBorder="0" applyAlignment="0" applyProtection="0"/>
    <xf numFmtId="0" fontId="114" fillId="22" borderId="0" applyNumberFormat="0" applyBorder="0" applyAlignment="0" applyProtection="0"/>
    <xf numFmtId="0" fontId="114" fillId="22" borderId="0" applyNumberFormat="0" applyBorder="0" applyAlignment="0" applyProtection="0"/>
    <xf numFmtId="175" fontId="115" fillId="55" borderId="0" applyNumberFormat="0" applyBorder="0" applyAlignment="0" applyProtection="0"/>
    <xf numFmtId="175" fontId="115" fillId="55" borderId="0" applyNumberFormat="0" applyBorder="0" applyAlignment="0" applyProtection="0"/>
    <xf numFmtId="0" fontId="56" fillId="22" borderId="0" applyNumberFormat="0" applyBorder="0" applyAlignment="0" applyProtection="0"/>
    <xf numFmtId="165" fontId="114" fillId="22" borderId="0" applyNumberFormat="0" applyBorder="0" applyAlignment="0" applyProtection="0"/>
    <xf numFmtId="165" fontId="114" fillId="22" borderId="0" applyNumberFormat="0" applyBorder="0" applyAlignment="0" applyProtection="0"/>
    <xf numFmtId="165" fontId="114" fillId="22" borderId="0" applyNumberFormat="0" applyBorder="0" applyAlignment="0" applyProtection="0"/>
    <xf numFmtId="165" fontId="114" fillId="22" borderId="0" applyNumberFormat="0" applyBorder="0" applyAlignment="0" applyProtection="0"/>
    <xf numFmtId="165" fontId="114" fillId="22" borderId="0" applyNumberFormat="0" applyBorder="0" applyAlignment="0" applyProtection="0"/>
    <xf numFmtId="0" fontId="114" fillId="22" borderId="0" applyNumberFormat="0" applyBorder="0" applyAlignment="0" applyProtection="0"/>
    <xf numFmtId="181" fontId="1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2" fillId="0" borderId="0"/>
    <xf numFmtId="0" fontId="12" fillId="0" borderId="0"/>
    <xf numFmtId="168" fontId="12" fillId="0" borderId="0"/>
    <xf numFmtId="165" fontId="12" fillId="0" borderId="0"/>
    <xf numFmtId="0" fontId="12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12" fillId="0" borderId="0"/>
    <xf numFmtId="165" fontId="12" fillId="0" borderId="0"/>
    <xf numFmtId="175" fontId="12" fillId="0" borderId="0"/>
    <xf numFmtId="175" fontId="12" fillId="0" borderId="0"/>
    <xf numFmtId="0" fontId="37" fillId="0" borderId="0"/>
    <xf numFmtId="0" fontId="99" fillId="0" borderId="0"/>
    <xf numFmtId="0" fontId="99" fillId="0" borderId="0"/>
    <xf numFmtId="0" fontId="99" fillId="0" borderId="0"/>
    <xf numFmtId="168" fontId="12" fillId="0" borderId="0"/>
    <xf numFmtId="0" fontId="99" fillId="0" borderId="0"/>
    <xf numFmtId="41" fontId="37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99" fillId="0" borderId="0"/>
    <xf numFmtId="0" fontId="99" fillId="0" borderId="0"/>
    <xf numFmtId="165" fontId="12" fillId="0" borderId="0"/>
    <xf numFmtId="0" fontId="12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12" fillId="0" borderId="0"/>
    <xf numFmtId="168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75" fontId="22" fillId="0" borderId="0"/>
    <xf numFmtId="175" fontId="22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0" fontId="37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165" fontId="12" fillId="0" borderId="0"/>
    <xf numFmtId="0" fontId="22" fillId="0" borderId="0"/>
    <xf numFmtId="165" fontId="12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37" fontId="20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37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99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0" borderId="0"/>
    <xf numFmtId="0" fontId="9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99" fillId="0" borderId="0"/>
    <xf numFmtId="37" fontId="20" fillId="0" borderId="0"/>
    <xf numFmtId="37" fontId="20" fillId="0" borderId="0"/>
    <xf numFmtId="0" fontId="12" fillId="0" borderId="0"/>
    <xf numFmtId="0" fontId="12" fillId="0" borderId="0"/>
    <xf numFmtId="0" fontId="99" fillId="0" borderId="0"/>
    <xf numFmtId="0" fontId="99" fillId="0" borderId="0"/>
    <xf numFmtId="0" fontId="99" fillId="0" borderId="0"/>
    <xf numFmtId="37" fontId="20" fillId="0" borderId="0"/>
    <xf numFmtId="0" fontId="8" fillId="0" borderId="0"/>
    <xf numFmtId="0" fontId="12" fillId="0" borderId="0"/>
    <xf numFmtId="37" fontId="20" fillId="0" borderId="0"/>
    <xf numFmtId="0" fontId="8" fillId="0" borderId="0"/>
    <xf numFmtId="0" fontId="8" fillId="0" borderId="0"/>
    <xf numFmtId="0" fontId="8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7" fillId="18" borderId="20" applyNumberFormat="0" applyFont="0" applyAlignment="0" applyProtection="0"/>
    <xf numFmtId="0" fontId="8" fillId="2" borderId="6" applyNumberFormat="0" applyFont="0" applyAlignment="0" applyProtection="0"/>
    <xf numFmtId="0" fontId="37" fillId="18" borderId="20" applyNumberFormat="0" applyFont="0" applyAlignment="0" applyProtection="0"/>
    <xf numFmtId="0" fontId="8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7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7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59" fillId="19" borderId="21" applyNumberFormat="0" applyAlignment="0" applyProtection="0"/>
    <xf numFmtId="0" fontId="59" fillId="19" borderId="21" applyNumberFormat="0" applyAlignment="0" applyProtection="0"/>
    <xf numFmtId="0" fontId="59" fillId="19" borderId="21" applyNumberFormat="0" applyAlignment="0" applyProtection="0"/>
    <xf numFmtId="0" fontId="59" fillId="19" borderId="21" applyNumberFormat="0" applyAlignment="0" applyProtection="0"/>
    <xf numFmtId="0" fontId="59" fillId="19" borderId="21" applyNumberFormat="0" applyAlignment="0" applyProtection="0"/>
    <xf numFmtId="175" fontId="116" fillId="57" borderId="30" applyNumberFormat="0" applyAlignment="0" applyProtection="0"/>
    <xf numFmtId="175" fontId="116" fillId="57" borderId="30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165" fontId="59" fillId="19" borderId="21" applyNumberFormat="0" applyAlignment="0" applyProtection="0"/>
    <xf numFmtId="165" fontId="59" fillId="19" borderId="21" applyNumberFormat="0" applyAlignment="0" applyProtection="0"/>
    <xf numFmtId="165" fontId="59" fillId="19" borderId="21" applyNumberFormat="0" applyAlignment="0" applyProtection="0"/>
    <xf numFmtId="165" fontId="59" fillId="19" borderId="21" applyNumberFormat="0" applyAlignment="0" applyProtection="0"/>
    <xf numFmtId="165" fontId="59" fillId="19" borderId="21" applyNumberFormat="0" applyAlignment="0" applyProtection="0"/>
    <xf numFmtId="0" fontId="59" fillId="19" borderId="21" applyNumberFormat="0" applyAlignment="0" applyProtection="0"/>
    <xf numFmtId="172" fontId="60" fillId="34" borderId="0">
      <alignment horizontal="right"/>
    </xf>
    <xf numFmtId="40" fontId="61" fillId="40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4" fontId="60" fillId="40" borderId="0">
      <alignment horizontal="right"/>
    </xf>
    <xf numFmtId="40" fontId="61" fillId="40" borderId="0">
      <alignment horizontal="right"/>
    </xf>
    <xf numFmtId="40" fontId="61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172" fontId="60" fillId="34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0" fontId="62" fillId="41" borderId="0">
      <alignment horizontal="center"/>
    </xf>
    <xf numFmtId="0" fontId="62" fillId="41" borderId="0">
      <alignment horizontal="center"/>
    </xf>
    <xf numFmtId="168" fontId="62" fillId="41" borderId="0">
      <alignment horizontal="center"/>
    </xf>
    <xf numFmtId="0" fontId="62" fillId="41" borderId="0">
      <alignment horizontal="center"/>
    </xf>
    <xf numFmtId="0" fontId="63" fillId="40" borderId="0">
      <alignment horizontal="right"/>
    </xf>
    <xf numFmtId="0" fontId="63" fillId="40" borderId="0">
      <alignment horizontal="right"/>
    </xf>
    <xf numFmtId="0" fontId="63" fillId="40" borderId="0">
      <alignment horizontal="right"/>
    </xf>
    <xf numFmtId="0" fontId="63" fillId="40" borderId="0">
      <alignment horizontal="right"/>
    </xf>
    <xf numFmtId="0" fontId="63" fillId="40" borderId="0">
      <alignment horizontal="right"/>
    </xf>
    <xf numFmtId="0" fontId="62" fillId="41" borderId="0">
      <alignment horizontal="center"/>
    </xf>
    <xf numFmtId="0" fontId="63" fillId="40" borderId="0">
      <alignment horizontal="right"/>
    </xf>
    <xf numFmtId="0" fontId="63" fillId="40" borderId="0">
      <alignment horizontal="right"/>
    </xf>
    <xf numFmtId="0" fontId="62" fillId="40" borderId="0">
      <alignment horizontal="center" vertical="center"/>
    </xf>
    <xf numFmtId="0" fontId="62" fillId="40" borderId="0">
      <alignment horizontal="center" vertical="center"/>
    </xf>
    <xf numFmtId="0" fontId="62" fillId="40" borderId="0">
      <alignment horizontal="center" vertical="center"/>
    </xf>
    <xf numFmtId="175" fontId="62" fillId="40" borderId="0">
      <alignment horizontal="center" vertical="center"/>
    </xf>
    <xf numFmtId="175" fontId="62" fillId="40" borderId="0">
      <alignment horizontal="center" vertical="center"/>
    </xf>
    <xf numFmtId="0" fontId="30" fillId="42" borderId="0"/>
    <xf numFmtId="0" fontId="30" fillId="42" borderId="0"/>
    <xf numFmtId="168" fontId="30" fillId="42" borderId="0"/>
    <xf numFmtId="165" fontId="64" fillId="40" borderId="10"/>
    <xf numFmtId="0" fontId="53" fillId="40" borderId="10"/>
    <xf numFmtId="0" fontId="30" fillId="42" borderId="0"/>
    <xf numFmtId="0" fontId="64" fillId="40" borderId="10"/>
    <xf numFmtId="0" fontId="64" fillId="40" borderId="10"/>
    <xf numFmtId="0" fontId="64" fillId="40" borderId="10"/>
    <xf numFmtId="0" fontId="64" fillId="40" borderId="10"/>
    <xf numFmtId="0" fontId="64" fillId="40" borderId="10"/>
    <xf numFmtId="0" fontId="30" fillId="42" borderId="0"/>
    <xf numFmtId="165" fontId="64" fillId="40" borderId="10"/>
    <xf numFmtId="0" fontId="64" fillId="40" borderId="10"/>
    <xf numFmtId="0" fontId="64" fillId="40" borderId="10"/>
    <xf numFmtId="0" fontId="53" fillId="40" borderId="10"/>
    <xf numFmtId="0" fontId="53" fillId="40" borderId="10"/>
    <xf numFmtId="0" fontId="53" fillId="40" borderId="10"/>
    <xf numFmtId="175" fontId="53" fillId="40" borderId="10"/>
    <xf numFmtId="175" fontId="53" fillId="40" borderId="10"/>
    <xf numFmtId="0" fontId="65" fillId="34" borderId="0" applyBorder="0">
      <alignment horizontal="centerContinuous"/>
    </xf>
    <xf numFmtId="0" fontId="65" fillId="34" borderId="0" applyBorder="0">
      <alignment horizontal="centerContinuous"/>
    </xf>
    <xf numFmtId="168" fontId="65" fillId="34" borderId="0" applyBorder="0">
      <alignment horizontal="centerContinuous"/>
    </xf>
    <xf numFmtId="0" fontId="65" fillId="34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5" fillId="34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5" fontId="62" fillId="40" borderId="0" applyBorder="0">
      <alignment horizontal="centerContinuous"/>
    </xf>
    <xf numFmtId="175" fontId="62" fillId="40" borderId="0" applyBorder="0">
      <alignment horizontal="centerContinuous"/>
    </xf>
    <xf numFmtId="0" fontId="66" fillId="42" borderId="0" applyBorder="0">
      <alignment horizontal="centerContinuous"/>
    </xf>
    <xf numFmtId="0" fontId="66" fillId="42" borderId="0" applyBorder="0">
      <alignment horizontal="centerContinuous"/>
    </xf>
    <xf numFmtId="168" fontId="66" fillId="42" borderId="0" applyBorder="0">
      <alignment horizontal="centerContinuous"/>
    </xf>
    <xf numFmtId="0" fontId="117" fillId="42" borderId="0" applyBorder="0">
      <alignment horizontal="centerContinuous"/>
    </xf>
    <xf numFmtId="0" fontId="66" fillId="42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6" fillId="42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8" fillId="40" borderId="0" applyBorder="0">
      <alignment horizontal="centerContinuous"/>
    </xf>
    <xf numFmtId="0" fontId="68" fillId="40" borderId="0" applyBorder="0">
      <alignment horizontal="centerContinuous"/>
    </xf>
    <xf numFmtId="0" fontId="68" fillId="40" borderId="0" applyBorder="0">
      <alignment horizontal="centerContinuous"/>
    </xf>
    <xf numFmtId="175" fontId="68" fillId="40" borderId="0" applyBorder="0">
      <alignment horizontal="centerContinuous"/>
    </xf>
    <xf numFmtId="175" fontId="68" fillId="40" borderId="0" applyBorder="0">
      <alignment horizontal="centerContinuous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3" fillId="22" borderId="0">
      <alignment horizontal="center"/>
    </xf>
    <xf numFmtId="168" fontId="53" fillId="22" borderId="0">
      <alignment horizontal="center"/>
    </xf>
    <xf numFmtId="49" fontId="71" fillId="34" borderId="0">
      <alignment horizontal="center"/>
    </xf>
    <xf numFmtId="0" fontId="100" fillId="0" borderId="0"/>
    <xf numFmtId="0" fontId="32" fillId="37" borderId="0">
      <alignment horizontal="center"/>
    </xf>
    <xf numFmtId="168" fontId="32" fillId="37" borderId="0">
      <alignment horizontal="center"/>
    </xf>
    <xf numFmtId="0" fontId="32" fillId="37" borderId="0">
      <alignment horizontal="centerContinuous"/>
    </xf>
    <xf numFmtId="168" fontId="32" fillId="37" borderId="0">
      <alignment horizontal="centerContinuous"/>
    </xf>
    <xf numFmtId="0" fontId="72" fillId="34" borderId="0">
      <alignment horizontal="left"/>
    </xf>
    <xf numFmtId="168" fontId="72" fillId="34" borderId="0">
      <alignment horizontal="left"/>
    </xf>
    <xf numFmtId="49" fontId="72" fillId="34" borderId="0">
      <alignment horizontal="center"/>
    </xf>
    <xf numFmtId="0" fontId="30" fillId="37" borderId="0">
      <alignment horizontal="left"/>
    </xf>
    <xf numFmtId="168" fontId="30" fillId="37" borderId="0">
      <alignment horizontal="left"/>
    </xf>
    <xf numFmtId="49" fontId="72" fillId="34" borderId="0">
      <alignment horizontal="left"/>
    </xf>
    <xf numFmtId="0" fontId="30" fillId="37" borderId="0">
      <alignment horizontal="centerContinuous"/>
    </xf>
    <xf numFmtId="168" fontId="30" fillId="37" borderId="0">
      <alignment horizontal="centerContinuous"/>
    </xf>
    <xf numFmtId="0" fontId="30" fillId="37" borderId="0">
      <alignment horizontal="right"/>
    </xf>
    <xf numFmtId="168" fontId="30" fillId="37" borderId="0">
      <alignment horizontal="right"/>
    </xf>
    <xf numFmtId="49" fontId="53" fillId="34" borderId="0">
      <alignment horizontal="left"/>
    </xf>
    <xf numFmtId="0" fontId="32" fillId="37" borderId="0">
      <alignment horizontal="right"/>
    </xf>
    <xf numFmtId="168" fontId="32" fillId="37" borderId="0">
      <alignment horizontal="right"/>
    </xf>
    <xf numFmtId="0" fontId="72" fillId="20" borderId="0">
      <alignment horizontal="center"/>
    </xf>
    <xf numFmtId="168" fontId="72" fillId="20" borderId="0">
      <alignment horizontal="center"/>
    </xf>
    <xf numFmtId="0" fontId="73" fillId="20" borderId="0">
      <alignment horizontal="center"/>
    </xf>
    <xf numFmtId="168" fontId="73" fillId="20" borderId="0">
      <alignment horizont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0" fillId="0" borderId="33"/>
    <xf numFmtId="49" fontId="12" fillId="0" borderId="37">
      <alignment horizontal="center" vertical="center"/>
      <protection locked="0"/>
    </xf>
    <xf numFmtId="0" fontId="118" fillId="37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175" fontId="120" fillId="0" borderId="7" applyNumberFormat="0" applyFill="0" applyAlignment="0" applyProtection="0"/>
    <xf numFmtId="175" fontId="120" fillId="0" borderId="7" applyNumberFormat="0" applyFill="0" applyAlignment="0" applyProtection="0"/>
    <xf numFmtId="0" fontId="12" fillId="0" borderId="39" applyNumberFormat="0" applyFont="0" applyFill="0" applyAlignment="0" applyProtection="0"/>
    <xf numFmtId="0" fontId="12" fillId="0" borderId="39" applyNumberFormat="0" applyFont="0" applyFill="0" applyAlignment="0" applyProtection="0"/>
    <xf numFmtId="168" fontId="17" fillId="0" borderId="40" applyNumberFormat="0" applyFont="0" applyBorder="0" applyAlignment="0" applyProtection="0"/>
    <xf numFmtId="0" fontId="12" fillId="0" borderId="39" applyNumberFormat="0" applyFont="0" applyFill="0" applyAlignment="0" applyProtection="0"/>
    <xf numFmtId="0" fontId="12" fillId="0" borderId="39" applyNumberFormat="0" applyFon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2" fillId="0" borderId="39" applyNumberFormat="0" applyFont="0" applyFill="0" applyAlignment="0" applyProtection="0"/>
    <xf numFmtId="165" fontId="79" fillId="0" borderId="38" applyNumberFormat="0" applyFill="0" applyAlignment="0" applyProtection="0"/>
    <xf numFmtId="168" fontId="17" fillId="0" borderId="40" applyNumberFormat="0" applyFont="0" applyBorder="0" applyAlignment="0" applyProtection="0"/>
    <xf numFmtId="165" fontId="79" fillId="0" borderId="38" applyNumberFormat="0" applyFill="0" applyAlignment="0" applyProtection="0"/>
    <xf numFmtId="165" fontId="79" fillId="0" borderId="38" applyNumberFormat="0" applyFill="0" applyAlignment="0" applyProtection="0"/>
    <xf numFmtId="165" fontId="79" fillId="0" borderId="38" applyNumberFormat="0" applyFill="0" applyAlignment="0" applyProtection="0"/>
    <xf numFmtId="165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111" fillId="0" borderId="41"/>
    <xf numFmtId="0" fontId="111" fillId="0" borderId="33"/>
    <xf numFmtId="0" fontId="20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7" fontId="2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37" fontId="20" fillId="0" borderId="0"/>
    <xf numFmtId="4" fontId="60" fillId="40" borderId="0">
      <alignment horizontal="right"/>
    </xf>
    <xf numFmtId="0" fontId="62" fillId="40" borderId="0">
      <alignment horizontal="center" vertical="center"/>
    </xf>
    <xf numFmtId="0" fontId="53" fillId="40" borderId="10"/>
    <xf numFmtId="0" fontId="62" fillId="40" borderId="0" applyBorder="0">
      <alignment horizontal="centerContinuous"/>
    </xf>
    <xf numFmtId="0" fontId="68" fillId="40" borderId="0" applyBorder="0">
      <alignment horizontal="centerContinuous"/>
    </xf>
    <xf numFmtId="0" fontId="78" fillId="0" borderId="0" applyNumberFormat="0" applyFill="0" applyBorder="0" applyAlignment="0" applyProtection="0"/>
    <xf numFmtId="0" fontId="12" fillId="0" borderId="0"/>
    <xf numFmtId="0" fontId="12" fillId="0" borderId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8" fillId="3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8" fillId="5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8" fillId="7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8" fillId="1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8" fillId="13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8" fillId="4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8" fillId="6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8" fillId="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8" fillId="10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8" fillId="12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8" fillId="14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94" fillId="60" borderId="0" applyNumberFormat="0" applyBorder="0" applyAlignment="0" applyProtection="0"/>
    <xf numFmtId="165" fontId="23" fillId="72" borderId="0" applyNumberFormat="0" applyBorder="0" applyAlignment="0" applyProtection="0"/>
    <xf numFmtId="165" fontId="23" fillId="72" borderId="0" applyNumberFormat="0" applyBorder="0" applyAlignment="0" applyProtection="0"/>
    <xf numFmtId="0" fontId="94" fillId="62" borderId="0" applyNumberFormat="0" applyBorder="0" applyAlignment="0" applyProtection="0"/>
    <xf numFmtId="165" fontId="23" fillId="17" borderId="0" applyNumberFormat="0" applyBorder="0" applyAlignment="0" applyProtection="0"/>
    <xf numFmtId="165" fontId="23" fillId="17" borderId="0" applyNumberFormat="0" applyBorder="0" applyAlignment="0" applyProtection="0"/>
    <xf numFmtId="0" fontId="94" fillId="64" borderId="0" applyNumberFormat="0" applyBorder="0" applyAlignment="0" applyProtection="0"/>
    <xf numFmtId="165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94" fillId="66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0" fontId="94" fillId="68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0" fontId="94" fillId="70" borderId="0" applyNumberFormat="0" applyBorder="0" applyAlignment="0" applyProtection="0"/>
    <xf numFmtId="165" fontId="23" fillId="48" borderId="0" applyNumberFormat="0" applyBorder="0" applyAlignment="0" applyProtection="0"/>
    <xf numFmtId="165" fontId="23" fillId="48" borderId="0" applyNumberFormat="0" applyBorder="0" applyAlignment="0" applyProtection="0"/>
    <xf numFmtId="0" fontId="94" fillId="59" borderId="0" applyNumberFormat="0" applyBorder="0" applyAlignment="0" applyProtection="0"/>
    <xf numFmtId="165" fontId="23" fillId="74" borderId="0" applyNumberFormat="0" applyBorder="0" applyAlignment="0" applyProtection="0"/>
    <xf numFmtId="165" fontId="23" fillId="74" borderId="0" applyNumberFormat="0" applyBorder="0" applyAlignment="0" applyProtection="0"/>
    <xf numFmtId="0" fontId="94" fillId="61" borderId="0" applyNumberFormat="0" applyBorder="0" applyAlignment="0" applyProtection="0"/>
    <xf numFmtId="165" fontId="23" fillId="30" borderId="0" applyNumberFormat="0" applyBorder="0" applyAlignment="0" applyProtection="0"/>
    <xf numFmtId="165" fontId="23" fillId="30" borderId="0" applyNumberFormat="0" applyBorder="0" applyAlignment="0" applyProtection="0"/>
    <xf numFmtId="0" fontId="94" fillId="63" borderId="0" applyNumberFormat="0" applyBorder="0" applyAlignment="0" applyProtection="0"/>
    <xf numFmtId="165" fontId="23" fillId="31" borderId="0" applyNumberFormat="0" applyBorder="0" applyAlignment="0" applyProtection="0"/>
    <xf numFmtId="165" fontId="23" fillId="31" borderId="0" applyNumberFormat="0" applyBorder="0" applyAlignment="0" applyProtection="0"/>
    <xf numFmtId="0" fontId="94" fillId="65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0" fontId="94" fillId="67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0" fontId="94" fillId="69" borderId="0" applyNumberFormat="0" applyBorder="0" applyAlignment="0" applyProtection="0"/>
    <xf numFmtId="165" fontId="23" fillId="25" borderId="0" applyNumberFormat="0" applyBorder="0" applyAlignment="0" applyProtection="0"/>
    <xf numFmtId="165" fontId="23" fillId="25" borderId="0" applyNumberFormat="0" applyBorder="0" applyAlignment="0" applyProtection="0"/>
    <xf numFmtId="0" fontId="85" fillId="54" borderId="0" applyNumberFormat="0" applyBorder="0" applyAlignment="0" applyProtection="0"/>
    <xf numFmtId="165" fontId="25" fillId="23" borderId="0" applyNumberFormat="0" applyBorder="0" applyAlignment="0" applyProtection="0"/>
    <xf numFmtId="0" fontId="123" fillId="19" borderId="8" applyNumberFormat="0" applyAlignment="0" applyProtection="0"/>
    <xf numFmtId="0" fontId="123" fillId="19" borderId="8" applyNumberFormat="0" applyAlignment="0" applyProtection="0"/>
    <xf numFmtId="0" fontId="123" fillId="19" borderId="8" applyNumberFormat="0" applyAlignment="0" applyProtection="0"/>
    <xf numFmtId="0" fontId="123" fillId="19" borderId="8" applyNumberFormat="0" applyAlignment="0" applyProtection="0"/>
    <xf numFmtId="0" fontId="123" fillId="19" borderId="8" applyNumberFormat="0" applyAlignment="0" applyProtection="0"/>
    <xf numFmtId="175" fontId="124" fillId="57" borderId="29" applyNumberFormat="0" applyAlignment="0" applyProtection="0"/>
    <xf numFmtId="175" fontId="124" fillId="57" borderId="29" applyNumberFormat="0" applyAlignment="0" applyProtection="0"/>
    <xf numFmtId="0" fontId="89" fillId="57" borderId="29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0" fontId="123" fillId="19" borderId="8" applyNumberFormat="0" applyAlignment="0" applyProtection="0"/>
    <xf numFmtId="0" fontId="91" fillId="58" borderId="32" applyNumberFormat="0" applyAlignment="0" applyProtection="0"/>
    <xf numFmtId="165" fontId="29" fillId="36" borderId="9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4" fillId="53" borderId="0" applyNumberFormat="0" applyBorder="0" applyAlignment="0" applyProtection="0"/>
    <xf numFmtId="165" fontId="43" fillId="39" borderId="0" applyNumberFormat="0" applyBorder="0" applyAlignment="0" applyProtection="0"/>
    <xf numFmtId="0" fontId="83" fillId="0" borderId="28" applyNumberFormat="0" applyFill="0" applyAlignment="0" applyProtection="0"/>
    <xf numFmtId="165" fontId="109" fillId="0" borderId="36" applyNumberFormat="0" applyFill="0" applyAlignment="0" applyProtection="0"/>
    <xf numFmtId="165" fontId="109" fillId="0" borderId="36" applyNumberFormat="0" applyFill="0" applyAlignment="0" applyProtection="0"/>
    <xf numFmtId="165" fontId="109" fillId="0" borderId="36" applyNumberFormat="0" applyFill="0" applyAlignment="0" applyProtection="0"/>
    <xf numFmtId="0" fontId="83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175" fontId="125" fillId="56" borderId="29" applyNumberFormat="0" applyAlignment="0" applyProtection="0"/>
    <xf numFmtId="175" fontId="125" fillId="56" borderId="29" applyNumberFormat="0" applyAlignment="0" applyProtection="0"/>
    <xf numFmtId="0" fontId="87" fillId="56" borderId="29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0" fontId="51" fillId="20" borderId="8" applyNumberFormat="0" applyAlignment="0" applyProtection="0"/>
    <xf numFmtId="0" fontId="90" fillId="0" borderId="31" applyNumberFormat="0" applyFill="0" applyAlignment="0" applyProtection="0"/>
    <xf numFmtId="165" fontId="112" fillId="0" borderId="19" applyNumberFormat="0" applyFill="0" applyAlignment="0" applyProtection="0"/>
    <xf numFmtId="0" fontId="86" fillId="55" borderId="0" applyNumberFormat="0" applyBorder="0" applyAlignment="0" applyProtection="0"/>
    <xf numFmtId="165" fontId="114" fillId="22" borderId="0" applyNumberFormat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69" fillId="0" borderId="0"/>
    <xf numFmtId="165" fontId="69" fillId="0" borderId="0"/>
    <xf numFmtId="165" fontId="69" fillId="0" borderId="0"/>
    <xf numFmtId="0" fontId="12" fillId="0" borderId="0"/>
    <xf numFmtId="175" fontId="22" fillId="0" borderId="0"/>
    <xf numFmtId="175" fontId="22" fillId="0" borderId="0"/>
    <xf numFmtId="175" fontId="22" fillId="0" borderId="0"/>
    <xf numFmtId="0" fontId="1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0" fontId="126" fillId="18" borderId="20" applyNumberFormat="0" applyFont="0" applyAlignment="0" applyProtection="0"/>
    <xf numFmtId="0" fontId="126" fillId="18" borderId="20" applyNumberFormat="0" applyFont="0" applyAlignment="0" applyProtection="0"/>
    <xf numFmtId="0" fontId="126" fillId="18" borderId="20" applyNumberFormat="0" applyFont="0" applyAlignment="0" applyProtection="0"/>
    <xf numFmtId="0" fontId="126" fillId="18" borderId="20" applyNumberFormat="0" applyFont="0" applyAlignment="0" applyProtection="0"/>
    <xf numFmtId="0" fontId="126" fillId="18" borderId="20" applyNumberFormat="0" applyFont="0" applyAlignment="0" applyProtection="0"/>
    <xf numFmtId="175" fontId="126" fillId="2" borderId="6" applyNumberFormat="0" applyFont="0" applyAlignment="0" applyProtection="0"/>
    <xf numFmtId="175" fontId="126" fillId="2" borderId="6" applyNumberFormat="0" applyFont="0" applyAlignment="0" applyProtection="0"/>
    <xf numFmtId="175" fontId="126" fillId="2" borderId="6" applyNumberFormat="0" applyFont="0" applyAlignment="0" applyProtection="0"/>
    <xf numFmtId="175" fontId="126" fillId="2" borderId="6" applyNumberFormat="0" applyFont="0" applyAlignment="0" applyProtection="0"/>
    <xf numFmtId="165" fontId="126" fillId="18" borderId="20" applyNumberFormat="0" applyFont="0" applyAlignment="0" applyProtection="0"/>
    <xf numFmtId="175" fontId="126" fillId="2" borderId="6" applyNumberFormat="0" applyFont="0" applyAlignment="0" applyProtection="0"/>
    <xf numFmtId="175" fontId="126" fillId="2" borderId="6" applyNumberFormat="0" applyFont="0" applyAlignment="0" applyProtection="0"/>
    <xf numFmtId="165" fontId="126" fillId="18" borderId="20" applyNumberFormat="0" applyFont="0" applyAlignment="0" applyProtection="0"/>
    <xf numFmtId="175" fontId="126" fillId="2" borderId="6" applyNumberFormat="0" applyFont="0" applyAlignment="0" applyProtection="0"/>
    <xf numFmtId="175" fontId="126" fillId="2" borderId="6" applyNumberFormat="0" applyFont="0" applyAlignment="0" applyProtection="0"/>
    <xf numFmtId="165" fontId="126" fillId="18" borderId="20" applyNumberFormat="0" applyFont="0" applyAlignment="0" applyProtection="0"/>
    <xf numFmtId="175" fontId="126" fillId="2" borderId="6" applyNumberFormat="0" applyFont="0" applyAlignment="0" applyProtection="0"/>
    <xf numFmtId="175" fontId="126" fillId="2" borderId="6" applyNumberFormat="0" applyFont="0" applyAlignment="0" applyProtection="0"/>
    <xf numFmtId="165" fontId="126" fillId="18" borderId="20" applyNumberFormat="0" applyFont="0" applyAlignment="0" applyProtection="0"/>
    <xf numFmtId="175" fontId="126" fillId="2" borderId="6" applyNumberFormat="0" applyFont="0" applyAlignment="0" applyProtection="0"/>
    <xf numFmtId="175" fontId="126" fillId="2" borderId="6" applyNumberFormat="0" applyFont="0" applyAlignment="0" applyProtection="0"/>
    <xf numFmtId="165" fontId="126" fillId="18" borderId="20" applyNumberFormat="0" applyFont="0" applyAlignment="0" applyProtection="0"/>
    <xf numFmtId="175" fontId="126" fillId="2" borderId="6" applyNumberFormat="0" applyFont="0" applyAlignment="0" applyProtection="0"/>
    <xf numFmtId="175" fontId="126" fillId="2" borderId="6" applyNumberFormat="0" applyFont="0" applyAlignment="0" applyProtection="0"/>
    <xf numFmtId="0" fontId="126" fillId="18" borderId="20" applyNumberFormat="0" applyFont="0" applyAlignment="0" applyProtection="0"/>
    <xf numFmtId="0" fontId="88" fillId="57" borderId="30" applyNumberFormat="0" applyAlignment="0" applyProtection="0"/>
    <xf numFmtId="165" fontId="59" fillId="19" borderId="21" applyNumberFormat="0" applyAlignment="0" applyProtection="0"/>
    <xf numFmtId="0" fontId="62" fillId="40" borderId="0">
      <alignment horizontal="center" vertical="center"/>
    </xf>
    <xf numFmtId="0" fontId="62" fillId="40" borderId="0">
      <alignment horizontal="center" vertical="center"/>
    </xf>
    <xf numFmtId="0" fontId="53" fillId="40" borderId="10"/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8" fillId="40" borderId="0" applyBorder="0">
      <alignment horizontal="centerContinuous"/>
    </xf>
    <xf numFmtId="0" fontId="68" fillId="40" borderId="0" applyBorder="0">
      <alignment horizontal="centerContinuous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1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1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1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1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8" fontId="34" fillId="34" borderId="0">
      <alignment horizontal="lef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165" fontId="12" fillId="0" borderId="0"/>
    <xf numFmtId="0" fontId="8" fillId="0" borderId="0"/>
    <xf numFmtId="0" fontId="8" fillId="0" borderId="0"/>
    <xf numFmtId="165" fontId="1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40" fillId="18" borderId="20" applyNumberFormat="0" applyFont="0" applyAlignment="0" applyProtection="0"/>
    <xf numFmtId="172" fontId="60" fillId="34" borderId="0">
      <alignment horizontal="right"/>
    </xf>
    <xf numFmtId="40" fontId="61" fillId="40" borderId="0">
      <alignment horizontal="right"/>
    </xf>
    <xf numFmtId="168" fontId="62" fillId="41" borderId="0">
      <alignment horizontal="center"/>
    </xf>
    <xf numFmtId="168" fontId="65" fillId="34" borderId="0" applyBorder="0">
      <alignment horizontal="centerContinuous"/>
    </xf>
    <xf numFmtId="168" fontId="66" fillId="42" borderId="0" applyBorder="0">
      <alignment horizontal="centerContinuous"/>
    </xf>
    <xf numFmtId="9" fontId="12" fillId="0" borderId="0" applyFont="0" applyFill="0" applyBorder="0" applyAlignment="0" applyProtection="0"/>
    <xf numFmtId="182" fontId="122" fillId="76" borderId="42">
      <alignment horizontal="left"/>
    </xf>
    <xf numFmtId="168" fontId="80" fillId="34" borderId="0">
      <alignment horizontal="center"/>
    </xf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1" fillId="71" borderId="0" applyNumberFormat="0" applyBorder="0" applyAlignment="0" applyProtection="0"/>
    <xf numFmtId="0" fontId="8" fillId="3" borderId="0" applyNumberFormat="0" applyBorder="0" applyAlignment="0" applyProtection="0"/>
    <xf numFmtId="0" fontId="21" fillId="23" borderId="0" applyNumberFormat="0" applyBorder="0" applyAlignment="0" applyProtection="0"/>
    <xf numFmtId="0" fontId="8" fillId="5" borderId="0" applyNumberFormat="0" applyBorder="0" applyAlignment="0" applyProtection="0"/>
    <xf numFmtId="0" fontId="21" fillId="39" borderId="0" applyNumberFormat="0" applyBorder="0" applyAlignment="0" applyProtection="0"/>
    <xf numFmtId="0" fontId="8" fillId="7" borderId="0" applyNumberFormat="0" applyBorder="0" applyAlignment="0" applyProtection="0"/>
    <xf numFmtId="0" fontId="21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21" fillId="20" borderId="0" applyNumberFormat="0" applyBorder="0" applyAlignment="0" applyProtection="0"/>
    <xf numFmtId="0" fontId="8" fillId="13" borderId="0" applyNumberFormat="0" applyBorder="0" applyAlignment="0" applyProtection="0"/>
    <xf numFmtId="0" fontId="21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21" fillId="38" borderId="0" applyNumberFormat="0" applyBorder="0" applyAlignment="0" applyProtection="0"/>
    <xf numFmtId="0" fontId="8" fillId="8" borderId="0" applyNumberFormat="0" applyBorder="0" applyAlignment="0" applyProtection="0"/>
    <xf numFmtId="0" fontId="21" fillId="33" borderId="0" applyNumberFormat="0" applyBorder="0" applyAlignment="0" applyProtection="0"/>
    <xf numFmtId="0" fontId="8" fillId="10" borderId="0" applyNumberFormat="0" applyBorder="0" applyAlignment="0" applyProtection="0"/>
    <xf numFmtId="0" fontId="21" fillId="16" borderId="0" applyNumberFormat="0" applyBorder="0" applyAlignment="0" applyProtection="0"/>
    <xf numFmtId="0" fontId="8" fillId="12" borderId="0" applyNumberFormat="0" applyBorder="0" applyAlignment="0" applyProtection="0"/>
    <xf numFmtId="0" fontId="21" fillId="26" borderId="0" applyNumberFormat="0" applyBorder="0" applyAlignment="0" applyProtection="0"/>
    <xf numFmtId="0" fontId="8" fillId="14" borderId="0" applyNumberFormat="0" applyBorder="0" applyAlignment="0" applyProtection="0"/>
    <xf numFmtId="0" fontId="23" fillId="72" borderId="0" applyNumberFormat="0" applyBorder="0" applyAlignment="0" applyProtection="0"/>
    <xf numFmtId="0" fontId="94" fillId="60" borderId="0" applyNumberFormat="0" applyBorder="0" applyAlignment="0" applyProtection="0"/>
    <xf numFmtId="0" fontId="23" fillId="17" borderId="0" applyNumberFormat="0" applyBorder="0" applyAlignment="0" applyProtection="0"/>
    <xf numFmtId="0" fontId="94" fillId="62" borderId="0" applyNumberFormat="0" applyBorder="0" applyAlignment="0" applyProtection="0"/>
    <xf numFmtId="0" fontId="23" fillId="38" borderId="0" applyNumberFormat="0" applyBorder="0" applyAlignment="0" applyProtection="0"/>
    <xf numFmtId="0" fontId="94" fillId="64" borderId="0" applyNumberFormat="0" applyBorder="0" applyAlignment="0" applyProtection="0"/>
    <xf numFmtId="0" fontId="23" fillId="73" borderId="0" applyNumberFormat="0" applyBorder="0" applyAlignment="0" applyProtection="0"/>
    <xf numFmtId="0" fontId="94" fillId="66" borderId="0" applyNumberFormat="0" applyBorder="0" applyAlignment="0" applyProtection="0"/>
    <xf numFmtId="0" fontId="23" fillId="29" borderId="0" applyNumberFormat="0" applyBorder="0" applyAlignment="0" applyProtection="0"/>
    <xf numFmtId="0" fontId="94" fillId="68" borderId="0" applyNumberFormat="0" applyBorder="0" applyAlignment="0" applyProtection="0"/>
    <xf numFmtId="0" fontId="23" fillId="48" borderId="0" applyNumberFormat="0" applyBorder="0" applyAlignment="0" applyProtection="0"/>
    <xf numFmtId="0" fontId="94" fillId="70" borderId="0" applyNumberFormat="0" applyBorder="0" applyAlignment="0" applyProtection="0"/>
    <xf numFmtId="0" fontId="23" fillId="74" borderId="0" applyNumberFormat="0" applyBorder="0" applyAlignment="0" applyProtection="0"/>
    <xf numFmtId="0" fontId="94" fillId="59" borderId="0" applyNumberFormat="0" applyBorder="0" applyAlignment="0" applyProtection="0"/>
    <xf numFmtId="0" fontId="23" fillId="30" borderId="0" applyNumberFormat="0" applyBorder="0" applyAlignment="0" applyProtection="0"/>
    <xf numFmtId="0" fontId="94" fillId="61" borderId="0" applyNumberFormat="0" applyBorder="0" applyAlignment="0" applyProtection="0"/>
    <xf numFmtId="0" fontId="23" fillId="31" borderId="0" applyNumberFormat="0" applyBorder="0" applyAlignment="0" applyProtection="0"/>
    <xf numFmtId="0" fontId="94" fillId="63" borderId="0" applyNumberFormat="0" applyBorder="0" applyAlignment="0" applyProtection="0"/>
    <xf numFmtId="0" fontId="23" fillId="73" borderId="0" applyNumberFormat="0" applyBorder="0" applyAlignment="0" applyProtection="0"/>
    <xf numFmtId="0" fontId="94" fillId="65" borderId="0" applyNumberFormat="0" applyBorder="0" applyAlignment="0" applyProtection="0"/>
    <xf numFmtId="0" fontId="94" fillId="67" borderId="0" applyNumberFormat="0" applyBorder="0" applyAlignment="0" applyProtection="0"/>
    <xf numFmtId="0" fontId="23" fillId="25" borderId="0" applyNumberFormat="0" applyBorder="0" applyAlignment="0" applyProtection="0"/>
    <xf numFmtId="0" fontId="94" fillId="69" borderId="0" applyNumberFormat="0" applyBorder="0" applyAlignment="0" applyProtection="0"/>
    <xf numFmtId="0" fontId="25" fillId="23" borderId="0" applyNumberFormat="0" applyBorder="0" applyAlignment="0" applyProtection="0"/>
    <xf numFmtId="0" fontId="85" fillId="54" borderId="0" applyNumberFormat="0" applyBorder="0" applyAlignment="0" applyProtection="0"/>
    <xf numFmtId="0" fontId="123" fillId="19" borderId="8" applyNumberFormat="0" applyAlignment="0" applyProtection="0"/>
    <xf numFmtId="0" fontId="89" fillId="57" borderId="29" applyNumberFormat="0" applyAlignment="0" applyProtection="0"/>
    <xf numFmtId="0" fontId="91" fillId="58" borderId="32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84" fillId="53" borderId="0" applyNumberFormat="0" applyBorder="0" applyAlignment="0" applyProtection="0"/>
    <xf numFmtId="0" fontId="103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0" borderId="36" applyNumberFormat="0" applyFill="0" applyAlignment="0" applyProtection="0"/>
    <xf numFmtId="0" fontId="83" fillId="0" borderId="28" applyNumberFormat="0" applyFill="0" applyAlignment="0" applyProtection="0"/>
    <xf numFmtId="0" fontId="10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20" borderId="8" applyNumberFormat="0" applyAlignment="0" applyProtection="0"/>
    <xf numFmtId="0" fontId="87" fillId="56" borderId="29" applyNumberFormat="0" applyAlignment="0" applyProtection="0"/>
    <xf numFmtId="0" fontId="112" fillId="0" borderId="19" applyNumberFormat="0" applyFill="0" applyAlignment="0" applyProtection="0"/>
    <xf numFmtId="0" fontId="90" fillId="0" borderId="31" applyNumberFormat="0" applyFill="0" applyAlignment="0" applyProtection="0"/>
    <xf numFmtId="0" fontId="114" fillId="22" borderId="0" applyNumberFormat="0" applyBorder="0" applyAlignment="0" applyProtection="0"/>
    <xf numFmtId="0" fontId="86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18" borderId="20" applyNumberFormat="0" applyFont="0" applyAlignment="0" applyProtection="0"/>
    <xf numFmtId="0" fontId="59" fillId="19" borderId="21" applyNumberFormat="0" applyAlignment="0" applyProtection="0"/>
    <xf numFmtId="0" fontId="88" fillId="57" borderId="3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92" fillId="0" borderId="0" applyNumberFormat="0" applyFill="0" applyBorder="0" applyAlignment="0" applyProtection="0"/>
    <xf numFmtId="0" fontId="128" fillId="0" borderId="0"/>
    <xf numFmtId="0" fontId="12" fillId="0" borderId="0"/>
    <xf numFmtId="0" fontId="12" fillId="0" borderId="0"/>
    <xf numFmtId="0" fontId="12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" fillId="0" borderId="0"/>
    <xf numFmtId="184" fontId="10" fillId="0" borderId="0" applyFill="0"/>
    <xf numFmtId="184" fontId="10" fillId="0" borderId="0">
      <alignment horizontal="center"/>
    </xf>
    <xf numFmtId="0" fontId="10" fillId="0" borderId="0" applyFill="0">
      <alignment horizontal="center"/>
    </xf>
    <xf numFmtId="184" fontId="41" fillId="0" borderId="39" applyFill="0"/>
    <xf numFmtId="0" fontId="12" fillId="0" borderId="0" applyFont="0" applyAlignment="0"/>
    <xf numFmtId="0" fontId="130" fillId="0" borderId="0" applyFill="0">
      <alignment vertical="top"/>
    </xf>
    <xf numFmtId="0" fontId="41" fillId="0" borderId="0" applyFill="0">
      <alignment horizontal="left" vertical="top"/>
    </xf>
    <xf numFmtId="184" fontId="18" fillId="0" borderId="1" applyFill="0"/>
    <xf numFmtId="0" fontId="12" fillId="0" borderId="0" applyNumberFormat="0" applyFont="0" applyAlignment="0"/>
    <xf numFmtId="0" fontId="130" fillId="0" borderId="0" applyFill="0">
      <alignment wrapText="1"/>
    </xf>
    <xf numFmtId="0" fontId="41" fillId="0" borderId="0" applyFill="0">
      <alignment horizontal="left" vertical="top" wrapText="1"/>
    </xf>
    <xf numFmtId="184" fontId="131" fillId="0" borderId="0" applyFill="0"/>
    <xf numFmtId="0" fontId="132" fillId="0" borderId="0" applyNumberFormat="0" applyFont="0" applyAlignment="0">
      <alignment horizontal="center"/>
    </xf>
    <xf numFmtId="0" fontId="133" fillId="0" borderId="0" applyFill="0">
      <alignment vertical="top" wrapText="1"/>
    </xf>
    <xf numFmtId="0" fontId="18" fillId="0" borderId="0" applyFill="0">
      <alignment horizontal="left" vertical="top" wrapText="1"/>
    </xf>
    <xf numFmtId="184" fontId="12" fillId="0" borderId="0" applyFill="0"/>
    <xf numFmtId="0" fontId="132" fillId="0" borderId="0" applyNumberFormat="0" applyFont="0" applyAlignment="0">
      <alignment horizontal="center"/>
    </xf>
    <xf numFmtId="0" fontId="134" fillId="0" borderId="0" applyFill="0">
      <alignment vertical="center" wrapText="1"/>
    </xf>
    <xf numFmtId="0" fontId="17" fillId="0" borderId="0">
      <alignment horizontal="left" vertical="center" wrapText="1"/>
    </xf>
    <xf numFmtId="184" fontId="135" fillId="0" borderId="0" applyFill="0"/>
    <xf numFmtId="0" fontId="132" fillId="0" borderId="0" applyNumberFormat="0" applyFont="0" applyAlignment="0">
      <alignment horizontal="center"/>
    </xf>
    <xf numFmtId="0" fontId="13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84" fontId="137" fillId="0" borderId="0" applyFill="0"/>
    <xf numFmtId="0" fontId="132" fillId="0" borderId="0" applyNumberFormat="0" applyFont="0" applyAlignment="0">
      <alignment horizontal="center"/>
    </xf>
    <xf numFmtId="0" fontId="138" fillId="0" borderId="0" applyFill="0">
      <alignment horizontal="center" vertical="center" wrapText="1"/>
    </xf>
    <xf numFmtId="0" fontId="139" fillId="0" borderId="0" applyFill="0">
      <alignment horizontal="center" vertical="center" wrapText="1"/>
    </xf>
    <xf numFmtId="184" fontId="140" fillId="0" borderId="0" applyFill="0"/>
    <xf numFmtId="0" fontId="132" fillId="0" borderId="0" applyNumberFormat="0" applyFont="0" applyAlignment="0">
      <alignment horizontal="center"/>
    </xf>
    <xf numFmtId="0" fontId="141" fillId="0" borderId="0">
      <alignment horizontal="center" wrapText="1"/>
    </xf>
    <xf numFmtId="0" fontId="137" fillId="0" borderId="0" applyFill="0">
      <alignment horizontal="center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9" fontId="10" fillId="15" borderId="0" applyFill="0"/>
    <xf numFmtId="0" fontId="142" fillId="0" borderId="0">
      <alignment horizontal="left" indent="7"/>
    </xf>
    <xf numFmtId="0" fontId="10" fillId="0" borderId="0" applyFill="0">
      <alignment horizontal="left" indent="7"/>
    </xf>
    <xf numFmtId="7" fontId="143" fillId="0" borderId="26" applyFill="0">
      <alignment horizontal="right"/>
    </xf>
    <xf numFmtId="0" fontId="18" fillId="0" borderId="0" applyNumberFormat="0">
      <alignment horizontal="right"/>
    </xf>
    <xf numFmtId="0" fontId="144" fillId="0" borderId="26" applyFont="0" applyFill="0"/>
    <xf numFmtId="0" fontId="18" fillId="0" borderId="26" applyFill="0"/>
    <xf numFmtId="39" fontId="143" fillId="0" borderId="0" applyFill="0"/>
    <xf numFmtId="0" fontId="12" fillId="0" borderId="0" applyNumberFormat="0" applyFont="0" applyBorder="0" applyAlignment="0"/>
    <xf numFmtId="0" fontId="133" fillId="0" borderId="0" applyFill="0">
      <alignment horizontal="left" indent="1"/>
    </xf>
    <xf numFmtId="0" fontId="18" fillId="0" borderId="0" applyFill="0">
      <alignment horizontal="left" indent="1"/>
    </xf>
    <xf numFmtId="39" fontId="135" fillId="0" borderId="0" applyFill="0"/>
    <xf numFmtId="0" fontId="12" fillId="0" borderId="0" applyNumberFormat="0" applyFont="0" applyFill="0" applyBorder="0" applyAlignment="0"/>
    <xf numFmtId="0" fontId="133" fillId="0" borderId="0" applyFill="0">
      <alignment horizontal="left" indent="2"/>
    </xf>
    <xf numFmtId="0" fontId="71" fillId="0" borderId="0" applyFill="0">
      <alignment horizontal="left" indent="2"/>
    </xf>
    <xf numFmtId="39" fontId="135" fillId="0" borderId="0" applyFill="0"/>
    <xf numFmtId="0" fontId="12" fillId="0" borderId="0" applyNumberFormat="0" applyFont="0" applyBorder="0" applyAlignment="0"/>
    <xf numFmtId="0" fontId="145" fillId="0" borderId="0">
      <alignment horizontal="left" indent="3"/>
    </xf>
    <xf numFmtId="0" fontId="146" fillId="0" borderId="0" applyFill="0">
      <alignment horizontal="left" indent="3"/>
    </xf>
    <xf numFmtId="39" fontId="135" fillId="0" borderId="0" applyFill="0"/>
    <xf numFmtId="0" fontId="12" fillId="0" borderId="0" applyNumberFormat="0" applyFont="0" applyBorder="0" applyAlignment="0"/>
    <xf numFmtId="0" fontId="136" fillId="0" borderId="0">
      <alignment horizontal="left" indent="4"/>
    </xf>
    <xf numFmtId="0" fontId="12" fillId="0" borderId="0" applyFill="0">
      <alignment horizontal="left" indent="4"/>
    </xf>
    <xf numFmtId="39" fontId="135" fillId="0" borderId="0" applyFill="0"/>
    <xf numFmtId="0" fontId="12" fillId="0" borderId="0" applyNumberFormat="0" applyFont="0" applyBorder="0" applyAlignment="0"/>
    <xf numFmtId="0" fontId="138" fillId="0" borderId="0">
      <alignment horizontal="left" indent="5"/>
    </xf>
    <xf numFmtId="0" fontId="139" fillId="0" borderId="0" applyFill="0">
      <alignment horizontal="left" indent="5"/>
    </xf>
    <xf numFmtId="39" fontId="140" fillId="0" borderId="0" applyFill="0"/>
    <xf numFmtId="0" fontId="12" fillId="0" borderId="0" applyNumberFormat="0" applyFont="0" applyFill="0" applyBorder="0" applyAlignment="0"/>
    <xf numFmtId="0" fontId="141" fillId="0" borderId="0" applyFill="0">
      <alignment horizontal="left" indent="6"/>
    </xf>
    <xf numFmtId="0" fontId="137" fillId="0" borderId="0" applyFill="0">
      <alignment horizontal="left" indent="6"/>
    </xf>
    <xf numFmtId="0" fontId="3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/>
    </xf>
    <xf numFmtId="185" fontId="147" fillId="0" borderId="43" applyNumberFormat="0" applyProtection="0">
      <alignment horizontal="right" vertical="center"/>
    </xf>
    <xf numFmtId="185" fontId="148" fillId="0" borderId="44" applyNumberFormat="0" applyProtection="0">
      <alignment horizontal="right" vertical="center"/>
    </xf>
    <xf numFmtId="0" fontId="148" fillId="77" borderId="45" applyNumberFormat="0" applyAlignment="0" applyProtection="0">
      <alignment horizontal="left" vertical="center" indent="1"/>
    </xf>
    <xf numFmtId="0" fontId="149" fillId="0" borderId="46" applyNumberFormat="0" applyFill="0" applyBorder="0" applyAlignment="0" applyProtection="0"/>
    <xf numFmtId="0" fontId="150" fillId="78" borderId="45" applyNumberFormat="0" applyAlignment="0" applyProtection="0">
      <alignment horizontal="left" vertical="center" indent="1"/>
    </xf>
    <xf numFmtId="0" fontId="150" fillId="79" borderId="45" applyNumberFormat="0" applyAlignment="0" applyProtection="0">
      <alignment horizontal="left" vertical="center" indent="1"/>
    </xf>
    <xf numFmtId="0" fontId="150" fillId="80" borderId="45" applyNumberFormat="0" applyAlignment="0" applyProtection="0">
      <alignment horizontal="left" vertical="center" indent="1"/>
    </xf>
    <xf numFmtId="0" fontId="150" fillId="81" borderId="45" applyNumberFormat="0" applyAlignment="0" applyProtection="0">
      <alignment horizontal="left" vertical="center" indent="1"/>
    </xf>
    <xf numFmtId="0" fontId="150" fillId="82" borderId="44" applyNumberFormat="0" applyAlignment="0" applyProtection="0">
      <alignment horizontal="left" vertical="center" indent="1"/>
    </xf>
    <xf numFmtId="185" fontId="147" fillId="83" borderId="45" applyNumberFormat="0" applyAlignment="0" applyProtection="0">
      <alignment horizontal="left" vertical="center" indent="1"/>
    </xf>
    <xf numFmtId="0" fontId="148" fillId="77" borderId="44" applyNumberFormat="0" applyAlignment="0" applyProtection="0">
      <alignment horizontal="left" vertical="center" indent="1"/>
    </xf>
    <xf numFmtId="38" fontId="12" fillId="84" borderId="0" applyNumberFormat="0" applyFont="0" applyBorder="0" applyAlignment="0" applyProtection="0"/>
    <xf numFmtId="186" fontId="69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1" fillId="57" borderId="29" applyNumberFormat="0" applyAlignment="0" applyProtection="0"/>
    <xf numFmtId="168" fontId="30" fillId="37" borderId="0">
      <alignment horizontal="left"/>
    </xf>
    <xf numFmtId="168" fontId="32" fillId="37" borderId="0">
      <alignment horizontal="right"/>
    </xf>
    <xf numFmtId="168" fontId="33" fillId="34" borderId="0">
      <alignment horizontal="center"/>
    </xf>
    <xf numFmtId="168" fontId="32" fillId="37" borderId="0">
      <alignment horizontal="right"/>
    </xf>
    <xf numFmtId="168" fontId="34" fillId="34" borderId="0">
      <alignment horizontal="lef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2" fillId="56" borderId="29" applyNumberFormat="0" applyAlignment="0" applyProtection="0"/>
    <xf numFmtId="168" fontId="30" fillId="37" borderId="0">
      <alignment horizontal="left"/>
    </xf>
    <xf numFmtId="168" fontId="53" fillId="34" borderId="0">
      <alignment horizontal="left"/>
    </xf>
    <xf numFmtId="168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171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168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" borderId="6" applyNumberFormat="0" applyFont="0" applyAlignment="0" applyProtection="0"/>
    <xf numFmtId="0" fontId="37" fillId="18" borderId="20" applyNumberFormat="0" applyFont="0" applyAlignment="0" applyProtection="0"/>
    <xf numFmtId="0" fontId="7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7" fillId="0" borderId="0"/>
    <xf numFmtId="0" fontId="37" fillId="18" borderId="20" applyNumberFormat="0" applyFont="0" applyAlignment="0" applyProtection="0"/>
    <xf numFmtId="0" fontId="7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7" fillId="0" borderId="0"/>
    <xf numFmtId="0" fontId="37" fillId="18" borderId="20" applyNumberFormat="0" applyFont="0" applyAlignment="0" applyProtection="0"/>
    <xf numFmtId="0" fontId="62" fillId="40" borderId="0">
      <alignment horizontal="center" vertical="center"/>
    </xf>
    <xf numFmtId="0" fontId="53" fillId="40" borderId="10"/>
    <xf numFmtId="0" fontId="62" fillId="40" borderId="0" applyBorder="0">
      <alignment horizontal="centerContinuous"/>
    </xf>
    <xf numFmtId="0" fontId="68" fillId="40" borderId="0" applyBorder="0">
      <alignment horizontal="centerContinuous"/>
    </xf>
    <xf numFmtId="168" fontId="53" fillId="22" borderId="0">
      <alignment horizontal="center"/>
    </xf>
    <xf numFmtId="168" fontId="32" fillId="37" borderId="0">
      <alignment horizontal="center"/>
    </xf>
    <xf numFmtId="168" fontId="32" fillId="37" borderId="0">
      <alignment horizontal="centerContinuous"/>
    </xf>
    <xf numFmtId="168" fontId="72" fillId="34" borderId="0">
      <alignment horizontal="left"/>
    </xf>
    <xf numFmtId="168" fontId="30" fillId="37" borderId="0">
      <alignment horizontal="left"/>
    </xf>
    <xf numFmtId="168" fontId="30" fillId="37" borderId="0">
      <alignment horizontal="centerContinuous"/>
    </xf>
    <xf numFmtId="168" fontId="30" fillId="37" borderId="0">
      <alignment horizontal="right"/>
    </xf>
    <xf numFmtId="168" fontId="32" fillId="37" borderId="0">
      <alignment horizontal="right"/>
    </xf>
    <xf numFmtId="168" fontId="72" fillId="20" borderId="0">
      <alignment horizontal="center"/>
    </xf>
    <xf numFmtId="168" fontId="73" fillId="20" borderId="0">
      <alignment horizontal="center"/>
    </xf>
    <xf numFmtId="168" fontId="80" fillId="34" borderId="0">
      <alignment horizontal="center"/>
    </xf>
    <xf numFmtId="43" fontId="12" fillId="0" borderId="0" applyFont="0" applyFill="0" applyBorder="0" applyAlignment="0" applyProtection="0"/>
    <xf numFmtId="166" fontId="12" fillId="0" borderId="0"/>
    <xf numFmtId="44" fontId="12" fillId="0" borderId="0" applyFont="0" applyFill="0" applyBorder="0" applyAlignment="0" applyProtection="0"/>
    <xf numFmtId="0" fontId="17" fillId="0" borderId="0"/>
    <xf numFmtId="166" fontId="12" fillId="0" borderId="0"/>
    <xf numFmtId="166" fontId="153" fillId="0" borderId="0"/>
    <xf numFmtId="0" fontId="12" fillId="0" borderId="0"/>
    <xf numFmtId="37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</cellStyleXfs>
  <cellXfs count="192">
    <xf numFmtId="0" fontId="0" fillId="0" borderId="0" xfId="0"/>
    <xf numFmtId="0" fontId="12" fillId="0" borderId="0" xfId="0" applyFont="1"/>
    <xf numFmtId="0" fontId="12" fillId="0" borderId="0" xfId="8" applyFont="1"/>
    <xf numFmtId="0" fontId="81" fillId="0" borderId="0" xfId="5126" applyFont="1" applyFill="1" applyBorder="1" applyAlignment="1">
      <alignment horizontal="left"/>
    </xf>
    <xf numFmtId="0" fontId="12" fillId="0" borderId="0" xfId="5126" applyFont="1" applyFill="1" applyBorder="1" applyAlignment="1">
      <alignment horizontal="left"/>
    </xf>
    <xf numFmtId="0" fontId="81" fillId="0" borderId="0" xfId="5126" applyFont="1" applyFill="1" applyBorder="1" applyAlignment="1">
      <alignment horizontal="right"/>
    </xf>
    <xf numFmtId="0" fontId="12" fillId="0" borderId="0" xfId="5126" applyFont="1" applyFill="1" applyBorder="1" applyAlignment="1">
      <alignment horizontal="right"/>
    </xf>
    <xf numFmtId="0" fontId="81" fillId="0" borderId="0" xfId="5126" applyFont="1" applyFill="1" applyBorder="1" applyAlignment="1">
      <alignment horizontal="left" vertical="top"/>
    </xf>
    <xf numFmtId="0" fontId="81" fillId="0" borderId="0" xfId="5126" applyFont="1" applyFill="1" applyBorder="1" applyAlignment="1">
      <alignment horizontal="center" wrapText="1"/>
    </xf>
    <xf numFmtId="0" fontId="12" fillId="0" borderId="0" xfId="5126" applyFont="1" applyFill="1" applyBorder="1" applyAlignment="1">
      <alignment horizontal="left" wrapText="1"/>
    </xf>
    <xf numFmtId="164" fontId="81" fillId="0" borderId="0" xfId="3950" applyNumberFormat="1" applyFont="1" applyFill="1" applyBorder="1" applyAlignment="1">
      <alignment horizontal="right" wrapText="1"/>
    </xf>
    <xf numFmtId="173" fontId="81" fillId="0" borderId="0" xfId="5126" applyNumberFormat="1" applyFont="1" applyFill="1" applyBorder="1" applyAlignment="1">
      <alignment horizontal="center" wrapText="1"/>
    </xf>
    <xf numFmtId="0" fontId="12" fillId="0" borderId="0" xfId="5126" applyFont="1" applyFill="1" applyBorder="1" applyAlignment="1">
      <alignment horizontal="center" wrapText="1"/>
    </xf>
    <xf numFmtId="0" fontId="12" fillId="0" borderId="0" xfId="5126" applyFont="1" applyFill="1" applyBorder="1" applyAlignment="1">
      <alignment horizontal="left" vertical="center" wrapText="1"/>
    </xf>
    <xf numFmtId="164" fontId="81" fillId="0" borderId="0" xfId="3950" applyNumberFormat="1" applyFont="1" applyFill="1" applyBorder="1" applyAlignment="1">
      <alignment horizontal="center" vertical="center" wrapText="1"/>
    </xf>
    <xf numFmtId="0" fontId="12" fillId="0" borderId="26" xfId="5126" applyFont="1" applyFill="1" applyBorder="1" applyAlignment="1">
      <alignment horizontal="center" wrapText="1"/>
    </xf>
    <xf numFmtId="164" fontId="81" fillId="0" borderId="2" xfId="3950" applyNumberFormat="1" applyFont="1" applyFill="1" applyBorder="1" applyAlignment="1">
      <alignment horizontal="right" wrapText="1"/>
    </xf>
    <xf numFmtId="164" fontId="81" fillId="0" borderId="27" xfId="3950" applyNumberFormat="1" applyFont="1" applyFill="1" applyBorder="1" applyAlignment="1">
      <alignment horizontal="right" wrapText="1"/>
    </xf>
    <xf numFmtId="0" fontId="74" fillId="0" borderId="0" xfId="5126" applyFont="1" applyFill="1" applyBorder="1" applyAlignment="1">
      <alignment horizontal="left" wrapText="1"/>
    </xf>
    <xf numFmtId="0" fontId="11" fillId="0" borderId="0" xfId="5126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 applyBorder="1"/>
    <xf numFmtId="10" fontId="81" fillId="0" borderId="0" xfId="1" applyNumberFormat="1" applyFont="1" applyFill="1" applyBorder="1" applyAlignment="1">
      <alignment horizontal="right" wrapText="1"/>
    </xf>
    <xf numFmtId="174" fontId="81" fillId="0" borderId="0" xfId="3950" applyNumberFormat="1" applyFont="1" applyFill="1" applyBorder="1" applyAlignment="1">
      <alignment horizontal="right" wrapText="1"/>
    </xf>
    <xf numFmtId="0" fontId="81" fillId="0" borderId="1" xfId="5126" applyFont="1" applyFill="1" applyBorder="1" applyAlignment="1">
      <alignment horizontal="left"/>
    </xf>
    <xf numFmtId="0" fontId="12" fillId="0" borderId="2" xfId="5126" applyFont="1" applyFill="1" applyBorder="1" applyAlignment="1">
      <alignment horizontal="center" wrapText="1"/>
    </xf>
    <xf numFmtId="183" fontId="81" fillId="0" borderId="0" xfId="1" applyNumberFormat="1" applyFont="1" applyFill="1" applyBorder="1" applyAlignment="1">
      <alignment horizontal="right" wrapText="1"/>
    </xf>
    <xf numFmtId="183" fontId="81" fillId="0" borderId="2" xfId="1" applyNumberFormat="1" applyFont="1" applyFill="1" applyBorder="1" applyAlignment="1">
      <alignment horizontal="right" wrapText="1"/>
    </xf>
    <xf numFmtId="183" fontId="81" fillId="0" borderId="0" xfId="1" applyNumberFormat="1" applyFont="1" applyFill="1" applyBorder="1" applyAlignment="1">
      <alignment horizontal="left" vertical="top"/>
    </xf>
    <xf numFmtId="183" fontId="81" fillId="0" borderId="27" xfId="1" applyNumberFormat="1" applyFont="1" applyFill="1" applyBorder="1" applyAlignment="1">
      <alignment horizontal="right" wrapText="1"/>
    </xf>
    <xf numFmtId="174" fontId="12" fillId="0" borderId="27" xfId="4" applyNumberFormat="1" applyFont="1" applyBorder="1" applyProtection="1"/>
    <xf numFmtId="0" fontId="12" fillId="0" borderId="0" xfId="5126" applyFont="1" applyFill="1" applyBorder="1" applyAlignment="1"/>
    <xf numFmtId="0" fontId="12" fillId="0" borderId="0" xfId="5126" applyFont="1" applyFill="1" applyBorder="1" applyAlignment="1">
      <alignment horizontal="center" vertical="center" wrapText="1"/>
    </xf>
    <xf numFmtId="10" fontId="81" fillId="0" borderId="0" xfId="12089" applyNumberFormat="1" applyFont="1" applyFill="1" applyBorder="1" applyAlignment="1">
      <alignment horizontal="right" wrapText="1"/>
    </xf>
    <xf numFmtId="9" fontId="81" fillId="0" borderId="0" xfId="12089" applyFont="1" applyFill="1" applyBorder="1" applyAlignment="1">
      <alignment horizontal="right" wrapText="1"/>
    </xf>
    <xf numFmtId="10" fontId="81" fillId="0" borderId="0" xfId="12089" applyNumberFormat="1" applyFont="1" applyFill="1" applyBorder="1" applyAlignment="1">
      <alignment horizontal="right"/>
    </xf>
    <xf numFmtId="9" fontId="81" fillId="0" borderId="0" xfId="6764" applyFont="1" applyFill="1" applyBorder="1" applyAlignment="1">
      <alignment horizontal="left" vertical="top"/>
    </xf>
    <xf numFmtId="10" fontId="81" fillId="0" borderId="0" xfId="12089" applyNumberFormat="1" applyFont="1" applyFill="1" applyBorder="1" applyAlignment="1">
      <alignment horizontal="left" vertical="top"/>
    </xf>
    <xf numFmtId="9" fontId="81" fillId="0" borderId="0" xfId="12089" applyFont="1" applyFill="1" applyBorder="1" applyAlignment="1">
      <alignment horizontal="left" vertical="top"/>
    </xf>
    <xf numFmtId="10" fontId="81" fillId="0" borderId="2" xfId="12089" applyNumberFormat="1" applyFont="1" applyFill="1" applyBorder="1" applyAlignment="1">
      <alignment horizontal="right" wrapText="1"/>
    </xf>
    <xf numFmtId="10" fontId="81" fillId="0" borderId="27" xfId="12089" applyNumberFormat="1" applyFont="1" applyFill="1" applyBorder="1" applyAlignment="1">
      <alignment horizontal="right" wrapText="1"/>
    </xf>
    <xf numFmtId="164" fontId="81" fillId="0" borderId="0" xfId="5126" applyNumberFormat="1" applyFont="1" applyFill="1" applyBorder="1" applyAlignment="1">
      <alignment horizontal="left"/>
    </xf>
    <xf numFmtId="0" fontId="81" fillId="0" borderId="0" xfId="5126" applyFont="1" applyFill="1" applyBorder="1" applyAlignment="1">
      <alignment horizontal="center"/>
    </xf>
    <xf numFmtId="43" fontId="81" fillId="0" borderId="0" xfId="3950" applyNumberFormat="1" applyFont="1" applyFill="1" applyBorder="1" applyAlignment="1">
      <alignment horizontal="right" wrapText="1"/>
    </xf>
    <xf numFmtId="164" fontId="81" fillId="0" borderId="0" xfId="1" applyNumberFormat="1" applyFont="1" applyFill="1" applyBorder="1" applyAlignment="1">
      <alignment horizontal="right" wrapText="1"/>
    </xf>
    <xf numFmtId="49" fontId="12" fillId="0" borderId="0" xfId="5126" applyNumberFormat="1" applyFont="1" applyFill="1" applyBorder="1" applyAlignment="1">
      <alignment horizontal="center"/>
    </xf>
    <xf numFmtId="0" fontId="12" fillId="0" borderId="0" xfId="5126" applyFont="1" applyFill="1" applyBorder="1" applyAlignment="1">
      <alignment horizontal="center"/>
    </xf>
    <xf numFmtId="10" fontId="12" fillId="0" borderId="0" xfId="5126" applyNumberFormat="1" applyFont="1" applyFill="1" applyBorder="1" applyAlignment="1">
      <alignment horizontal="center" vertical="center" wrapText="1"/>
    </xf>
    <xf numFmtId="43" fontId="81" fillId="0" borderId="0" xfId="1" applyNumberFormat="1" applyFont="1" applyFill="1" applyBorder="1" applyAlignment="1">
      <alignment horizontal="right" wrapText="1"/>
    </xf>
    <xf numFmtId="164" fontId="81" fillId="0" borderId="2" xfId="4" applyNumberFormat="1" applyFont="1" applyFill="1" applyBorder="1" applyAlignment="1">
      <alignment horizontal="right" wrapText="1"/>
    </xf>
    <xf numFmtId="173" fontId="164" fillId="0" borderId="0" xfId="5126" applyNumberFormat="1" applyFont="1" applyFill="1" applyBorder="1" applyAlignment="1">
      <alignment horizontal="center" wrapText="1"/>
    </xf>
    <xf numFmtId="0" fontId="164" fillId="0" borderId="0" xfId="5126" applyFont="1" applyFill="1" applyBorder="1" applyAlignment="1">
      <alignment horizontal="left" vertical="top"/>
    </xf>
    <xf numFmtId="10" fontId="164" fillId="0" borderId="0" xfId="1" applyNumberFormat="1" applyFont="1" applyFill="1" applyBorder="1" applyAlignment="1">
      <alignment horizontal="right" wrapText="1"/>
    </xf>
    <xf numFmtId="164" fontId="164" fillId="0" borderId="0" xfId="3950" applyNumberFormat="1" applyFont="1" applyFill="1" applyBorder="1" applyAlignment="1">
      <alignment horizontal="right" wrapText="1"/>
    </xf>
    <xf numFmtId="188" fontId="164" fillId="0" borderId="0" xfId="3950" applyNumberFormat="1" applyFont="1" applyFill="1" applyBorder="1" applyAlignment="1">
      <alignment horizontal="right" wrapText="1"/>
    </xf>
    <xf numFmtId="0" fontId="155" fillId="85" borderId="0" xfId="14650" applyFont="1" applyFill="1"/>
    <xf numFmtId="0" fontId="156" fillId="0" borderId="0" xfId="14650" applyFont="1" applyFill="1"/>
    <xf numFmtId="0" fontId="157" fillId="0" borderId="0" xfId="14650" applyFont="1" applyFill="1"/>
    <xf numFmtId="0" fontId="158" fillId="0" borderId="0" xfId="14650" applyFont="1"/>
    <xf numFmtId="0" fontId="159" fillId="0" borderId="0" xfId="14650" applyFont="1" applyFill="1"/>
    <xf numFmtId="0" fontId="3" fillId="0" borderId="0" xfId="14650" applyFont="1"/>
    <xf numFmtId="17" fontId="160" fillId="86" borderId="0" xfId="14650" applyNumberFormat="1" applyFont="1" applyFill="1" applyAlignment="1">
      <alignment horizontal="center" wrapText="1"/>
    </xf>
    <xf numFmtId="17" fontId="161" fillId="0" borderId="0" xfId="14650" applyNumberFormat="1" applyFont="1" applyAlignment="1">
      <alignment horizontal="center" wrapText="1"/>
    </xf>
    <xf numFmtId="0" fontId="3" fillId="0" borderId="0" xfId="14650"/>
    <xf numFmtId="187" fontId="0" fillId="0" borderId="0" xfId="14651" applyNumberFormat="1" applyFont="1"/>
    <xf numFmtId="189" fontId="0" fillId="0" borderId="0" xfId="14648" applyNumberFormat="1" applyFont="1"/>
    <xf numFmtId="0" fontId="3" fillId="0" borderId="0" xfId="14650" applyAlignment="1">
      <alignment vertical="top"/>
    </xf>
    <xf numFmtId="189" fontId="161" fillId="0" borderId="0" xfId="14648" applyNumberFormat="1" applyFont="1"/>
    <xf numFmtId="0" fontId="3" fillId="0" borderId="0" xfId="14650" applyAlignment="1">
      <alignment horizontal="left" indent="2"/>
    </xf>
    <xf numFmtId="187" fontId="162" fillId="0" borderId="0" xfId="14651" applyNumberFormat="1" applyFont="1"/>
    <xf numFmtId="189" fontId="162" fillId="0" borderId="0" xfId="14648" applyNumberFormat="1" applyFont="1"/>
    <xf numFmtId="164" fontId="0" fillId="0" borderId="0" xfId="14649" applyNumberFormat="1" applyFont="1"/>
    <xf numFmtId="164" fontId="161" fillId="0" borderId="0" xfId="14649" applyNumberFormat="1" applyFont="1"/>
    <xf numFmtId="164" fontId="162" fillId="0" borderId="0" xfId="14649" applyNumberFormat="1" applyFont="1"/>
    <xf numFmtId="0" fontId="3" fillId="0" borderId="0" xfId="14650" applyFill="1"/>
    <xf numFmtId="0" fontId="167" fillId="0" borderId="0" xfId="14650" applyFont="1" applyFill="1"/>
    <xf numFmtId="0" fontId="168" fillId="0" borderId="0" xfId="14650" applyFont="1" applyFill="1" applyAlignment="1">
      <alignment horizontal="center"/>
    </xf>
    <xf numFmtId="0" fontId="170" fillId="0" borderId="0" xfId="14650" applyFont="1" applyAlignment="1">
      <alignment horizontal="left" wrapText="1"/>
    </xf>
    <xf numFmtId="0" fontId="160" fillId="0" borderId="0" xfId="14650" applyFont="1" applyAlignment="1">
      <alignment horizontal="center" wrapText="1"/>
    </xf>
    <xf numFmtId="0" fontId="16" fillId="0" borderId="0" xfId="14650" applyFont="1" applyAlignment="1">
      <alignment horizontal="center" wrapText="1"/>
    </xf>
    <xf numFmtId="0" fontId="3" fillId="0" borderId="0" xfId="14650" applyAlignment="1">
      <alignment horizontal="center" wrapText="1"/>
    </xf>
    <xf numFmtId="0" fontId="16" fillId="0" borderId="0" xfId="14650" applyFont="1" applyAlignment="1">
      <alignment horizontal="left"/>
    </xf>
    <xf numFmtId="0" fontId="16" fillId="0" borderId="0" xfId="14650" applyFont="1" applyAlignment="1">
      <alignment horizontal="left" indent="1"/>
    </xf>
    <xf numFmtId="10" fontId="0" fillId="0" borderId="0" xfId="14648" applyNumberFormat="1" applyFont="1"/>
    <xf numFmtId="187" fontId="3" fillId="0" borderId="0" xfId="14650" applyNumberFormat="1"/>
    <xf numFmtId="0" fontId="16" fillId="87" borderId="0" xfId="14650" applyFont="1" applyFill="1" applyAlignment="1">
      <alignment horizontal="left" indent="1"/>
    </xf>
    <xf numFmtId="164" fontId="0" fillId="87" borderId="0" xfId="14649" applyNumberFormat="1" applyFont="1" applyFill="1"/>
    <xf numFmtId="10" fontId="0" fillId="87" borderId="0" xfId="14648" applyNumberFormat="1" applyFont="1" applyFill="1"/>
    <xf numFmtId="0" fontId="16" fillId="0" borderId="0" xfId="14650" applyFont="1" applyFill="1" applyAlignment="1">
      <alignment horizontal="left" indent="1"/>
    </xf>
    <xf numFmtId="164" fontId="0" fillId="0" borderId="0" xfId="14649" applyNumberFormat="1" applyFont="1" applyFill="1"/>
    <xf numFmtId="10" fontId="0" fillId="0" borderId="0" xfId="14648" applyNumberFormat="1" applyFont="1" applyFill="1"/>
    <xf numFmtId="164" fontId="0" fillId="88" borderId="0" xfId="14649" applyNumberFormat="1" applyFont="1" applyFill="1"/>
    <xf numFmtId="0" fontId="16" fillId="0" borderId="0" xfId="14650" applyFont="1"/>
    <xf numFmtId="187" fontId="0" fillId="0" borderId="0" xfId="14651" applyNumberFormat="1" applyFont="1" applyFill="1"/>
    <xf numFmtId="164" fontId="161" fillId="0" borderId="0" xfId="14649" applyNumberFormat="1" applyFont="1" applyFill="1"/>
    <xf numFmtId="187" fontId="162" fillId="0" borderId="0" xfId="14651" applyNumberFormat="1" applyFont="1" applyFill="1"/>
    <xf numFmtId="0" fontId="169" fillId="87" borderId="0" xfId="14650" applyFont="1" applyFill="1" applyAlignment="1">
      <alignment horizontal="center" wrapText="1"/>
    </xf>
    <xf numFmtId="0" fontId="171" fillId="0" borderId="0" xfId="14652" applyFont="1" applyAlignment="1">
      <alignment horizontal="center" wrapText="1"/>
    </xf>
    <xf numFmtId="9" fontId="0" fillId="0" borderId="0" xfId="14648" applyNumberFormat="1" applyFont="1"/>
    <xf numFmtId="49" fontId="12" fillId="0" borderId="0" xfId="5126" applyNumberFormat="1" applyFont="1" applyFill="1" applyBorder="1" applyAlignment="1">
      <alignment horizontal="center"/>
    </xf>
    <xf numFmtId="0" fontId="16" fillId="0" borderId="0" xfId="0" applyFont="1" applyFill="1"/>
    <xf numFmtId="0" fontId="0" fillId="0" borderId="0" xfId="0" applyFill="1"/>
    <xf numFmtId="164" fontId="0" fillId="0" borderId="0" xfId="4" applyNumberFormat="1" applyFont="1" applyFill="1"/>
    <xf numFmtId="164" fontId="0" fillId="0" borderId="0" xfId="4" applyNumberFormat="1" applyFont="1" applyFill="1" applyBorder="1" applyAlignment="1">
      <alignment horizontal="center"/>
    </xf>
    <xf numFmtId="0" fontId="154" fillId="0" borderId="0" xfId="0" applyFont="1" applyFill="1" applyAlignment="1">
      <alignment horizontal="center"/>
    </xf>
    <xf numFmtId="164" fontId="154" fillId="0" borderId="0" xfId="4" applyNumberFormat="1" applyFont="1" applyFill="1" applyAlignment="1">
      <alignment horizontal="center"/>
    </xf>
    <xf numFmtId="164" fontId="154" fillId="0" borderId="55" xfId="4" applyNumberFormat="1" applyFont="1" applyFill="1" applyBorder="1" applyAlignment="1">
      <alignment horizontal="center"/>
    </xf>
    <xf numFmtId="164" fontId="154" fillId="0" borderId="0" xfId="4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right"/>
    </xf>
    <xf numFmtId="164" fontId="4" fillId="0" borderId="55" xfId="4" applyNumberFormat="1" applyFont="1" applyFill="1" applyBorder="1"/>
    <xf numFmtId="164" fontId="4" fillId="0" borderId="0" xfId="4" applyNumberFormat="1" applyFont="1" applyFill="1" applyBorder="1"/>
    <xf numFmtId="164" fontId="0" fillId="0" borderId="55" xfId="4" applyNumberFormat="1" applyFont="1" applyFill="1" applyBorder="1"/>
    <xf numFmtId="164" fontId="0" fillId="0" borderId="0" xfId="4" applyNumberFormat="1" applyFont="1" applyFill="1" applyBorder="1"/>
    <xf numFmtId="0" fontId="0" fillId="0" borderId="0" xfId="0" applyFill="1" applyBorder="1"/>
    <xf numFmtId="164" fontId="154" fillId="0" borderId="10" xfId="4" applyNumberFormat="1" applyFont="1" applyFill="1" applyBorder="1" applyAlignment="1">
      <alignment horizontal="center"/>
    </xf>
    <xf numFmtId="164" fontId="0" fillId="0" borderId="0" xfId="4" quotePrefix="1" applyNumberFormat="1" applyFont="1" applyFill="1" applyBorder="1" applyAlignment="1">
      <alignment horizontal="right"/>
    </xf>
    <xf numFmtId="164" fontId="0" fillId="0" borderId="10" xfId="4" applyNumberFormat="1" applyFont="1" applyFill="1" applyBorder="1"/>
    <xf numFmtId="43" fontId="0" fillId="0" borderId="0" xfId="4" applyNumberFormat="1" applyFont="1" applyFill="1" applyBorder="1"/>
    <xf numFmtId="0" fontId="0" fillId="0" borderId="0" xfId="0" applyFill="1" applyAlignment="1">
      <alignment horizontal="right"/>
    </xf>
    <xf numFmtId="164" fontId="0" fillId="0" borderId="51" xfId="0" applyNumberFormat="1" applyFill="1" applyBorder="1"/>
    <xf numFmtId="164" fontId="0" fillId="0" borderId="56" xfId="0" applyNumberFormat="1" applyFill="1" applyBorder="1"/>
    <xf numFmtId="164" fontId="0" fillId="0" borderId="57" xfId="0" applyNumberFormat="1" applyFill="1" applyBorder="1"/>
    <xf numFmtId="164" fontId="0" fillId="0" borderId="0" xfId="0" applyNumberFormat="1" applyFill="1"/>
    <xf numFmtId="0" fontId="165" fillId="0" borderId="0" xfId="0" applyFont="1" applyFill="1"/>
    <xf numFmtId="0" fontId="166" fillId="0" borderId="0" xfId="0" applyFont="1" applyFill="1"/>
    <xf numFmtId="164" fontId="0" fillId="0" borderId="51" xfId="4" applyNumberFormat="1" applyFont="1" applyFill="1" applyBorder="1"/>
    <xf numFmtId="164" fontId="4" fillId="0" borderId="51" xfId="4" applyNumberFormat="1" applyFont="1" applyFill="1" applyBorder="1"/>
    <xf numFmtId="43" fontId="160" fillId="0" borderId="0" xfId="4" applyFont="1" applyFill="1"/>
    <xf numFmtId="43" fontId="0" fillId="0" borderId="0" xfId="4" applyFont="1" applyFill="1"/>
    <xf numFmtId="43" fontId="16" fillId="0" borderId="0" xfId="4" applyFont="1" applyFill="1" applyAlignment="1">
      <alignment horizontal="left"/>
    </xf>
    <xf numFmtId="43" fontId="16" fillId="0" borderId="0" xfId="14646" applyFont="1" applyFill="1" applyAlignment="1">
      <alignment horizontal="left"/>
    </xf>
    <xf numFmtId="164" fontId="0" fillId="0" borderId="0" xfId="14646" applyNumberFormat="1" applyFont="1" applyFill="1"/>
    <xf numFmtId="43" fontId="0" fillId="0" borderId="0" xfId="4" applyFont="1" applyFill="1" applyAlignment="1">
      <alignment horizontal="left"/>
    </xf>
    <xf numFmtId="43" fontId="0" fillId="0" borderId="0" xfId="14646" applyFont="1" applyFill="1" applyAlignment="1">
      <alignment horizontal="left"/>
    </xf>
    <xf numFmtId="43" fontId="163" fillId="0" borderId="0" xfId="4" applyFont="1" applyFill="1" applyAlignment="1">
      <alignment horizontal="left"/>
    </xf>
    <xf numFmtId="43" fontId="161" fillId="0" borderId="0" xfId="4" applyFont="1" applyFill="1" applyAlignment="1">
      <alignment horizontal="left" wrapText="1"/>
    </xf>
    <xf numFmtId="164" fontId="161" fillId="0" borderId="0" xfId="4" applyNumberFormat="1" applyFont="1" applyFill="1" applyAlignment="1">
      <alignment horizontal="center" wrapText="1"/>
    </xf>
    <xf numFmtId="43" fontId="161" fillId="0" borderId="0" xfId="14646" applyFont="1" applyFill="1" applyAlignment="1">
      <alignment horizontal="left" wrapText="1"/>
    </xf>
    <xf numFmtId="164" fontId="161" fillId="0" borderId="0" xfId="14646" applyNumberFormat="1" applyFont="1" applyFill="1" applyAlignment="1">
      <alignment horizontal="center" wrapText="1"/>
    </xf>
    <xf numFmtId="164" fontId="4" fillId="0" borderId="0" xfId="4" applyNumberFormat="1" applyFont="1" applyFill="1"/>
    <xf numFmtId="43" fontId="0" fillId="0" borderId="0" xfId="14646" applyFont="1" applyFill="1"/>
    <xf numFmtId="164" fontId="4" fillId="0" borderId="0" xfId="14646" applyNumberFormat="1" applyFont="1" applyFill="1"/>
    <xf numFmtId="164" fontId="16" fillId="0" borderId="0" xfId="0" applyNumberFormat="1" applyFont="1" applyFill="1"/>
    <xf numFmtId="164" fontId="4" fillId="0" borderId="2" xfId="14646" applyNumberFormat="1" applyFont="1" applyFill="1" applyBorder="1"/>
    <xf numFmtId="164" fontId="0" fillId="0" borderId="2" xfId="0" applyNumberFormat="1" applyFill="1" applyBorder="1"/>
    <xf numFmtId="164" fontId="4" fillId="0" borderId="2" xfId="4" applyNumberFormat="1" applyFont="1" applyFill="1" applyBorder="1"/>
    <xf numFmtId="164" fontId="0" fillId="0" borderId="2" xfId="4" applyNumberFormat="1" applyFont="1" applyFill="1" applyBorder="1"/>
    <xf numFmtId="43" fontId="2" fillId="0" borderId="0" xfId="4" applyFont="1" applyFill="1"/>
    <xf numFmtId="164" fontId="2" fillId="0" borderId="0" xfId="4" applyNumberFormat="1" applyFont="1" applyFill="1"/>
    <xf numFmtId="164" fontId="2" fillId="0" borderId="0" xfId="4" applyNumberFormat="1" applyFont="1" applyFill="1" applyBorder="1"/>
    <xf numFmtId="43" fontId="2" fillId="0" borderId="0" xfId="14646" applyFont="1" applyFill="1"/>
    <xf numFmtId="49" fontId="12" fillId="0" borderId="0" xfId="5126" applyNumberFormat="1" applyFont="1" applyFill="1" applyBorder="1" applyAlignment="1">
      <alignment horizontal="center"/>
    </xf>
    <xf numFmtId="0" fontId="12" fillId="0" borderId="0" xfId="5126" applyFont="1" applyFill="1" applyBorder="1" applyAlignment="1">
      <alignment horizontal="center"/>
    </xf>
    <xf numFmtId="49" fontId="12" fillId="0" borderId="0" xfId="5126" applyNumberFormat="1" applyFont="1" applyFill="1" applyBorder="1" applyAlignment="1">
      <alignment horizontal="right"/>
    </xf>
    <xf numFmtId="183" fontId="81" fillId="0" borderId="0" xfId="12089" applyNumberFormat="1" applyFont="1" applyFill="1" applyBorder="1" applyAlignment="1">
      <alignment horizontal="right" wrapText="1"/>
    </xf>
    <xf numFmtId="183" fontId="81" fillId="0" borderId="2" xfId="12089" applyNumberFormat="1" applyFont="1" applyFill="1" applyBorder="1" applyAlignment="1">
      <alignment horizontal="right" wrapText="1"/>
    </xf>
    <xf numFmtId="0" fontId="12" fillId="0" borderId="0" xfId="4614" applyFont="1"/>
    <xf numFmtId="0" fontId="11" fillId="0" borderId="0" xfId="4614" applyFont="1"/>
    <xf numFmtId="190" fontId="81" fillId="0" borderId="0" xfId="12089" applyNumberFormat="1" applyFont="1" applyFill="1" applyBorder="1" applyAlignment="1">
      <alignment horizontal="left" vertical="top"/>
    </xf>
    <xf numFmtId="183" fontId="81" fillId="0" borderId="27" xfId="12089" applyNumberFormat="1" applyFont="1" applyFill="1" applyBorder="1" applyAlignment="1">
      <alignment horizontal="right" wrapText="1"/>
    </xf>
    <xf numFmtId="191" fontId="81" fillId="0" borderId="0" xfId="12089" applyNumberFormat="1" applyFont="1" applyFill="1" applyBorder="1" applyAlignment="1">
      <alignment horizontal="right" wrapText="1"/>
    </xf>
    <xf numFmtId="0" fontId="153" fillId="0" borderId="0" xfId="14653" applyFont="1"/>
    <xf numFmtId="164" fontId="81" fillId="0" borderId="0" xfId="3950" applyNumberFormat="1" applyFont="1" applyFill="1" applyBorder="1" applyAlignment="1">
      <alignment horizontal="center" wrapText="1"/>
    </xf>
    <xf numFmtId="0" fontId="153" fillId="0" borderId="0" xfId="14653" applyFont="1" applyAlignment="1">
      <alignment horizontal="center"/>
    </xf>
    <xf numFmtId="0" fontId="153" fillId="0" borderId="0" xfId="14653" applyFont="1" applyAlignment="1">
      <alignment horizontal="left"/>
    </xf>
    <xf numFmtId="164" fontId="81" fillId="0" borderId="1" xfId="3950" applyNumberFormat="1" applyFont="1" applyFill="1" applyBorder="1" applyAlignment="1">
      <alignment horizontal="right" wrapText="1"/>
    </xf>
    <xf numFmtId="164" fontId="153" fillId="0" borderId="47" xfId="14653" applyNumberFormat="1" applyFont="1" applyBorder="1" applyAlignment="1">
      <alignment horizontal="left"/>
    </xf>
    <xf numFmtId="0" fontId="172" fillId="0" borderId="0" xfId="5126" applyFont="1" applyFill="1" applyBorder="1" applyAlignment="1">
      <alignment horizontal="left" wrapText="1"/>
    </xf>
    <xf numFmtId="0" fontId="12" fillId="89" borderId="26" xfId="5126" applyFont="1" applyFill="1" applyBorder="1" applyAlignment="1">
      <alignment horizontal="center" wrapText="1"/>
    </xf>
    <xf numFmtId="0" fontId="12" fillId="89" borderId="0" xfId="5126" applyFont="1" applyFill="1" applyBorder="1" applyAlignment="1">
      <alignment horizontal="center" vertical="center" wrapText="1"/>
    </xf>
    <xf numFmtId="164" fontId="81" fillId="89" borderId="0" xfId="3950" applyNumberFormat="1" applyFont="1" applyFill="1" applyBorder="1" applyAlignment="1">
      <alignment horizontal="center" vertical="center" wrapText="1"/>
    </xf>
    <xf numFmtId="164" fontId="81" fillId="89" borderId="0" xfId="3950" applyNumberFormat="1" applyFont="1" applyFill="1" applyBorder="1" applyAlignment="1">
      <alignment horizontal="right" wrapText="1"/>
    </xf>
    <xf numFmtId="9" fontId="81" fillId="89" borderId="0" xfId="6764" applyFont="1" applyFill="1" applyBorder="1" applyAlignment="1">
      <alignment horizontal="left" vertical="top"/>
    </xf>
    <xf numFmtId="164" fontId="81" fillId="89" borderId="2" xfId="4" applyNumberFormat="1" applyFont="1" applyFill="1" applyBorder="1" applyAlignment="1">
      <alignment horizontal="right" wrapText="1"/>
    </xf>
    <xf numFmtId="164" fontId="81" fillId="89" borderId="27" xfId="3950" applyNumberFormat="1" applyFont="1" applyFill="1" applyBorder="1" applyAlignment="1">
      <alignment horizontal="right" wrapText="1"/>
    </xf>
    <xf numFmtId="10" fontId="81" fillId="89" borderId="0" xfId="12089" applyNumberFormat="1" applyFont="1" applyFill="1" applyBorder="1" applyAlignment="1">
      <alignment horizontal="right" wrapText="1"/>
    </xf>
    <xf numFmtId="9" fontId="81" fillId="89" borderId="0" xfId="12089" applyFont="1" applyFill="1" applyBorder="1" applyAlignment="1">
      <alignment horizontal="right" wrapText="1"/>
    </xf>
    <xf numFmtId="10" fontId="81" fillId="89" borderId="0" xfId="12089" applyNumberFormat="1" applyFont="1" applyFill="1" applyBorder="1" applyAlignment="1">
      <alignment horizontal="right"/>
    </xf>
    <xf numFmtId="49" fontId="12" fillId="0" borderId="0" xfId="5126" applyNumberFormat="1" applyFont="1" applyFill="1" applyBorder="1" applyAlignment="1">
      <alignment horizontal="center"/>
    </xf>
    <xf numFmtId="0" fontId="12" fillId="0" borderId="0" xfId="5126" applyFont="1" applyFill="1" applyBorder="1" applyAlignment="1">
      <alignment horizontal="center"/>
    </xf>
    <xf numFmtId="0" fontId="155" fillId="85" borderId="0" xfId="14650" applyFont="1" applyFill="1" applyAlignment="1">
      <alignment horizontal="center"/>
    </xf>
    <xf numFmtId="0" fontId="169" fillId="87" borderId="0" xfId="14650" applyFont="1" applyFill="1" applyAlignment="1">
      <alignment horizontal="center" wrapText="1"/>
    </xf>
    <xf numFmtId="164" fontId="0" fillId="0" borderId="48" xfId="4" applyNumberFormat="1" applyFont="1" applyFill="1" applyBorder="1" applyAlignment="1">
      <alignment horizontal="center"/>
    </xf>
    <xf numFmtId="164" fontId="0" fillId="0" borderId="49" xfId="4" applyNumberFormat="1" applyFont="1" applyFill="1" applyBorder="1" applyAlignment="1">
      <alignment horizontal="center"/>
    </xf>
    <xf numFmtId="164" fontId="0" fillId="0" borderId="50" xfId="4" applyNumberFormat="1" applyFont="1" applyFill="1" applyBorder="1" applyAlignment="1">
      <alignment horizontal="center"/>
    </xf>
    <xf numFmtId="164" fontId="4" fillId="0" borderId="52" xfId="4" applyNumberFormat="1" applyFont="1" applyFill="1" applyBorder="1" applyAlignment="1">
      <alignment horizontal="center"/>
    </xf>
    <xf numFmtId="164" fontId="4" fillId="0" borderId="53" xfId="4" applyNumberFormat="1" applyFont="1" applyFill="1" applyBorder="1" applyAlignment="1">
      <alignment horizontal="center"/>
    </xf>
    <xf numFmtId="164" fontId="4" fillId="0" borderId="54" xfId="4" applyNumberFormat="1" applyFont="1" applyFill="1" applyBorder="1" applyAlignment="1">
      <alignment horizontal="center"/>
    </xf>
    <xf numFmtId="164" fontId="0" fillId="0" borderId="52" xfId="4" applyNumberFormat="1" applyFont="1" applyFill="1" applyBorder="1" applyAlignment="1">
      <alignment horizontal="center"/>
    </xf>
    <xf numFmtId="164" fontId="0" fillId="0" borderId="53" xfId="4" applyNumberFormat="1" applyFont="1" applyFill="1" applyBorder="1" applyAlignment="1">
      <alignment horizontal="center"/>
    </xf>
    <xf numFmtId="164" fontId="0" fillId="0" borderId="54" xfId="4" applyNumberFormat="1" applyFont="1" applyFill="1" applyBorder="1" applyAlignment="1">
      <alignment horizontal="center"/>
    </xf>
    <xf numFmtId="0" fontId="81" fillId="0" borderId="26" xfId="5126" applyFont="1" applyFill="1" applyBorder="1" applyAlignment="1">
      <alignment horizontal="center" wrapText="1"/>
    </xf>
  </cellXfs>
  <cellStyles count="14654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4"/>
    <cellStyle name="Comma 118" xfId="14646"/>
    <cellStyle name="Comma 119" xfId="14649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5"/>
    <cellStyle name="Currency 177" xfId="14651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2 3" xfId="14650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3"/>
    <cellStyle name="Normal 85" xfId="14647"/>
    <cellStyle name="Normal 86" xfId="14652"/>
    <cellStyle name="Normal 87" xfId="14653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48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"/>
  <sheetViews>
    <sheetView tabSelected="1" zoomScale="85" zoomScaleNormal="85" workbookViewId="0">
      <selection activeCell="B39" sqref="B39"/>
    </sheetView>
  </sheetViews>
  <sheetFormatPr defaultRowHeight="12.75" x14ac:dyDescent="0.2"/>
  <cols>
    <col min="1" max="1" width="6.85546875" style="7" customWidth="1"/>
    <col min="2" max="2" width="77.7109375" style="7" customWidth="1"/>
    <col min="3" max="3" width="16.140625" style="7" customWidth="1"/>
    <col min="4" max="5" width="22.7109375" style="7" customWidth="1"/>
    <col min="6" max="8" width="16.7109375" style="7" customWidth="1"/>
    <col min="9" max="9" width="1.85546875" style="7" customWidth="1"/>
    <col min="10" max="16384" width="9.140625" style="7"/>
  </cols>
  <sheetData>
    <row r="1" spans="1:8" s="3" customFormat="1" ht="20.100000000000001" customHeight="1" x14ac:dyDescent="0.2">
      <c r="D1" s="5"/>
      <c r="E1" s="5"/>
      <c r="F1" s="5"/>
      <c r="G1" s="5"/>
      <c r="H1" s="5" t="s">
        <v>250</v>
      </c>
    </row>
    <row r="2" spans="1:8" s="3" customFormat="1" ht="20.100000000000001" customHeight="1" x14ac:dyDescent="0.2">
      <c r="D2" s="5"/>
      <c r="E2" s="5"/>
      <c r="F2" s="5"/>
      <c r="G2" s="5"/>
      <c r="H2" s="5" t="s">
        <v>238</v>
      </c>
    </row>
    <row r="3" spans="1:8" s="3" customFormat="1" ht="20.100000000000001" customHeight="1" x14ac:dyDescent="0.2">
      <c r="A3" s="178" t="s">
        <v>99</v>
      </c>
      <c r="B3" s="178"/>
      <c r="C3" s="178"/>
      <c r="D3" s="178"/>
      <c r="E3" s="178"/>
      <c r="F3" s="178"/>
      <c r="G3" s="178"/>
      <c r="H3" s="178"/>
    </row>
    <row r="4" spans="1:8" s="3" customFormat="1" ht="20.100000000000001" customHeight="1" x14ac:dyDescent="0.2">
      <c r="A4" s="178" t="s">
        <v>225</v>
      </c>
      <c r="B4" s="178"/>
      <c r="C4" s="178"/>
      <c r="D4" s="178"/>
      <c r="E4" s="178"/>
      <c r="F4" s="178"/>
      <c r="G4" s="178"/>
      <c r="H4" s="178"/>
    </row>
    <row r="5" spans="1:8" s="3" customFormat="1" ht="20.100000000000001" customHeight="1" x14ac:dyDescent="0.2">
      <c r="A5" s="179" t="s">
        <v>8</v>
      </c>
      <c r="B5" s="179"/>
      <c r="C5" s="179"/>
      <c r="D5" s="179"/>
      <c r="E5" s="179"/>
      <c r="F5" s="179"/>
      <c r="G5" s="179"/>
      <c r="H5" s="179"/>
    </row>
    <row r="6" spans="1:8" s="3" customFormat="1" ht="20.100000000000001" customHeight="1" x14ac:dyDescent="0.2">
      <c r="D6" s="5"/>
      <c r="E6" s="5"/>
    </row>
    <row r="7" spans="1:8" s="3" customFormat="1" ht="20.100000000000001" customHeight="1" x14ac:dyDescent="0.2"/>
    <row r="8" spans="1:8" ht="71.25" customHeight="1" x14ac:dyDescent="0.2">
      <c r="A8" s="15" t="s">
        <v>4</v>
      </c>
      <c r="B8" s="15" t="s">
        <v>1</v>
      </c>
      <c r="C8" s="15" t="s">
        <v>9</v>
      </c>
      <c r="D8" s="15" t="s">
        <v>228</v>
      </c>
      <c r="E8" s="15" t="s">
        <v>239</v>
      </c>
      <c r="F8" s="15" t="s">
        <v>70</v>
      </c>
      <c r="G8" s="15" t="s">
        <v>221</v>
      </c>
      <c r="H8" s="15" t="s">
        <v>222</v>
      </c>
    </row>
    <row r="9" spans="1:8" ht="18.95" customHeight="1" x14ac:dyDescent="0.2">
      <c r="A9" s="8"/>
      <c r="B9" s="13"/>
      <c r="C9" s="13"/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</row>
    <row r="10" spans="1:8" ht="18.95" customHeight="1" x14ac:dyDescent="0.2">
      <c r="A10" s="8"/>
      <c r="B10" s="9"/>
      <c r="C10" s="9"/>
      <c r="D10" s="10"/>
      <c r="E10" s="10"/>
      <c r="F10" s="10"/>
      <c r="G10" s="10"/>
      <c r="H10" s="10"/>
    </row>
    <row r="11" spans="1:8" ht="18.95" customHeight="1" x14ac:dyDescent="0.2">
      <c r="A11" s="11">
        <v>1</v>
      </c>
      <c r="B11" s="9" t="s">
        <v>104</v>
      </c>
      <c r="C11" s="12" t="s">
        <v>151</v>
      </c>
      <c r="D11" s="10">
        <f>'SCH J-1 (ORDER)'!H22</f>
        <v>2388355970.8361177</v>
      </c>
      <c r="E11" s="10">
        <f>'UPDATED SCH J-1 (ORDER) (21%)'!H22</f>
        <v>2402636729.2097173</v>
      </c>
      <c r="F11" s="10">
        <f>E11-D11</f>
        <v>14280758.373599529</v>
      </c>
      <c r="G11" s="10"/>
      <c r="H11" s="10"/>
    </row>
    <row r="12" spans="1:8" ht="18.95" customHeight="1" x14ac:dyDescent="0.2">
      <c r="A12" s="11"/>
      <c r="B12" s="9"/>
      <c r="C12" s="12"/>
      <c r="D12" s="10"/>
      <c r="E12" s="10"/>
      <c r="F12" s="10"/>
      <c r="G12" s="10"/>
      <c r="H12" s="10"/>
    </row>
    <row r="13" spans="1:8" ht="18.95" customHeight="1" x14ac:dyDescent="0.2">
      <c r="A13" s="11">
        <v>2</v>
      </c>
      <c r="B13" s="9" t="s">
        <v>65</v>
      </c>
      <c r="C13" s="12" t="s">
        <v>151</v>
      </c>
      <c r="D13" s="22">
        <f>'SCH J-1 (ORDER)'!M22</f>
        <v>0.10216166403184743</v>
      </c>
      <c r="E13" s="22">
        <f>'UPDATED SCH J-1 (ORDER) (21%)'!M22</f>
        <v>8.807676276049696E-2</v>
      </c>
      <c r="F13" s="22">
        <f>E13-D13</f>
        <v>-1.4084901271350467E-2</v>
      </c>
      <c r="G13" s="22"/>
      <c r="H13" s="22"/>
    </row>
    <row r="14" spans="1:8" ht="18.95" customHeight="1" x14ac:dyDescent="0.2">
      <c r="A14" s="11"/>
      <c r="B14" s="9"/>
      <c r="C14" s="12"/>
      <c r="D14" s="10"/>
      <c r="E14" s="10"/>
      <c r="F14" s="10"/>
      <c r="G14" s="10"/>
      <c r="H14" s="10"/>
    </row>
    <row r="15" spans="1:8" ht="18.95" customHeight="1" x14ac:dyDescent="0.2">
      <c r="A15" s="11">
        <v>3</v>
      </c>
      <c r="B15" s="21" t="s">
        <v>88</v>
      </c>
      <c r="C15" s="12"/>
      <c r="D15" s="10">
        <f>D11*D13</f>
        <v>243998420.28101626</v>
      </c>
      <c r="E15" s="10">
        <f>E11*E13</f>
        <v>211616465.19826064</v>
      </c>
      <c r="F15" s="10">
        <f>E15-D15</f>
        <v>-32381955.082755625</v>
      </c>
      <c r="G15" s="10"/>
      <c r="H15" s="10"/>
    </row>
    <row r="16" spans="1:8" ht="18.95" customHeight="1" x14ac:dyDescent="0.2">
      <c r="A16" s="11"/>
      <c r="B16" s="21"/>
      <c r="C16" s="12"/>
      <c r="D16" s="10"/>
      <c r="E16" s="10"/>
      <c r="F16" s="10"/>
      <c r="G16" s="10"/>
      <c r="H16" s="10"/>
    </row>
    <row r="17" spans="1:8" ht="18.95" customHeight="1" x14ac:dyDescent="0.2">
      <c r="A17" s="11">
        <v>4</v>
      </c>
      <c r="B17" s="21" t="s">
        <v>71</v>
      </c>
      <c r="C17" s="12"/>
      <c r="D17" s="10"/>
      <c r="E17" s="10"/>
      <c r="F17" s="43">
        <f>16/12</f>
        <v>1.3333333333333333</v>
      </c>
      <c r="G17" s="43"/>
      <c r="H17" s="43"/>
    </row>
    <row r="18" spans="1:8" ht="18.95" customHeight="1" x14ac:dyDescent="0.2">
      <c r="A18" s="11"/>
      <c r="B18" s="21"/>
      <c r="C18" s="12"/>
      <c r="D18" s="10"/>
      <c r="E18" s="10"/>
      <c r="F18" s="10"/>
      <c r="G18" s="10"/>
      <c r="H18" s="10"/>
    </row>
    <row r="19" spans="1:8" ht="18.95" customHeight="1" x14ac:dyDescent="0.2">
      <c r="A19" s="11">
        <v>5</v>
      </c>
      <c r="B19" s="21" t="s">
        <v>87</v>
      </c>
      <c r="C19" s="12"/>
      <c r="D19" s="23"/>
      <c r="E19" s="23"/>
      <c r="F19" s="10">
        <f>F15*F17</f>
        <v>-43175940.110340834</v>
      </c>
      <c r="G19" s="10"/>
      <c r="H19" s="10"/>
    </row>
    <row r="20" spans="1:8" ht="18.95" customHeight="1" x14ac:dyDescent="0.2">
      <c r="B20" s="21"/>
      <c r="C20" s="12"/>
    </row>
    <row r="21" spans="1:8" ht="18.95" customHeight="1" x14ac:dyDescent="0.2">
      <c r="A21" s="11">
        <v>6</v>
      </c>
      <c r="B21" s="21" t="s">
        <v>163</v>
      </c>
      <c r="C21" s="12"/>
      <c r="D21" s="10"/>
      <c r="E21" s="10">
        <f>-'Excess DIT'!D22</f>
        <v>-7552798.8847869132</v>
      </c>
      <c r="F21" s="10"/>
      <c r="G21" s="10"/>
      <c r="H21" s="10"/>
    </row>
    <row r="22" spans="1:8" ht="18.95" customHeight="1" x14ac:dyDescent="0.2">
      <c r="A22" s="11"/>
      <c r="B22" s="21"/>
      <c r="C22" s="12"/>
      <c r="D22" s="10"/>
      <c r="E22" s="10"/>
      <c r="F22" s="10"/>
      <c r="G22" s="10"/>
      <c r="H22" s="10"/>
    </row>
    <row r="23" spans="1:8" ht="18.95" customHeight="1" x14ac:dyDescent="0.2">
      <c r="A23" s="11">
        <v>7</v>
      </c>
      <c r="B23" s="21" t="s">
        <v>152</v>
      </c>
      <c r="C23" s="12"/>
      <c r="D23" s="10"/>
      <c r="E23" s="10">
        <f>-'Excess DIT'!D23</f>
        <v>-1618843.9173333326</v>
      </c>
      <c r="F23" s="10"/>
      <c r="G23" s="10"/>
      <c r="H23" s="10"/>
    </row>
    <row r="24" spans="1:8" ht="18.95" customHeight="1" x14ac:dyDescent="0.2">
      <c r="A24" s="11"/>
      <c r="B24" s="21"/>
      <c r="C24" s="12"/>
      <c r="D24" s="10"/>
      <c r="E24" s="10"/>
      <c r="F24" s="10"/>
      <c r="G24" s="10"/>
      <c r="H24" s="10"/>
    </row>
    <row r="25" spans="1:8" ht="18.95" customHeight="1" x14ac:dyDescent="0.2">
      <c r="A25" s="11">
        <v>8</v>
      </c>
      <c r="B25" s="21" t="s">
        <v>86</v>
      </c>
      <c r="C25" s="12"/>
      <c r="D25" s="10"/>
      <c r="E25" s="10">
        <f>SUM(E21:E23)</f>
        <v>-9171642.802120246</v>
      </c>
      <c r="F25" s="10"/>
      <c r="G25" s="10"/>
      <c r="H25" s="10"/>
    </row>
    <row r="26" spans="1:8" ht="18.95" customHeight="1" x14ac:dyDescent="0.2">
      <c r="B26" s="21"/>
      <c r="C26" s="12"/>
    </row>
    <row r="27" spans="1:8" ht="18.95" customHeight="1" x14ac:dyDescent="0.2">
      <c r="A27" s="11">
        <v>9</v>
      </c>
      <c r="B27" s="21" t="str">
        <f>CONCATENATE("GROSS-UP FACTOR USING ",TEXT('LGE Composite Tax Rate (21%)'!E26,"0.00%")," EFFECTIVE TAX RATE")</f>
        <v>GROSS-UP FACTOR USING 25.64% EFFECTIVE TAX RATE</v>
      </c>
      <c r="D27" s="44"/>
      <c r="E27" s="48">
        <f>1/(1-'LGE Composite Tax Rate (21%)'!E26)</f>
        <v>1.344810900971106</v>
      </c>
      <c r="F27" s="44"/>
      <c r="G27" s="44"/>
      <c r="H27" s="44"/>
    </row>
    <row r="28" spans="1:8" ht="18.95" customHeight="1" x14ac:dyDescent="0.2">
      <c r="A28" s="11"/>
      <c r="B28" s="9"/>
    </row>
    <row r="29" spans="1:8" ht="18.95" customHeight="1" x14ac:dyDescent="0.2">
      <c r="A29" s="11">
        <v>10</v>
      </c>
      <c r="B29" s="9" t="s">
        <v>89</v>
      </c>
      <c r="D29" s="22"/>
      <c r="E29" s="22"/>
      <c r="F29" s="10">
        <f>E25*E27</f>
        <v>-12334125.220104488</v>
      </c>
      <c r="G29" s="10"/>
      <c r="H29" s="10"/>
    </row>
    <row r="30" spans="1:8" ht="18.95" customHeight="1" x14ac:dyDescent="0.2">
      <c r="B30" s="21"/>
      <c r="C30" s="12"/>
    </row>
    <row r="31" spans="1:8" s="51" customFormat="1" ht="18.95" customHeight="1" x14ac:dyDescent="0.2">
      <c r="A31" s="50">
        <v>11</v>
      </c>
      <c r="B31" s="19" t="s">
        <v>90</v>
      </c>
      <c r="D31" s="52"/>
      <c r="E31" s="52"/>
      <c r="F31" s="53">
        <f>F19+F29</f>
        <v>-55510065.330445319</v>
      </c>
      <c r="G31" s="53">
        <f>F31*'TY TARIFF BILLING'!K7</f>
        <v>-22759126.785482578</v>
      </c>
      <c r="H31" s="53">
        <f>F31-G31</f>
        <v>-32750938.544962741</v>
      </c>
    </row>
    <row r="32" spans="1:8" ht="18.95" customHeight="1" x14ac:dyDescent="0.2">
      <c r="C32" s="12"/>
    </row>
    <row r="33" spans="1:8" ht="18.95" customHeight="1" x14ac:dyDescent="0.2">
      <c r="A33" s="11">
        <v>12</v>
      </c>
      <c r="B33" s="9" t="s">
        <v>150</v>
      </c>
      <c r="D33" s="22"/>
      <c r="E33" s="22"/>
      <c r="F33" s="10">
        <f>'TY KWH-RS vs Non-RS'!B$7/12*13</f>
        <v>12919919682.458033</v>
      </c>
      <c r="G33" s="10">
        <f>'TY KWH-RS vs Non-RS'!B$5/12*13</f>
        <v>4528429567.0367098</v>
      </c>
      <c r="H33" s="10">
        <f>'TY KWH-RS vs Non-RS'!B$6/12*13</f>
        <v>8391490115.4213238</v>
      </c>
    </row>
    <row r="34" spans="1:8" ht="18.95" customHeight="1" x14ac:dyDescent="0.2">
      <c r="C34" s="12"/>
    </row>
    <row r="35" spans="1:8" ht="18.95" customHeight="1" x14ac:dyDescent="0.2">
      <c r="A35" s="11">
        <v>13</v>
      </c>
      <c r="B35" s="9" t="s">
        <v>111</v>
      </c>
      <c r="D35" s="22"/>
      <c r="E35" s="22"/>
      <c r="F35" s="54"/>
      <c r="G35" s="54">
        <f>G31/G33</f>
        <v>-5.0258321231604307E-3</v>
      </c>
      <c r="H35" s="54">
        <f>H31/H33</f>
        <v>-3.9028751859905356E-3</v>
      </c>
    </row>
    <row r="36" spans="1:8" ht="18.95" customHeight="1" x14ac:dyDescent="0.2">
      <c r="A36" s="11"/>
      <c r="B36" s="9"/>
      <c r="D36" s="22"/>
      <c r="E36" s="22"/>
      <c r="F36" s="54"/>
      <c r="G36" s="54"/>
      <c r="H36" s="54"/>
    </row>
    <row r="37" spans="1:8" ht="18.95" customHeight="1" x14ac:dyDescent="0.2">
      <c r="B37" s="9" t="s">
        <v>169</v>
      </c>
      <c r="C37" s="12"/>
    </row>
    <row r="38" spans="1:8" ht="18.95" customHeight="1" x14ac:dyDescent="0.2">
      <c r="A38" s="50">
        <v>14</v>
      </c>
      <c r="B38" s="19" t="s">
        <v>170</v>
      </c>
      <c r="C38" s="21"/>
      <c r="D38" s="10"/>
      <c r="E38" s="10"/>
      <c r="F38" s="53">
        <f>F31/16</f>
        <v>-3469379.0831528325</v>
      </c>
      <c r="G38" s="53">
        <f>G31/16</f>
        <v>-1422445.4240926611</v>
      </c>
      <c r="H38" s="53">
        <f>H31/16</f>
        <v>-2046933.6590601713</v>
      </c>
    </row>
    <row r="39" spans="1:8" ht="18.95" customHeight="1" x14ac:dyDescent="0.2">
      <c r="C39" s="21"/>
      <c r="D39" s="10"/>
      <c r="E39" s="10"/>
    </row>
    <row r="40" spans="1:8" ht="18.95" customHeight="1" x14ac:dyDescent="0.2">
      <c r="A40" s="11">
        <v>15</v>
      </c>
      <c r="B40" s="9" t="s">
        <v>171</v>
      </c>
      <c r="F40" s="10">
        <f>'TY KWH-RS vs Non-RS'!B$7/12</f>
        <v>993839975.57369483</v>
      </c>
      <c r="G40" s="10">
        <f>'TY KWH-RS vs Non-RS'!B$5/12</f>
        <v>348340735.92590076</v>
      </c>
      <c r="H40" s="10">
        <f>'TY KWH-RS vs Non-RS'!B$6/12</f>
        <v>645499239.64779413</v>
      </c>
    </row>
    <row r="41" spans="1:8" ht="18.95" customHeight="1" x14ac:dyDescent="0.2"/>
    <row r="42" spans="1:8" ht="18.95" customHeight="1" x14ac:dyDescent="0.2">
      <c r="A42" s="11">
        <v>16</v>
      </c>
      <c r="B42" s="9" t="s">
        <v>227</v>
      </c>
      <c r="F42" s="54">
        <f>F38/F40</f>
        <v>-3.4908830077499458E-3</v>
      </c>
      <c r="G42" s="54">
        <f t="shared" ref="G42:H42" si="0">G38/G40</f>
        <v>-4.0834886000678501E-3</v>
      </c>
      <c r="H42" s="54">
        <f t="shared" si="0"/>
        <v>-3.1710860886173101E-3</v>
      </c>
    </row>
    <row r="43" spans="1:8" ht="18.95" customHeight="1" x14ac:dyDescent="0.2"/>
    <row r="44" spans="1:8" ht="18.95" customHeight="1" x14ac:dyDescent="0.2"/>
    <row r="45" spans="1:8" ht="18.95" customHeight="1" x14ac:dyDescent="0.2"/>
    <row r="46" spans="1:8" ht="18.95" customHeight="1" x14ac:dyDescent="0.2"/>
    <row r="47" spans="1:8" ht="18.95" customHeight="1" x14ac:dyDescent="0.2"/>
    <row r="48" spans="1: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3">
    <mergeCell ref="A3:H3"/>
    <mergeCell ref="A4:H4"/>
    <mergeCell ref="A5:H5"/>
  </mergeCells>
  <printOptions horizontalCentered="1"/>
  <pageMargins left="0.75" right="0.75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2"/>
  <sheetViews>
    <sheetView zoomScaleNormal="100" workbookViewId="0">
      <selection activeCell="F19" sqref="F19"/>
    </sheetView>
  </sheetViews>
  <sheetFormatPr defaultRowHeight="12.75" x14ac:dyDescent="0.2"/>
  <cols>
    <col min="1" max="1" width="6.85546875" style="7" customWidth="1"/>
    <col min="2" max="2" width="26.7109375" style="7" customWidth="1"/>
    <col min="3" max="3" width="16" style="7" customWidth="1"/>
    <col min="4" max="4" width="16.7109375" style="7" customWidth="1"/>
    <col min="5" max="5" width="17.7109375" style="7" customWidth="1"/>
    <col min="6" max="6" width="17.28515625" style="7" customWidth="1"/>
    <col min="7" max="8" width="19" style="7" customWidth="1"/>
    <col min="9" max="9" width="11.5703125" style="7" customWidth="1"/>
    <col min="10" max="10" width="10.85546875" style="7" customWidth="1"/>
    <col min="11" max="11" width="12.85546875" style="7" customWidth="1"/>
    <col min="12" max="12" width="15" style="7" customWidth="1"/>
    <col min="13" max="13" width="12.85546875" style="7" customWidth="1"/>
    <col min="14" max="14" width="14" style="7" customWidth="1"/>
    <col min="15" max="15" width="1.85546875" style="7" customWidth="1"/>
    <col min="16" max="16" width="9.140625" style="7"/>
    <col min="17" max="17" width="16.5703125" style="7" customWidth="1"/>
    <col min="18" max="18" width="16.42578125" style="7" customWidth="1"/>
    <col min="19" max="19" width="15.5703125" style="7" customWidth="1"/>
    <col min="20" max="20" width="11.5703125" style="7" customWidth="1"/>
    <col min="21" max="21" width="13.140625" style="7" customWidth="1"/>
    <col min="22" max="16384" width="9.140625" style="7"/>
  </cols>
  <sheetData>
    <row r="1" spans="1:21" s="3" customFormat="1" ht="20.100000000000001" customHeight="1" x14ac:dyDescent="0.2">
      <c r="A1" s="179" t="s">
        <v>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46"/>
      <c r="M1" s="46"/>
      <c r="N1" s="31"/>
    </row>
    <row r="2" spans="1:21" s="3" customFormat="1" ht="20.100000000000001" customHeight="1" x14ac:dyDescent="0.2">
      <c r="A2" s="179" t="s">
        <v>107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46"/>
      <c r="M2" s="46"/>
      <c r="N2" s="31"/>
    </row>
    <row r="3" spans="1:21" s="3" customFormat="1" ht="20.100000000000001" customHeight="1" x14ac:dyDescent="0.2">
      <c r="A3" s="179" t="s">
        <v>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46"/>
      <c r="M3" s="46"/>
      <c r="N3" s="31"/>
    </row>
    <row r="4" spans="1:21" s="3" customFormat="1" ht="20.100000000000001" customHeight="1" x14ac:dyDescent="0.2">
      <c r="A4" s="179" t="s">
        <v>54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46"/>
      <c r="M4" s="46"/>
      <c r="N4" s="31"/>
    </row>
    <row r="5" spans="1:21" s="3" customFormat="1" ht="20.100000000000001" customHeight="1" x14ac:dyDescent="0.2">
      <c r="A5" s="178" t="s">
        <v>63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46"/>
      <c r="M5" s="46"/>
      <c r="N5" s="31"/>
    </row>
    <row r="6" spans="1:21" s="3" customFormat="1" ht="20.100000000000001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21" s="3" customFormat="1" ht="20.100000000000001" customHeight="1" x14ac:dyDescent="0.2">
      <c r="A7" s="4" t="s">
        <v>27</v>
      </c>
      <c r="K7" s="5"/>
      <c r="L7" s="5"/>
      <c r="M7" s="5"/>
    </row>
    <row r="8" spans="1:21" s="3" customFormat="1" ht="20.100000000000001" customHeight="1" x14ac:dyDescent="0.2">
      <c r="A8" s="4" t="s">
        <v>55</v>
      </c>
      <c r="K8" s="5" t="s">
        <v>56</v>
      </c>
      <c r="L8" s="5"/>
      <c r="M8" s="5"/>
    </row>
    <row r="9" spans="1:21" s="3" customFormat="1" ht="20.100000000000001" customHeight="1" x14ac:dyDescent="0.2">
      <c r="A9" s="2" t="s">
        <v>0</v>
      </c>
      <c r="K9" s="5" t="s">
        <v>108</v>
      </c>
      <c r="L9" s="5"/>
      <c r="M9" s="5"/>
    </row>
    <row r="10" spans="1:21" s="3" customFormat="1" ht="20.100000000000001" customHeight="1" x14ac:dyDescent="0.2">
      <c r="A10" s="4" t="s">
        <v>3</v>
      </c>
      <c r="K10" s="6" t="s">
        <v>52</v>
      </c>
      <c r="L10" s="6"/>
      <c r="M10" s="6"/>
    </row>
    <row r="11" spans="1:21" s="3" customFormat="1" ht="20.100000000000001" customHeight="1" x14ac:dyDescent="0.2"/>
    <row r="12" spans="1:21" ht="66" customHeight="1" x14ac:dyDescent="0.2">
      <c r="A12" s="15" t="s">
        <v>4</v>
      </c>
      <c r="B12" s="15" t="s">
        <v>28</v>
      </c>
      <c r="C12" s="15" t="s">
        <v>29</v>
      </c>
      <c r="D12" s="15" t="s">
        <v>57</v>
      </c>
      <c r="E12" s="15" t="s">
        <v>46</v>
      </c>
      <c r="F12" s="15" t="s">
        <v>49</v>
      </c>
      <c r="G12" s="15" t="s">
        <v>30</v>
      </c>
      <c r="H12" s="15" t="s">
        <v>47</v>
      </c>
      <c r="I12" s="15" t="s">
        <v>31</v>
      </c>
      <c r="J12" s="15" t="s">
        <v>32</v>
      </c>
      <c r="K12" s="15" t="s">
        <v>33</v>
      </c>
      <c r="L12" s="15" t="s">
        <v>61</v>
      </c>
      <c r="M12" s="15" t="s">
        <v>62</v>
      </c>
      <c r="N12" s="12"/>
      <c r="Q12" s="15" t="s">
        <v>30</v>
      </c>
      <c r="R12" s="15" t="s">
        <v>64</v>
      </c>
      <c r="S12" s="15" t="s">
        <v>30</v>
      </c>
    </row>
    <row r="13" spans="1:21" ht="18.95" customHeight="1" x14ac:dyDescent="0.2">
      <c r="A13" s="8"/>
      <c r="B13" s="32" t="s">
        <v>34</v>
      </c>
      <c r="C13" s="32" t="s">
        <v>35</v>
      </c>
      <c r="D13" s="32" t="s">
        <v>36</v>
      </c>
      <c r="E13" s="32" t="s">
        <v>37</v>
      </c>
      <c r="F13" s="32" t="s">
        <v>95</v>
      </c>
      <c r="G13" s="32" t="s">
        <v>38</v>
      </c>
      <c r="H13" s="32" t="s">
        <v>96</v>
      </c>
      <c r="I13" s="32" t="s">
        <v>48</v>
      </c>
      <c r="J13" s="32" t="s">
        <v>97</v>
      </c>
      <c r="K13" s="32" t="s">
        <v>98</v>
      </c>
      <c r="L13" s="47">
        <f>'SCH H-1 (ORDER)'!E24+'SCH H-1 (ORDER)'!E30</f>
        <v>0.38652480699999997</v>
      </c>
      <c r="M13" s="47"/>
      <c r="N13" s="32"/>
      <c r="Q13" s="32" t="s">
        <v>38</v>
      </c>
      <c r="S13" s="32" t="s">
        <v>38</v>
      </c>
    </row>
    <row r="14" spans="1:21" ht="18.95" customHeight="1" x14ac:dyDescent="0.2">
      <c r="A14" s="8"/>
      <c r="B14" s="13"/>
      <c r="C14" s="13"/>
      <c r="D14" s="14" t="s">
        <v>5</v>
      </c>
      <c r="E14" s="14" t="s">
        <v>39</v>
      </c>
      <c r="F14" s="14" t="s">
        <v>5</v>
      </c>
      <c r="G14" s="14" t="s">
        <v>5</v>
      </c>
      <c r="H14" s="14" t="s">
        <v>5</v>
      </c>
      <c r="I14" s="14"/>
      <c r="J14" s="14" t="s">
        <v>39</v>
      </c>
      <c r="K14" s="14" t="s">
        <v>39</v>
      </c>
      <c r="L14" s="14" t="s">
        <v>39</v>
      </c>
      <c r="M14" s="14" t="s">
        <v>39</v>
      </c>
      <c r="N14" s="14"/>
      <c r="Q14" s="14" t="s">
        <v>5</v>
      </c>
      <c r="R14" s="14" t="s">
        <v>5</v>
      </c>
      <c r="S14" s="14" t="s">
        <v>5</v>
      </c>
    </row>
    <row r="15" spans="1:21" ht="18.95" customHeight="1" x14ac:dyDescent="0.2">
      <c r="A15" s="11"/>
      <c r="B15" s="9" t="s">
        <v>100</v>
      </c>
      <c r="C15" s="12"/>
      <c r="D15" s="10"/>
      <c r="E15" s="10"/>
      <c r="F15" s="10"/>
      <c r="G15" s="10"/>
      <c r="H15" s="10"/>
      <c r="I15" s="10"/>
      <c r="J15" s="10"/>
      <c r="K15" s="10"/>
      <c r="L15" s="10"/>
      <c r="N15" s="10"/>
      <c r="Q15" s="10"/>
      <c r="R15" s="10"/>
      <c r="S15" s="10"/>
      <c r="T15" s="42"/>
      <c r="U15" s="42"/>
    </row>
    <row r="16" spans="1:21" ht="18.95" customHeight="1" x14ac:dyDescent="0.2">
      <c r="A16" s="11">
        <v>1</v>
      </c>
      <c r="B16" s="9" t="s">
        <v>40</v>
      </c>
      <c r="C16" s="12" t="s">
        <v>41</v>
      </c>
      <c r="D16" s="10">
        <v>159467796.15777439</v>
      </c>
      <c r="E16" s="33">
        <v>0.82679999999999998</v>
      </c>
      <c r="F16" s="10">
        <f>D16*E16</f>
        <v>131847973.86324786</v>
      </c>
      <c r="G16" s="10">
        <f>S16</f>
        <v>-40566630.433415323</v>
      </c>
      <c r="H16" s="10">
        <f>SUM(F16:G16)</f>
        <v>91281343.429832533</v>
      </c>
      <c r="I16" s="33">
        <f>H16/H$22</f>
        <v>3.8219320965742258E-2</v>
      </c>
      <c r="J16" s="33">
        <v>7.1687229005509669E-3</v>
      </c>
      <c r="K16" s="33">
        <f>I16*J16</f>
        <v>2.7398372145062423E-4</v>
      </c>
      <c r="L16" s="33"/>
      <c r="M16" s="33">
        <f>SUM(K16:L16)</f>
        <v>2.7398372145062423E-4</v>
      </c>
      <c r="N16" s="10"/>
      <c r="P16" s="33">
        <v>3.8219320965742258E-2</v>
      </c>
      <c r="Q16" s="10">
        <v>-39787057.813342631</v>
      </c>
      <c r="R16" s="10">
        <f>P16*R$22</f>
        <v>-779572.62007269007</v>
      </c>
      <c r="S16" s="10">
        <f>SUM(Q16:R16)</f>
        <v>-40566630.433415323</v>
      </c>
      <c r="T16" s="10"/>
      <c r="U16" s="10"/>
    </row>
    <row r="17" spans="1:21" ht="18.95" customHeight="1" x14ac:dyDescent="0.2">
      <c r="A17" s="11"/>
      <c r="B17" s="9"/>
      <c r="C17" s="12"/>
      <c r="D17" s="10"/>
      <c r="E17" s="34"/>
      <c r="F17" s="10"/>
      <c r="G17" s="10"/>
      <c r="H17" s="10"/>
      <c r="I17" s="33"/>
      <c r="J17" s="34"/>
      <c r="K17" s="33"/>
      <c r="L17" s="34"/>
      <c r="M17" s="34"/>
      <c r="N17" s="10"/>
      <c r="P17" s="33"/>
      <c r="Q17" s="10"/>
      <c r="R17" s="10"/>
      <c r="S17" s="10"/>
      <c r="T17" s="10"/>
      <c r="U17" s="10"/>
    </row>
    <row r="18" spans="1:21" ht="18.95" customHeight="1" x14ac:dyDescent="0.2">
      <c r="A18" s="11">
        <v>2</v>
      </c>
      <c r="B18" s="9" t="s">
        <v>42</v>
      </c>
      <c r="C18" s="12" t="s">
        <v>43</v>
      </c>
      <c r="D18" s="10">
        <v>1790485620.5170054</v>
      </c>
      <c r="E18" s="35">
        <f>E$16</f>
        <v>0.82679999999999998</v>
      </c>
      <c r="F18" s="10">
        <f>D18*E18</f>
        <v>1480373511.0434601</v>
      </c>
      <c r="G18" s="10">
        <f>S18</f>
        <v>-455477345.35689574</v>
      </c>
      <c r="H18" s="10">
        <f>SUM(F18:G18)</f>
        <v>1024896165.6865644</v>
      </c>
      <c r="I18" s="33">
        <f>H18/H$22</f>
        <v>0.42912203130581406</v>
      </c>
      <c r="J18" s="35">
        <v>4.1167863220251344E-2</v>
      </c>
      <c r="K18" s="33">
        <f>I18*J18</f>
        <v>1.7666037089594168E-2</v>
      </c>
      <c r="L18" s="33"/>
      <c r="M18" s="33">
        <f>SUM(K18:L18)</f>
        <v>1.7666037089594168E-2</v>
      </c>
      <c r="P18" s="33">
        <v>0.42912203130581406</v>
      </c>
      <c r="Q18" s="10">
        <v>-446724395.85850346</v>
      </c>
      <c r="R18" s="10">
        <f>P18*R$22</f>
        <v>-8752949.49839231</v>
      </c>
      <c r="S18" s="10">
        <f>SUM(Q18:R18)</f>
        <v>-455477345.35689574</v>
      </c>
      <c r="T18" s="10"/>
      <c r="U18" s="10"/>
    </row>
    <row r="19" spans="1:21" ht="18.95" customHeight="1" x14ac:dyDescent="0.2">
      <c r="A19" s="11"/>
      <c r="B19" s="9"/>
      <c r="C19" s="12"/>
      <c r="D19" s="36"/>
      <c r="E19" s="38"/>
      <c r="F19" s="36"/>
      <c r="G19" s="36"/>
      <c r="H19" s="36"/>
      <c r="I19" s="37"/>
      <c r="J19" s="38"/>
      <c r="K19" s="37"/>
      <c r="L19" s="37"/>
      <c r="M19" s="37"/>
      <c r="N19" s="36"/>
      <c r="P19" s="37"/>
      <c r="Q19" s="36"/>
      <c r="R19" s="36"/>
      <c r="S19" s="36"/>
      <c r="T19" s="36"/>
      <c r="U19" s="36"/>
    </row>
    <row r="20" spans="1:21" ht="18.95" customHeight="1" x14ac:dyDescent="0.2">
      <c r="A20" s="11">
        <v>3</v>
      </c>
      <c r="B20" s="9" t="s">
        <v>44</v>
      </c>
      <c r="C20" s="12"/>
      <c r="D20" s="49">
        <v>2222485866.0825648</v>
      </c>
      <c r="E20" s="35">
        <f>E$16</f>
        <v>0.82679999999999998</v>
      </c>
      <c r="F20" s="16">
        <f>D20*E20</f>
        <v>1837551314.0770645</v>
      </c>
      <c r="G20" s="16">
        <f>S20</f>
        <v>-565372852.35734379</v>
      </c>
      <c r="H20" s="16">
        <f>SUM(F20:G20)</f>
        <v>1272178461.7197208</v>
      </c>
      <c r="I20" s="39">
        <f>H20/H$22</f>
        <v>0.53265864772844373</v>
      </c>
      <c r="J20" s="33">
        <v>9.7000000000000003E-2</v>
      </c>
      <c r="K20" s="39">
        <f>I20*J20</f>
        <v>5.1667888829659045E-2</v>
      </c>
      <c r="L20" s="39">
        <f>K20*(L13/(1-L13))</f>
        <v>3.2553754391143601E-2</v>
      </c>
      <c r="M20" s="39">
        <f>SUM(K20:L20)</f>
        <v>8.4221643220802639E-2</v>
      </c>
      <c r="N20" s="10"/>
      <c r="P20" s="33">
        <v>0.53265864772844373</v>
      </c>
      <c r="Q20" s="16">
        <v>-554508030.92353964</v>
      </c>
      <c r="R20" s="16">
        <f>P20*R$22</f>
        <v>-10864821.433804207</v>
      </c>
      <c r="S20" s="16">
        <f>SUM(Q20:R20)</f>
        <v>-565372852.35734379</v>
      </c>
      <c r="T20" s="10"/>
      <c r="U20" s="10"/>
    </row>
    <row r="21" spans="1:21" ht="18.95" customHeight="1" x14ac:dyDescent="0.2">
      <c r="A21" s="11"/>
      <c r="B21" s="9"/>
      <c r="C21" s="12"/>
      <c r="D21" s="10"/>
      <c r="E21" s="34"/>
      <c r="F21" s="10"/>
      <c r="G21" s="10"/>
      <c r="H21" s="10"/>
      <c r="I21" s="33"/>
      <c r="J21" s="34"/>
      <c r="K21" s="33"/>
      <c r="L21" s="33"/>
      <c r="M21" s="33"/>
      <c r="N21" s="10"/>
      <c r="P21" s="34"/>
      <c r="Q21" s="10"/>
      <c r="R21" s="10"/>
      <c r="S21" s="10"/>
      <c r="T21" s="10"/>
      <c r="U21" s="10"/>
    </row>
    <row r="22" spans="1:21" ht="18.95" customHeight="1" thickBot="1" x14ac:dyDescent="0.25">
      <c r="A22" s="11">
        <v>4</v>
      </c>
      <c r="B22" s="9" t="s">
        <v>45</v>
      </c>
      <c r="C22" s="12"/>
      <c r="D22" s="17">
        <f>SUM(D16:D20)</f>
        <v>4172439282.7573447</v>
      </c>
      <c r="E22" s="34"/>
      <c r="F22" s="17">
        <f>SUM(F16:F20)</f>
        <v>3449772798.9837723</v>
      </c>
      <c r="G22" s="17">
        <f>SUM(G16:G20)</f>
        <v>-1061416828.1476549</v>
      </c>
      <c r="H22" s="17">
        <f>SUM(H16:H20)</f>
        <v>2388355970.8361177</v>
      </c>
      <c r="I22" s="40">
        <f>SUM(I16:I20)</f>
        <v>1</v>
      </c>
      <c r="J22" s="34"/>
      <c r="K22" s="40">
        <f>SUM(K16:K20)</f>
        <v>6.9607909640703833E-2</v>
      </c>
      <c r="L22" s="40">
        <f t="shared" ref="L22:M22" si="0">SUM(L16:L20)</f>
        <v>3.2553754391143601E-2</v>
      </c>
      <c r="M22" s="40">
        <f t="shared" si="0"/>
        <v>0.10216166403184743</v>
      </c>
      <c r="N22" s="10"/>
      <c r="P22" s="33">
        <v>1</v>
      </c>
      <c r="Q22" s="17">
        <f>SUM(Q16:Q20)</f>
        <v>-1041019484.5953858</v>
      </c>
      <c r="R22" s="17">
        <f>R24+R25</f>
        <v>-20397343.552269205</v>
      </c>
      <c r="S22" s="17">
        <f>SUM(S16:S20)</f>
        <v>-1061416828.1476549</v>
      </c>
      <c r="T22" s="10"/>
      <c r="U22" s="10"/>
    </row>
    <row r="23" spans="1:21" ht="18.95" customHeight="1" thickTop="1" x14ac:dyDescent="0.2">
      <c r="A23" s="11"/>
      <c r="B23" s="9"/>
      <c r="C23" s="1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Q23" s="41"/>
      <c r="R23" s="41"/>
      <c r="S23" s="41"/>
      <c r="T23" s="41"/>
      <c r="U23" s="41"/>
    </row>
    <row r="24" spans="1:21" s="3" customFormat="1" ht="20.100000000000001" customHeight="1" x14ac:dyDescent="0.2">
      <c r="A24" s="179" t="str">
        <f>A1</f>
        <v>LOUISVILLE GAS AND ELECTRIC COMPANY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46"/>
      <c r="M24" s="46"/>
      <c r="N24" s="31"/>
      <c r="R24" s="10">
        <v>-3659428.2952692062</v>
      </c>
      <c r="S24" s="3" t="s">
        <v>59</v>
      </c>
    </row>
    <row r="25" spans="1:21" s="3" customFormat="1" ht="20.100000000000001" customHeight="1" x14ac:dyDescent="0.2">
      <c r="A25" s="179" t="str">
        <f>A2</f>
        <v>CASE NO. 2016-00371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46"/>
      <c r="M25" s="46"/>
      <c r="N25" s="31"/>
      <c r="R25" s="10">
        <v>-16737915.256999999</v>
      </c>
      <c r="S25" s="3" t="s">
        <v>58</v>
      </c>
    </row>
    <row r="26" spans="1:21" s="3" customFormat="1" ht="20.100000000000001" customHeight="1" x14ac:dyDescent="0.2">
      <c r="A26" s="179" t="str">
        <f>A3</f>
        <v>COST OF CAPITAL SUMMARY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46"/>
      <c r="M26" s="46"/>
      <c r="N26" s="31"/>
      <c r="R26" s="10"/>
    </row>
    <row r="27" spans="1:21" s="3" customFormat="1" ht="20.100000000000001" customHeight="1" x14ac:dyDescent="0.2">
      <c r="A27" s="179" t="str">
        <f>A4</f>
        <v>THIRTEEN MONTH AVERAGE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46"/>
      <c r="M27" s="46"/>
      <c r="N27" s="31"/>
      <c r="R27" s="10"/>
    </row>
    <row r="28" spans="1:21" s="3" customFormat="1" ht="20.100000000000001" customHeight="1" x14ac:dyDescent="0.2">
      <c r="A28" s="179" t="str">
        <f>A5</f>
        <v>FROM JULY 1, 2017 TO JUNE 30, 2018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46"/>
      <c r="M28" s="46"/>
      <c r="N28" s="31"/>
      <c r="R28" s="10"/>
    </row>
    <row r="29" spans="1:21" s="3" customFormat="1" ht="20.100000000000001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21" s="3" customFormat="1" ht="20.100000000000001" customHeight="1" x14ac:dyDescent="0.2">
      <c r="A30" s="4" t="str">
        <f>A7</f>
        <v>DATA:____BASE  PERIOD__X__FORECASTED  PERIOD</v>
      </c>
      <c r="K30" s="5"/>
      <c r="L30" s="5"/>
      <c r="M30" s="5"/>
    </row>
    <row r="31" spans="1:21" s="3" customFormat="1" ht="20.100000000000001" customHeight="1" x14ac:dyDescent="0.2">
      <c r="A31" s="4" t="str">
        <f>A8</f>
        <v>DATE OF CAPITAL STRUCTURE: 13 MO AVG FOR FORECASTED  PERIOD</v>
      </c>
      <c r="K31" s="5" t="s">
        <v>56</v>
      </c>
      <c r="L31" s="5"/>
      <c r="M31" s="5"/>
    </row>
    <row r="32" spans="1:21" s="3" customFormat="1" ht="20.100000000000001" customHeight="1" x14ac:dyDescent="0.2">
      <c r="A32" s="3" t="str">
        <f>A9</f>
        <v>TYPE OF FILING: _____ ORIGINAL  _____ UPDATED  __X__ REVISED</v>
      </c>
      <c r="K32" s="5" t="s">
        <v>109</v>
      </c>
      <c r="L32" s="5"/>
      <c r="M32" s="5"/>
    </row>
    <row r="33" spans="1:21" s="3" customFormat="1" ht="20.100000000000001" customHeight="1" x14ac:dyDescent="0.2">
      <c r="A33" s="4" t="str">
        <f>A10</f>
        <v xml:space="preserve">WORKPAPER REFERENCE NO(S).: </v>
      </c>
      <c r="K33" s="6" t="str">
        <f>K10</f>
        <v>WITNESS:   D. K. ARBOUGH</v>
      </c>
      <c r="L33" s="6"/>
      <c r="M33" s="6"/>
    </row>
    <row r="34" spans="1:21" s="3" customFormat="1" ht="20.100000000000001" customHeight="1" x14ac:dyDescent="0.2"/>
    <row r="35" spans="1:21" ht="66" customHeight="1" x14ac:dyDescent="0.2">
      <c r="A35" s="15" t="s">
        <v>4</v>
      </c>
      <c r="B35" s="15" t="s">
        <v>28</v>
      </c>
      <c r="C35" s="15" t="s">
        <v>29</v>
      </c>
      <c r="D35" s="15" t="s">
        <v>57</v>
      </c>
      <c r="E35" s="15" t="s">
        <v>46</v>
      </c>
      <c r="F35" s="15" t="s">
        <v>49</v>
      </c>
      <c r="G35" s="15" t="s">
        <v>30</v>
      </c>
      <c r="H35" s="15" t="s">
        <v>47</v>
      </c>
      <c r="I35" s="15" t="s">
        <v>31</v>
      </c>
      <c r="J35" s="15" t="s">
        <v>32</v>
      </c>
      <c r="K35" s="15" t="s">
        <v>33</v>
      </c>
      <c r="L35" s="15" t="s">
        <v>61</v>
      </c>
      <c r="M35" s="15" t="s">
        <v>62</v>
      </c>
      <c r="N35" s="12"/>
    </row>
    <row r="36" spans="1:21" ht="18.95" customHeight="1" x14ac:dyDescent="0.2">
      <c r="A36" s="8"/>
      <c r="B36" s="32" t="s">
        <v>34</v>
      </c>
      <c r="C36" s="32" t="s">
        <v>35</v>
      </c>
      <c r="D36" s="32" t="s">
        <v>36</v>
      </c>
      <c r="E36" s="32" t="s">
        <v>37</v>
      </c>
      <c r="F36" s="32" t="s">
        <v>95</v>
      </c>
      <c r="G36" s="32" t="s">
        <v>38</v>
      </c>
      <c r="H36" s="32" t="s">
        <v>96</v>
      </c>
      <c r="I36" s="32" t="s">
        <v>48</v>
      </c>
      <c r="J36" s="32" t="s">
        <v>97</v>
      </c>
      <c r="K36" s="32" t="s">
        <v>98</v>
      </c>
      <c r="L36" s="47">
        <f>'SCH H-1 (ORDER)'!E24+'SCH H-1 (ORDER)'!E30</f>
        <v>0.38652480699999997</v>
      </c>
      <c r="M36" s="47"/>
      <c r="N36" s="32"/>
    </row>
    <row r="37" spans="1:21" ht="18.95" customHeight="1" x14ac:dyDescent="0.2">
      <c r="A37" s="8"/>
      <c r="B37" s="13"/>
      <c r="C37" s="13"/>
      <c r="D37" s="14" t="s">
        <v>5</v>
      </c>
      <c r="E37" s="14" t="s">
        <v>39</v>
      </c>
      <c r="F37" s="14" t="s">
        <v>5</v>
      </c>
      <c r="G37" s="14" t="s">
        <v>5</v>
      </c>
      <c r="H37" s="14" t="s">
        <v>5</v>
      </c>
      <c r="I37" s="14"/>
      <c r="J37" s="14" t="s">
        <v>39</v>
      </c>
      <c r="K37" s="14" t="s">
        <v>39</v>
      </c>
      <c r="L37" s="14" t="s">
        <v>39</v>
      </c>
      <c r="M37" s="14" t="s">
        <v>39</v>
      </c>
      <c r="N37" s="14"/>
    </row>
    <row r="38" spans="1:21" ht="18.95" customHeight="1" x14ac:dyDescent="0.2">
      <c r="A38" s="11"/>
      <c r="B38" s="9" t="s">
        <v>110</v>
      </c>
      <c r="C38" s="12"/>
      <c r="D38" s="10"/>
      <c r="E38" s="10"/>
      <c r="F38" s="10"/>
      <c r="G38" s="10"/>
      <c r="H38" s="10"/>
      <c r="I38" s="10"/>
      <c r="J38" s="10"/>
      <c r="K38" s="10"/>
      <c r="L38" s="10"/>
      <c r="N38" s="10"/>
      <c r="Q38" s="3"/>
      <c r="R38" s="42"/>
      <c r="S38" s="42"/>
      <c r="T38" s="42"/>
      <c r="U38" s="42"/>
    </row>
    <row r="39" spans="1:21" ht="18.95" customHeight="1" x14ac:dyDescent="0.2">
      <c r="A39" s="11">
        <v>1</v>
      </c>
      <c r="B39" s="9" t="s">
        <v>40</v>
      </c>
      <c r="C39" s="12" t="s">
        <v>41</v>
      </c>
      <c r="D39" s="10">
        <f>D16</f>
        <v>159467796.15777439</v>
      </c>
      <c r="E39" s="33">
        <v>0.17319999999999999</v>
      </c>
      <c r="F39" s="10">
        <f>D39*E39</f>
        <v>27619822.294526525</v>
      </c>
      <c r="G39" s="10">
        <v>-762132.05012225616</v>
      </c>
      <c r="H39" s="10">
        <f>SUM(F39:G39)</f>
        <v>26857690.244404268</v>
      </c>
      <c r="I39" s="33">
        <f>H39/H$45</f>
        <v>3.8219320965742265E-2</v>
      </c>
      <c r="J39" s="33">
        <f>J16</f>
        <v>7.1687229005509669E-3</v>
      </c>
      <c r="K39" s="33">
        <f>I39*J39</f>
        <v>2.7398372145062428E-4</v>
      </c>
      <c r="L39" s="33"/>
      <c r="M39" s="33">
        <f>SUM(K39:L39)</f>
        <v>2.7398372145062428E-4</v>
      </c>
      <c r="N39" s="10"/>
      <c r="P39" s="33"/>
      <c r="Q39" s="10"/>
      <c r="R39" s="10"/>
      <c r="S39" s="10"/>
      <c r="T39" s="10"/>
      <c r="U39" s="10"/>
    </row>
    <row r="40" spans="1:21" ht="18.95" customHeight="1" x14ac:dyDescent="0.2">
      <c r="A40" s="11"/>
      <c r="B40" s="9"/>
      <c r="C40" s="12"/>
      <c r="D40" s="10"/>
      <c r="E40" s="34"/>
      <c r="F40" s="10"/>
      <c r="G40" s="10"/>
      <c r="H40" s="10"/>
      <c r="I40" s="33"/>
      <c r="J40" s="34"/>
      <c r="K40" s="33"/>
      <c r="L40" s="34"/>
      <c r="M40" s="34"/>
      <c r="N40" s="10"/>
      <c r="P40" s="33"/>
      <c r="Q40" s="10"/>
      <c r="R40" s="10"/>
      <c r="S40" s="10"/>
      <c r="T40" s="10"/>
      <c r="U40" s="10"/>
    </row>
    <row r="41" spans="1:21" ht="18.95" customHeight="1" x14ac:dyDescent="0.2">
      <c r="A41" s="11">
        <v>2</v>
      </c>
      <c r="B41" s="9" t="s">
        <v>42</v>
      </c>
      <c r="C41" s="12" t="s">
        <v>43</v>
      </c>
      <c r="D41" s="10">
        <f>D18</f>
        <v>1790485620.5170054</v>
      </c>
      <c r="E41" s="35">
        <f>E$39</f>
        <v>0.17319999999999999</v>
      </c>
      <c r="F41" s="10">
        <f>D41*E41</f>
        <v>310112109.47354531</v>
      </c>
      <c r="G41" s="10">
        <v>-8557128.8345199786</v>
      </c>
      <c r="H41" s="10">
        <f>SUM(F41:G41)</f>
        <v>301554980.63902533</v>
      </c>
      <c r="I41" s="33">
        <f>H41/H$45</f>
        <v>0.429122031305814</v>
      </c>
      <c r="J41" s="35">
        <f>J18</f>
        <v>4.1167863220251344E-2</v>
      </c>
      <c r="K41" s="33">
        <f>I41*J41</f>
        <v>1.7666037089594164E-2</v>
      </c>
      <c r="L41" s="33"/>
      <c r="M41" s="33">
        <f>SUM(K41:L41)</f>
        <v>1.7666037089594164E-2</v>
      </c>
      <c r="P41" s="33"/>
      <c r="Q41" s="10"/>
      <c r="R41" s="10"/>
      <c r="S41" s="10"/>
      <c r="T41" s="10"/>
      <c r="U41" s="10"/>
    </row>
    <row r="42" spans="1:21" ht="18.95" customHeight="1" x14ac:dyDescent="0.2">
      <c r="A42" s="11"/>
      <c r="B42" s="9"/>
      <c r="C42" s="12"/>
      <c r="D42" s="36"/>
      <c r="E42" s="38"/>
      <c r="F42" s="36"/>
      <c r="G42" s="36"/>
      <c r="H42" s="36"/>
      <c r="I42" s="37"/>
      <c r="J42" s="38"/>
      <c r="K42" s="37"/>
      <c r="L42" s="37"/>
      <c r="M42" s="37"/>
      <c r="N42" s="36"/>
      <c r="P42" s="37"/>
      <c r="Q42" s="36"/>
      <c r="R42" s="36"/>
      <c r="S42" s="36"/>
      <c r="T42" s="36"/>
      <c r="U42" s="36"/>
    </row>
    <row r="43" spans="1:21" ht="18.95" customHeight="1" x14ac:dyDescent="0.2">
      <c r="A43" s="11">
        <v>3</v>
      </c>
      <c r="B43" s="9" t="s">
        <v>44</v>
      </c>
      <c r="C43" s="12"/>
      <c r="D43" s="49">
        <f>D20</f>
        <v>2222485866.0825648</v>
      </c>
      <c r="E43" s="35">
        <f>E$39</f>
        <v>0.17319999999999999</v>
      </c>
      <c r="F43" s="16">
        <f>D43*E43</f>
        <v>384934552.0055002</v>
      </c>
      <c r="G43" s="16">
        <v>-10621754.048757298</v>
      </c>
      <c r="H43" s="16">
        <f>SUM(F43:G43)</f>
        <v>374312797.95674288</v>
      </c>
      <c r="I43" s="39">
        <f>H43/H$45</f>
        <v>0.53265864772844362</v>
      </c>
      <c r="J43" s="33">
        <v>9.7000000000000003E-2</v>
      </c>
      <c r="K43" s="39">
        <f>I43*J43</f>
        <v>5.1667888829659031E-2</v>
      </c>
      <c r="L43" s="39">
        <f>K43*(L36/(1-L36))</f>
        <v>3.2553754391143594E-2</v>
      </c>
      <c r="M43" s="39">
        <f>SUM(K43:L43)</f>
        <v>8.4221643220802625E-2</v>
      </c>
      <c r="N43" s="10"/>
      <c r="P43" s="33"/>
      <c r="Q43" s="10"/>
      <c r="R43" s="10"/>
      <c r="S43" s="10"/>
      <c r="T43" s="10"/>
      <c r="U43" s="10"/>
    </row>
    <row r="44" spans="1:21" ht="18.95" customHeight="1" x14ac:dyDescent="0.2">
      <c r="A44" s="11"/>
      <c r="B44" s="9"/>
      <c r="C44" s="12"/>
      <c r="D44" s="10"/>
      <c r="E44" s="34"/>
      <c r="F44" s="10"/>
      <c r="G44" s="10"/>
      <c r="H44" s="10"/>
      <c r="I44" s="33"/>
      <c r="J44" s="34"/>
      <c r="K44" s="33"/>
      <c r="L44" s="33"/>
      <c r="M44" s="33"/>
      <c r="N44" s="10"/>
      <c r="P44" s="34"/>
      <c r="Q44" s="10"/>
      <c r="R44" s="10"/>
      <c r="S44" s="10"/>
      <c r="T44" s="10"/>
      <c r="U44" s="10"/>
    </row>
    <row r="45" spans="1:21" ht="18.95" customHeight="1" thickBot="1" x14ac:dyDescent="0.25">
      <c r="A45" s="11">
        <v>4</v>
      </c>
      <c r="B45" s="9" t="s">
        <v>45</v>
      </c>
      <c r="C45" s="12"/>
      <c r="D45" s="17">
        <f>SUM(D39:D43)</f>
        <v>4172439282.7573447</v>
      </c>
      <c r="E45" s="34"/>
      <c r="F45" s="17">
        <f>SUM(F39:F43)</f>
        <v>722666483.77357197</v>
      </c>
      <c r="G45" s="17">
        <f>SUM(G39:G43)</f>
        <v>-19941014.933399532</v>
      </c>
      <c r="H45" s="17">
        <f>SUM(H39:H43)</f>
        <v>702725468.84017253</v>
      </c>
      <c r="I45" s="40">
        <f>SUM(I39:I43)</f>
        <v>0.99999999999999989</v>
      </c>
      <c r="J45" s="34"/>
      <c r="K45" s="40">
        <f>SUM(K39:K43)</f>
        <v>6.9607909640703819E-2</v>
      </c>
      <c r="L45" s="40">
        <f t="shared" ref="L45:M45" si="1">SUM(L39:L43)</f>
        <v>3.2553754391143594E-2</v>
      </c>
      <c r="M45" s="40">
        <f t="shared" si="1"/>
        <v>0.10216166403184741</v>
      </c>
      <c r="N45" s="10"/>
      <c r="P45" s="33"/>
      <c r="Q45" s="10"/>
      <c r="R45" s="10"/>
      <c r="S45" s="10"/>
      <c r="T45" s="10"/>
      <c r="U45" s="10"/>
    </row>
    <row r="46" spans="1:21" ht="18.95" customHeight="1" thickTop="1" x14ac:dyDescent="0.2">
      <c r="A46" s="11"/>
      <c r="B46" s="9"/>
      <c r="C46" s="1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Q46" s="41"/>
      <c r="R46" s="41"/>
      <c r="S46" s="41"/>
      <c r="T46" s="41"/>
      <c r="U46" s="41"/>
    </row>
    <row r="47" spans="1:21" ht="18.95" customHeight="1" x14ac:dyDescent="0.2">
      <c r="A47" s="11"/>
      <c r="B47" s="4"/>
      <c r="C47" s="12"/>
    </row>
    <row r="48" spans="1:21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</sheetData>
  <mergeCells count="10">
    <mergeCell ref="A1:K1"/>
    <mergeCell ref="A2:K2"/>
    <mergeCell ref="A3:K3"/>
    <mergeCell ref="A4:K4"/>
    <mergeCell ref="A5:K5"/>
    <mergeCell ref="A24:K24"/>
    <mergeCell ref="A25:K25"/>
    <mergeCell ref="A26:K26"/>
    <mergeCell ref="A27:K27"/>
    <mergeCell ref="A28:K28"/>
  </mergeCells>
  <pageMargins left="0.95" right="0.5" top="0.75" bottom="0.75" header="0.3" footer="0.3"/>
  <pageSetup scale="61" fitToHeight="0" orientation="landscape" r:id="rId1"/>
  <rowBreaks count="2" manualBreakCount="2">
    <brk id="23" max="12" man="1"/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E30" sqref="E30"/>
    </sheetView>
  </sheetViews>
  <sheetFormatPr defaultRowHeight="12.75" x14ac:dyDescent="0.2"/>
  <cols>
    <col min="1" max="1" width="6.85546875" style="7" customWidth="1"/>
    <col min="2" max="2" width="59.42578125" style="7" customWidth="1"/>
    <col min="3" max="3" width="14.42578125" style="7" customWidth="1"/>
    <col min="4" max="4" width="18.85546875" style="7" customWidth="1"/>
    <col min="5" max="5" width="15.7109375" style="7" customWidth="1"/>
    <col min="6" max="6" width="1.85546875" style="7" customWidth="1"/>
    <col min="7" max="16384" width="9.140625" style="7"/>
  </cols>
  <sheetData>
    <row r="1" spans="1:5" s="3" customFormat="1" ht="20.100000000000001" customHeight="1" x14ac:dyDescent="0.2">
      <c r="A1" s="178" t="s">
        <v>99</v>
      </c>
      <c r="B1" s="179"/>
      <c r="C1" s="179"/>
      <c r="D1" s="179"/>
      <c r="E1" s="179"/>
    </row>
    <row r="2" spans="1:5" s="3" customFormat="1" ht="20.100000000000001" customHeight="1" x14ac:dyDescent="0.2">
      <c r="A2" s="178" t="s">
        <v>107</v>
      </c>
      <c r="B2" s="179"/>
      <c r="C2" s="179"/>
      <c r="D2" s="179"/>
      <c r="E2" s="179"/>
    </row>
    <row r="3" spans="1:5" s="3" customFormat="1" ht="20.100000000000001" customHeight="1" x14ac:dyDescent="0.2">
      <c r="A3" s="179" t="s">
        <v>10</v>
      </c>
      <c r="B3" s="179"/>
      <c r="C3" s="179"/>
      <c r="D3" s="179"/>
      <c r="E3" s="179"/>
    </row>
    <row r="4" spans="1:5" s="3" customFormat="1" ht="20.100000000000001" customHeight="1" x14ac:dyDescent="0.2">
      <c r="A4" s="178" t="s">
        <v>50</v>
      </c>
      <c r="B4" s="179"/>
      <c r="C4" s="179"/>
      <c r="D4" s="179"/>
      <c r="E4" s="179"/>
    </row>
    <row r="5" spans="1:5" s="3" customFormat="1" ht="20.100000000000001" customHeight="1" x14ac:dyDescent="0.2">
      <c r="A5" s="178" t="s">
        <v>66</v>
      </c>
      <c r="B5" s="179"/>
      <c r="C5" s="179"/>
      <c r="D5" s="179"/>
      <c r="E5" s="179"/>
    </row>
    <row r="6" spans="1:5" s="3" customFormat="1" ht="20.100000000000001" customHeight="1" x14ac:dyDescent="0.2">
      <c r="A6" s="45"/>
      <c r="B6" s="45"/>
      <c r="C6" s="45"/>
      <c r="D6" s="45"/>
      <c r="E6" s="45"/>
    </row>
    <row r="7" spans="1:5" s="3" customFormat="1" ht="20.100000000000001" customHeight="1" x14ac:dyDescent="0.2">
      <c r="A7" s="4" t="s">
        <v>6</v>
      </c>
      <c r="E7" s="5" t="s">
        <v>11</v>
      </c>
    </row>
    <row r="8" spans="1:5" s="3" customFormat="1" ht="20.100000000000001" customHeight="1" x14ac:dyDescent="0.2">
      <c r="A8" s="2" t="s">
        <v>0</v>
      </c>
      <c r="E8" s="5" t="s">
        <v>7</v>
      </c>
    </row>
    <row r="9" spans="1:5" s="3" customFormat="1" ht="20.100000000000001" customHeight="1" x14ac:dyDescent="0.2">
      <c r="A9" s="4" t="s">
        <v>25</v>
      </c>
      <c r="D9" s="4"/>
      <c r="E9" s="6" t="s">
        <v>51</v>
      </c>
    </row>
    <row r="10" spans="1:5" s="3" customFormat="1" ht="18.95" customHeight="1" x14ac:dyDescent="0.2"/>
    <row r="11" spans="1:5" s="3" customFormat="1" ht="30" customHeight="1" x14ac:dyDescent="0.2">
      <c r="A11" s="24"/>
      <c r="B11" s="24"/>
      <c r="C11" s="24"/>
      <c r="D11" s="191" t="s">
        <v>12</v>
      </c>
      <c r="E11" s="191"/>
    </row>
    <row r="12" spans="1:5" ht="24" customHeight="1" x14ac:dyDescent="0.2">
      <c r="A12" s="25" t="s">
        <v>4</v>
      </c>
      <c r="B12" s="25" t="s">
        <v>1</v>
      </c>
      <c r="C12" s="25"/>
      <c r="D12" s="25" t="s">
        <v>2</v>
      </c>
      <c r="E12" s="25" t="s">
        <v>13</v>
      </c>
    </row>
    <row r="13" spans="1:5" ht="18.95" customHeight="1" x14ac:dyDescent="0.2">
      <c r="A13" s="8"/>
      <c r="B13" s="13"/>
      <c r="C13" s="14"/>
      <c r="D13" s="14"/>
      <c r="E13" s="14"/>
    </row>
    <row r="14" spans="1:5" ht="18.95" customHeight="1" x14ac:dyDescent="0.2">
      <c r="A14" s="8">
        <v>1</v>
      </c>
      <c r="B14" s="9" t="s">
        <v>14</v>
      </c>
      <c r="C14" s="10"/>
      <c r="D14" s="26">
        <v>1</v>
      </c>
      <c r="E14" s="26">
        <v>1</v>
      </c>
    </row>
    <row r="15" spans="1:5" ht="18.95" customHeight="1" x14ac:dyDescent="0.2">
      <c r="A15" s="11"/>
      <c r="B15" s="9"/>
      <c r="C15" s="10"/>
      <c r="D15" s="26"/>
      <c r="E15" s="26"/>
    </row>
    <row r="16" spans="1:5" ht="18.95" customHeight="1" x14ac:dyDescent="0.2">
      <c r="A16" s="11">
        <v>2</v>
      </c>
      <c r="B16" s="9" t="s">
        <v>15</v>
      </c>
      <c r="C16" s="10"/>
      <c r="D16" s="26">
        <v>1.9400000000000001E-3</v>
      </c>
      <c r="E16" s="26">
        <f>D16</f>
        <v>1.9400000000000001E-3</v>
      </c>
    </row>
    <row r="17" spans="1:5" ht="18.95" customHeight="1" x14ac:dyDescent="0.2">
      <c r="A17" s="11"/>
      <c r="B17" s="9"/>
      <c r="C17" s="10"/>
      <c r="D17" s="26"/>
      <c r="E17" s="26"/>
    </row>
    <row r="18" spans="1:5" ht="18.95" customHeight="1" x14ac:dyDescent="0.2">
      <c r="A18" s="11">
        <v>3</v>
      </c>
      <c r="B18" s="9" t="s">
        <v>16</v>
      </c>
      <c r="D18" s="26">
        <v>1.941E-3</v>
      </c>
      <c r="E18" s="26">
        <f>D18</f>
        <v>1.941E-3</v>
      </c>
    </row>
    <row r="19" spans="1:5" ht="18.95" customHeight="1" x14ac:dyDescent="0.2">
      <c r="A19" s="11"/>
      <c r="B19" s="19"/>
      <c r="C19" s="10"/>
      <c r="D19" s="26"/>
      <c r="E19" s="26"/>
    </row>
    <row r="20" spans="1:5" ht="18.95" customHeight="1" x14ac:dyDescent="0.2">
      <c r="A20" s="11">
        <v>4</v>
      </c>
      <c r="B20" s="9" t="s">
        <v>17</v>
      </c>
      <c r="D20" s="27">
        <v>2.4756E-2</v>
      </c>
      <c r="E20" s="27"/>
    </row>
    <row r="21" spans="1:5" ht="18.95" customHeight="1" x14ac:dyDescent="0.2">
      <c r="A21" s="11"/>
      <c r="B21" s="18"/>
      <c r="D21" s="26"/>
      <c r="E21" s="26"/>
    </row>
    <row r="22" spans="1:5" ht="18.95" customHeight="1" x14ac:dyDescent="0.2">
      <c r="A22" s="11">
        <v>5</v>
      </c>
      <c r="B22" s="9" t="s">
        <v>18</v>
      </c>
      <c r="C22" s="10"/>
      <c r="D22" s="26">
        <f>D14-D16-D18-D20</f>
        <v>0.97136299999999998</v>
      </c>
      <c r="E22" s="26">
        <f>E14-E16-E18-E20</f>
        <v>0.99611899999999998</v>
      </c>
    </row>
    <row r="23" spans="1:5" ht="18.95" customHeight="1" x14ac:dyDescent="0.2">
      <c r="A23" s="11"/>
      <c r="B23" s="1"/>
      <c r="C23" s="10"/>
      <c r="D23" s="26"/>
      <c r="E23" s="26"/>
    </row>
    <row r="24" spans="1:5" ht="18.95" customHeight="1" x14ac:dyDescent="0.2">
      <c r="A24" s="11">
        <v>6</v>
      </c>
      <c r="B24" s="1" t="s">
        <v>19</v>
      </c>
      <c r="C24" s="22">
        <v>0.06</v>
      </c>
      <c r="D24" s="26">
        <f>D22*C24</f>
        <v>5.8281779999999998E-2</v>
      </c>
      <c r="E24" s="26">
        <f>D24</f>
        <v>5.8281779999999998E-2</v>
      </c>
    </row>
    <row r="25" spans="1:5" ht="18.95" customHeight="1" x14ac:dyDescent="0.2">
      <c r="A25" s="11"/>
      <c r="B25" s="1"/>
      <c r="C25" s="10"/>
      <c r="D25" s="26"/>
      <c r="E25" s="26"/>
    </row>
    <row r="26" spans="1:5" ht="18.95" customHeight="1" x14ac:dyDescent="0.2">
      <c r="A26" s="11">
        <v>7</v>
      </c>
      <c r="B26" s="9" t="s">
        <v>20</v>
      </c>
      <c r="C26" s="10"/>
      <c r="D26" s="26"/>
      <c r="E26" s="27">
        <v>0</v>
      </c>
    </row>
    <row r="27" spans="1:5" ht="18.95" customHeight="1" x14ac:dyDescent="0.2">
      <c r="A27" s="11"/>
      <c r="B27" s="1"/>
      <c r="C27" s="10"/>
      <c r="D27" s="26"/>
      <c r="E27" s="26"/>
    </row>
    <row r="28" spans="1:5" ht="18.95" customHeight="1" x14ac:dyDescent="0.2">
      <c r="A28" s="11">
        <v>8</v>
      </c>
      <c r="B28" s="9" t="s">
        <v>21</v>
      </c>
      <c r="D28" s="26"/>
      <c r="E28" s="26">
        <f>E22-E24-E26</f>
        <v>0.93783722000000003</v>
      </c>
    </row>
    <row r="29" spans="1:5" ht="18.95" customHeight="1" x14ac:dyDescent="0.2">
      <c r="A29" s="11"/>
      <c r="B29" s="20"/>
      <c r="C29" s="10"/>
      <c r="D29" s="26"/>
      <c r="E29" s="26"/>
    </row>
    <row r="30" spans="1:5" ht="18.95" customHeight="1" x14ac:dyDescent="0.2">
      <c r="A30" s="11">
        <v>9</v>
      </c>
      <c r="B30" s="1" t="s">
        <v>22</v>
      </c>
      <c r="C30" s="22">
        <v>0.35</v>
      </c>
      <c r="D30" s="28"/>
      <c r="E30" s="27">
        <f>E28*C30</f>
        <v>0.32824302699999997</v>
      </c>
    </row>
    <row r="31" spans="1:5" ht="18.95" customHeight="1" x14ac:dyDescent="0.2">
      <c r="A31" s="11"/>
      <c r="B31" s="20"/>
      <c r="C31" s="10"/>
      <c r="D31" s="26"/>
      <c r="E31" s="26"/>
    </row>
    <row r="32" spans="1:5" ht="18.95" customHeight="1" thickBot="1" x14ac:dyDescent="0.25">
      <c r="A32" s="11">
        <v>10</v>
      </c>
      <c r="B32" s="1" t="s">
        <v>23</v>
      </c>
      <c r="E32" s="29">
        <f>E22-E24-E30</f>
        <v>0.60959419300000006</v>
      </c>
    </row>
    <row r="33" spans="1:5" ht="18.95" customHeight="1" thickTop="1" x14ac:dyDescent="0.2">
      <c r="A33" s="11"/>
      <c r="B33" s="20"/>
      <c r="C33" s="10"/>
      <c r="D33" s="10"/>
      <c r="E33" s="10"/>
    </row>
    <row r="34" spans="1:5" ht="18.95" customHeight="1" thickBot="1" x14ac:dyDescent="0.25">
      <c r="A34" s="11">
        <v>11</v>
      </c>
      <c r="B34" s="1" t="s">
        <v>24</v>
      </c>
      <c r="E34" s="30">
        <f>E14/E32</f>
        <v>1.6404355741623673</v>
      </c>
    </row>
    <row r="35" spans="1:5" ht="18.95" customHeight="1" thickTop="1" x14ac:dyDescent="0.2">
      <c r="A35" s="11"/>
      <c r="B35" s="20"/>
      <c r="C35" s="22"/>
      <c r="D35" s="10"/>
      <c r="E35" s="22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2"/>
  <sheetViews>
    <sheetView zoomScaleNormal="100" workbookViewId="0">
      <selection activeCell="L37" sqref="L37"/>
    </sheetView>
  </sheetViews>
  <sheetFormatPr defaultRowHeight="12.75" x14ac:dyDescent="0.2"/>
  <cols>
    <col min="1" max="1" width="6.85546875" style="7" customWidth="1"/>
    <col min="2" max="2" width="26.7109375" style="7" customWidth="1"/>
    <col min="3" max="3" width="16" style="7" customWidth="1"/>
    <col min="4" max="4" width="16.7109375" style="7" customWidth="1"/>
    <col min="5" max="5" width="17.7109375" style="7" customWidth="1"/>
    <col min="6" max="6" width="17.28515625" style="7" customWidth="1"/>
    <col min="7" max="8" width="19" style="7" customWidth="1"/>
    <col min="9" max="9" width="11.5703125" style="7" customWidth="1"/>
    <col min="10" max="10" width="10.85546875" style="7" customWidth="1"/>
    <col min="11" max="11" width="12.85546875" style="7" customWidth="1"/>
    <col min="12" max="12" width="15" style="7" customWidth="1"/>
    <col min="13" max="13" width="12.85546875" style="7" customWidth="1"/>
    <col min="14" max="14" width="14" style="7" customWidth="1"/>
    <col min="15" max="15" width="1.85546875" style="7" customWidth="1"/>
    <col min="16" max="16" width="9.140625" style="7"/>
    <col min="17" max="17" width="16.5703125" style="7" customWidth="1"/>
    <col min="18" max="18" width="16.42578125" style="7" customWidth="1"/>
    <col min="19" max="19" width="15.5703125" style="7" customWidth="1"/>
    <col min="20" max="20" width="11.5703125" style="7" customWidth="1"/>
    <col min="21" max="21" width="13.140625" style="7" customWidth="1"/>
    <col min="22" max="16384" width="9.140625" style="7"/>
  </cols>
  <sheetData>
    <row r="1" spans="1:21" s="3" customFormat="1" ht="20.100000000000001" customHeight="1" x14ac:dyDescent="0.2">
      <c r="A1" s="179" t="s">
        <v>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52"/>
      <c r="M1" s="152"/>
      <c r="N1" s="31"/>
    </row>
    <row r="2" spans="1:21" s="3" customFormat="1" ht="20.100000000000001" customHeight="1" x14ac:dyDescent="0.2">
      <c r="A2" s="179" t="s">
        <v>107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52"/>
      <c r="M2" s="152"/>
      <c r="N2" s="31"/>
    </row>
    <row r="3" spans="1:21" s="3" customFormat="1" ht="20.100000000000001" customHeight="1" x14ac:dyDescent="0.2">
      <c r="A3" s="179" t="s">
        <v>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52"/>
      <c r="M3" s="152"/>
      <c r="N3" s="31"/>
    </row>
    <row r="4" spans="1:21" s="3" customFormat="1" ht="20.100000000000001" customHeight="1" x14ac:dyDescent="0.2">
      <c r="A4" s="179" t="s">
        <v>54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52"/>
      <c r="M4" s="152"/>
      <c r="N4" s="31"/>
    </row>
    <row r="5" spans="1:21" s="3" customFormat="1" ht="20.100000000000001" customHeight="1" x14ac:dyDescent="0.2">
      <c r="A5" s="178" t="s">
        <v>63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52"/>
      <c r="M5" s="152"/>
      <c r="N5" s="31"/>
    </row>
    <row r="6" spans="1:21" s="3" customFormat="1" ht="20.100000000000001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21" s="3" customFormat="1" ht="20.100000000000001" customHeight="1" x14ac:dyDescent="0.2">
      <c r="A7" s="4" t="s">
        <v>27</v>
      </c>
      <c r="K7" s="5"/>
      <c r="L7" s="5"/>
      <c r="M7" s="5"/>
    </row>
    <row r="8" spans="1:21" s="3" customFormat="1" ht="20.100000000000001" customHeight="1" x14ac:dyDescent="0.2">
      <c r="A8" s="4" t="s">
        <v>55</v>
      </c>
      <c r="K8" s="5" t="s">
        <v>56</v>
      </c>
      <c r="L8" s="5"/>
      <c r="M8" s="5"/>
    </row>
    <row r="9" spans="1:21" s="3" customFormat="1" ht="20.100000000000001" customHeight="1" x14ac:dyDescent="0.2">
      <c r="A9" s="2" t="s">
        <v>0</v>
      </c>
      <c r="K9" s="5" t="s">
        <v>108</v>
      </c>
      <c r="L9" s="5"/>
      <c r="M9" s="5"/>
    </row>
    <row r="10" spans="1:21" s="3" customFormat="1" ht="20.100000000000001" customHeight="1" x14ac:dyDescent="0.2">
      <c r="A10" s="4" t="s">
        <v>3</v>
      </c>
      <c r="K10" s="6" t="s">
        <v>52</v>
      </c>
      <c r="L10" s="6"/>
      <c r="M10" s="6"/>
    </row>
    <row r="11" spans="1:21" s="3" customFormat="1" ht="20.100000000000001" customHeight="1" x14ac:dyDescent="0.2"/>
    <row r="12" spans="1:21" ht="84.75" customHeight="1" x14ac:dyDescent="0.2">
      <c r="A12" s="15" t="s">
        <v>4</v>
      </c>
      <c r="B12" s="15" t="s">
        <v>28</v>
      </c>
      <c r="C12" s="15" t="s">
        <v>29</v>
      </c>
      <c r="D12" s="168" t="s">
        <v>248</v>
      </c>
      <c r="E12" s="15" t="s">
        <v>46</v>
      </c>
      <c r="F12" s="15" t="s">
        <v>49</v>
      </c>
      <c r="G12" s="15" t="s">
        <v>30</v>
      </c>
      <c r="H12" s="15" t="s">
        <v>47</v>
      </c>
      <c r="I12" s="15" t="s">
        <v>31</v>
      </c>
      <c r="J12" s="168" t="s">
        <v>249</v>
      </c>
      <c r="K12" s="15" t="s">
        <v>33</v>
      </c>
      <c r="L12" s="15" t="s">
        <v>61</v>
      </c>
      <c r="M12" s="15" t="s">
        <v>62</v>
      </c>
      <c r="N12" s="12"/>
      <c r="Q12" s="15" t="s">
        <v>30</v>
      </c>
      <c r="R12" s="15" t="s">
        <v>64</v>
      </c>
      <c r="S12" s="15" t="s">
        <v>30</v>
      </c>
    </row>
    <row r="13" spans="1:21" ht="18.95" customHeight="1" x14ac:dyDescent="0.2">
      <c r="A13" s="8"/>
      <c r="B13" s="32" t="s">
        <v>34</v>
      </c>
      <c r="C13" s="32" t="s">
        <v>35</v>
      </c>
      <c r="D13" s="169" t="s">
        <v>36</v>
      </c>
      <c r="E13" s="32" t="s">
        <v>37</v>
      </c>
      <c r="F13" s="32" t="s">
        <v>95</v>
      </c>
      <c r="G13" s="32" t="s">
        <v>38</v>
      </c>
      <c r="H13" s="32" t="s">
        <v>96</v>
      </c>
      <c r="I13" s="32" t="s">
        <v>48</v>
      </c>
      <c r="J13" s="169" t="s">
        <v>97</v>
      </c>
      <c r="K13" s="32" t="s">
        <v>98</v>
      </c>
      <c r="L13" s="47">
        <f>'LGE Composite Tax Rate (21%)'!E26</f>
        <v>0.25640103059999997</v>
      </c>
      <c r="M13" s="47"/>
      <c r="N13" s="32"/>
      <c r="Q13" s="32" t="s">
        <v>38</v>
      </c>
      <c r="S13" s="32" t="s">
        <v>38</v>
      </c>
    </row>
    <row r="14" spans="1:21" ht="18.95" customHeight="1" x14ac:dyDescent="0.2">
      <c r="A14" s="8"/>
      <c r="B14" s="13"/>
      <c r="C14" s="13"/>
      <c r="D14" s="170" t="s">
        <v>5</v>
      </c>
      <c r="E14" s="14" t="s">
        <v>39</v>
      </c>
      <c r="F14" s="14" t="s">
        <v>5</v>
      </c>
      <c r="G14" s="14" t="s">
        <v>5</v>
      </c>
      <c r="H14" s="14" t="s">
        <v>5</v>
      </c>
      <c r="I14" s="14"/>
      <c r="J14" s="170" t="s">
        <v>39</v>
      </c>
      <c r="K14" s="14" t="s">
        <v>39</v>
      </c>
      <c r="L14" s="14" t="s">
        <v>39</v>
      </c>
      <c r="M14" s="14" t="s">
        <v>39</v>
      </c>
      <c r="N14" s="14"/>
      <c r="Q14" s="14" t="s">
        <v>5</v>
      </c>
      <c r="R14" s="14" t="s">
        <v>5</v>
      </c>
      <c r="S14" s="14" t="s">
        <v>5</v>
      </c>
    </row>
    <row r="15" spans="1:21" ht="18.95" customHeight="1" x14ac:dyDescent="0.2">
      <c r="A15" s="11"/>
      <c r="B15" s="9" t="s">
        <v>100</v>
      </c>
      <c r="C15" s="12"/>
      <c r="D15" s="171"/>
      <c r="E15" s="10"/>
      <c r="F15" s="10"/>
      <c r="G15" s="10"/>
      <c r="H15" s="10"/>
      <c r="I15" s="10"/>
      <c r="J15" s="171"/>
      <c r="K15" s="10"/>
      <c r="L15" s="10"/>
      <c r="N15" s="10"/>
      <c r="Q15" s="10"/>
      <c r="R15" s="10"/>
      <c r="S15" s="10"/>
      <c r="T15" s="42"/>
      <c r="U15" s="42"/>
    </row>
    <row r="16" spans="1:21" ht="18.95" customHeight="1" x14ac:dyDescent="0.2">
      <c r="A16" s="11">
        <v>1</v>
      </c>
      <c r="B16" s="9" t="s">
        <v>40</v>
      </c>
      <c r="C16" s="12" t="s">
        <v>41</v>
      </c>
      <c r="D16" s="171">
        <f>'PENSION CONTRIBUTION'!D15</f>
        <v>160127932.69371396</v>
      </c>
      <c r="E16" s="33">
        <v>0.82679999999999998</v>
      </c>
      <c r="F16" s="10">
        <f>D16*E16</f>
        <v>132393774.75116271</v>
      </c>
      <c r="G16" s="10">
        <f>S16</f>
        <v>-40566630.433415323</v>
      </c>
      <c r="H16" s="10">
        <f>SUM(F16:G16)</f>
        <v>91827144.317747384</v>
      </c>
      <c r="I16" s="33">
        <f>H16/H$22</f>
        <v>3.8219320965742272E-2</v>
      </c>
      <c r="J16" s="175">
        <v>2.35E-2</v>
      </c>
      <c r="K16" s="33">
        <f>I16*J16</f>
        <v>8.9815404269494336E-4</v>
      </c>
      <c r="L16" s="33"/>
      <c r="M16" s="33">
        <f>SUM(K16:L16)</f>
        <v>8.9815404269494336E-4</v>
      </c>
      <c r="N16" s="10"/>
      <c r="P16" s="33">
        <v>3.8219320965742258E-2</v>
      </c>
      <c r="Q16" s="10">
        <v>-39787057.813342631</v>
      </c>
      <c r="R16" s="10">
        <f>P16*R$22</f>
        <v>-779572.62007269007</v>
      </c>
      <c r="S16" s="10">
        <f>SUM(Q16:R16)</f>
        <v>-40566630.433415323</v>
      </c>
      <c r="T16" s="10"/>
      <c r="U16" s="10"/>
    </row>
    <row r="17" spans="1:21" ht="18.95" customHeight="1" x14ac:dyDescent="0.2">
      <c r="A17" s="11"/>
      <c r="B17" s="9"/>
      <c r="C17" s="12"/>
      <c r="D17" s="171"/>
      <c r="E17" s="34"/>
      <c r="F17" s="10"/>
      <c r="G17" s="10"/>
      <c r="H17" s="10"/>
      <c r="I17" s="33"/>
      <c r="J17" s="176"/>
      <c r="K17" s="33"/>
      <c r="L17" s="34"/>
      <c r="M17" s="34"/>
      <c r="N17" s="10"/>
      <c r="P17" s="33"/>
      <c r="Q17" s="10"/>
      <c r="R17" s="10"/>
      <c r="S17" s="10"/>
      <c r="T17" s="10"/>
      <c r="U17" s="10"/>
    </row>
    <row r="18" spans="1:21" ht="18.95" customHeight="1" x14ac:dyDescent="0.2">
      <c r="A18" s="11">
        <v>2</v>
      </c>
      <c r="B18" s="9" t="s">
        <v>42</v>
      </c>
      <c r="C18" s="12" t="s">
        <v>43</v>
      </c>
      <c r="D18" s="171">
        <f>'PENSION CONTRIBUTION'!E15</f>
        <v>1797897555.7393889</v>
      </c>
      <c r="E18" s="35">
        <f>E$16</f>
        <v>0.82679999999999998</v>
      </c>
      <c r="F18" s="10">
        <f>D18*E18</f>
        <v>1486501699.0853267</v>
      </c>
      <c r="G18" s="10">
        <f>S18</f>
        <v>-455477345.35689574</v>
      </c>
      <c r="H18" s="10">
        <f>SUM(F18:G18)</f>
        <v>1031024353.728431</v>
      </c>
      <c r="I18" s="33">
        <f>H18/H$22</f>
        <v>0.42912203130581406</v>
      </c>
      <c r="J18" s="177">
        <v>4.1235516469912706E-2</v>
      </c>
      <c r="K18" s="33">
        <f>I18*J18</f>
        <v>1.769506858951329E-2</v>
      </c>
      <c r="L18" s="33"/>
      <c r="M18" s="33">
        <f>SUM(K18:L18)</f>
        <v>1.769506858951329E-2</v>
      </c>
      <c r="P18" s="33">
        <v>0.42912203130581406</v>
      </c>
      <c r="Q18" s="10">
        <v>-446724395.85850346</v>
      </c>
      <c r="R18" s="10">
        <f>P18*R$22</f>
        <v>-8752949.49839231</v>
      </c>
      <c r="S18" s="10">
        <f>SUM(Q18:R18)</f>
        <v>-455477345.35689574</v>
      </c>
      <c r="T18" s="10"/>
      <c r="U18" s="10"/>
    </row>
    <row r="19" spans="1:21" ht="18.95" customHeight="1" x14ac:dyDescent="0.2">
      <c r="A19" s="11"/>
      <c r="B19" s="9"/>
      <c r="C19" s="12"/>
      <c r="D19" s="172"/>
      <c r="E19" s="38"/>
      <c r="F19" s="36"/>
      <c r="G19" s="36"/>
      <c r="H19" s="36"/>
      <c r="I19" s="37"/>
      <c r="J19" s="38"/>
      <c r="K19" s="37"/>
      <c r="L19" s="37"/>
      <c r="M19" s="37"/>
      <c r="N19" s="36"/>
      <c r="P19" s="37"/>
      <c r="Q19" s="36"/>
      <c r="R19" s="36"/>
      <c r="S19" s="36"/>
      <c r="T19" s="36"/>
      <c r="U19" s="36"/>
    </row>
    <row r="20" spans="1:21" ht="18.95" customHeight="1" x14ac:dyDescent="0.2">
      <c r="A20" s="11">
        <v>3</v>
      </c>
      <c r="B20" s="9" t="s">
        <v>44</v>
      </c>
      <c r="C20" s="12"/>
      <c r="D20" s="173">
        <f>'PENSION CONTRIBUTION'!F15</f>
        <v>2231686119.4011645</v>
      </c>
      <c r="E20" s="35">
        <f>E$16</f>
        <v>0.82679999999999998</v>
      </c>
      <c r="F20" s="16">
        <f>D20*E20</f>
        <v>1845158083.5208828</v>
      </c>
      <c r="G20" s="16">
        <f>S20</f>
        <v>-565372852.35734379</v>
      </c>
      <c r="H20" s="16">
        <f>SUM(F20:G20)</f>
        <v>1279785231.1635389</v>
      </c>
      <c r="I20" s="39">
        <f>H20/H$22</f>
        <v>0.53265864772844373</v>
      </c>
      <c r="J20" s="33">
        <v>9.7000000000000003E-2</v>
      </c>
      <c r="K20" s="39">
        <f>I20*J20</f>
        <v>5.1667888829659045E-2</v>
      </c>
      <c r="L20" s="39">
        <f>K20*(L13/(1-L13))</f>
        <v>1.7815651298629685E-2</v>
      </c>
      <c r="M20" s="39">
        <f>SUM(K20:L20)</f>
        <v>6.9483540128288723E-2</v>
      </c>
      <c r="N20" s="10"/>
      <c r="P20" s="33">
        <v>0.53265864772844373</v>
      </c>
      <c r="Q20" s="16">
        <v>-554508030.92353964</v>
      </c>
      <c r="R20" s="16">
        <f>P20*R$22</f>
        <v>-10864821.433804207</v>
      </c>
      <c r="S20" s="16">
        <f>SUM(Q20:R20)</f>
        <v>-565372852.35734379</v>
      </c>
      <c r="T20" s="10"/>
      <c r="U20" s="10"/>
    </row>
    <row r="21" spans="1:21" ht="18.95" customHeight="1" x14ac:dyDescent="0.2">
      <c r="A21" s="11"/>
      <c r="B21" s="9"/>
      <c r="C21" s="12"/>
      <c r="D21" s="171"/>
      <c r="E21" s="34"/>
      <c r="F21" s="10"/>
      <c r="G21" s="10"/>
      <c r="H21" s="10"/>
      <c r="I21" s="33"/>
      <c r="J21" s="34"/>
      <c r="K21" s="33"/>
      <c r="L21" s="33"/>
      <c r="M21" s="33"/>
      <c r="N21" s="10"/>
      <c r="P21" s="34"/>
      <c r="Q21" s="10"/>
      <c r="R21" s="10"/>
      <c r="S21" s="10"/>
      <c r="T21" s="10"/>
      <c r="U21" s="10"/>
    </row>
    <row r="22" spans="1:21" ht="18.95" customHeight="1" thickBot="1" x14ac:dyDescent="0.25">
      <c r="A22" s="11">
        <v>4</v>
      </c>
      <c r="B22" s="9" t="s">
        <v>45</v>
      </c>
      <c r="C22" s="12"/>
      <c r="D22" s="174">
        <f>SUM(D16:D20)</f>
        <v>4189711607.8342676</v>
      </c>
      <c r="E22" s="34"/>
      <c r="F22" s="17">
        <f>SUM(F16:F20)</f>
        <v>3464053557.3573723</v>
      </c>
      <c r="G22" s="17">
        <f>SUM(G16:G20)</f>
        <v>-1061416828.1476549</v>
      </c>
      <c r="H22" s="17">
        <f>SUM(H16:H20)</f>
        <v>2402636729.2097173</v>
      </c>
      <c r="I22" s="40">
        <f>SUM(I16:I20)</f>
        <v>1</v>
      </c>
      <c r="J22" s="34"/>
      <c r="K22" s="40">
        <f>SUM(K16:K20)</f>
        <v>7.0261111461867282E-2</v>
      </c>
      <c r="L22" s="40">
        <f t="shared" ref="L22:M22" si="0">SUM(L16:L20)</f>
        <v>1.7815651298629685E-2</v>
      </c>
      <c r="M22" s="40">
        <f t="shared" si="0"/>
        <v>8.807676276049696E-2</v>
      </c>
      <c r="N22" s="10"/>
      <c r="P22" s="33">
        <v>1</v>
      </c>
      <c r="Q22" s="17">
        <f>SUM(Q16:Q20)</f>
        <v>-1041019484.5953858</v>
      </c>
      <c r="R22" s="17">
        <f>R24+R25</f>
        <v>-20397343.552269205</v>
      </c>
      <c r="S22" s="17">
        <f>SUM(S16:S20)</f>
        <v>-1061416828.1476549</v>
      </c>
      <c r="T22" s="10"/>
      <c r="U22" s="10"/>
    </row>
    <row r="23" spans="1:21" ht="18.95" customHeight="1" thickTop="1" x14ac:dyDescent="0.2">
      <c r="A23" s="11"/>
      <c r="B23" s="9"/>
      <c r="C23" s="1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Q23" s="41"/>
      <c r="R23" s="41"/>
      <c r="S23" s="41"/>
      <c r="T23" s="41"/>
      <c r="U23" s="41"/>
    </row>
    <row r="24" spans="1:21" s="3" customFormat="1" ht="20.100000000000001" customHeight="1" x14ac:dyDescent="0.2">
      <c r="A24" s="179" t="str">
        <f>A1</f>
        <v>LOUISVILLE GAS AND ELECTRIC COMPANY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52"/>
      <c r="M24" s="152"/>
      <c r="N24" s="31"/>
      <c r="R24" s="10">
        <v>-3659428.2952692062</v>
      </c>
      <c r="S24" s="3" t="s">
        <v>59</v>
      </c>
    </row>
    <row r="25" spans="1:21" s="3" customFormat="1" ht="20.100000000000001" customHeight="1" x14ac:dyDescent="0.2">
      <c r="A25" s="179" t="str">
        <f>A2</f>
        <v>CASE NO. 2016-00371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52"/>
      <c r="M25" s="152"/>
      <c r="N25" s="31"/>
      <c r="R25" s="10">
        <v>-16737915.256999999</v>
      </c>
      <c r="S25" s="3" t="s">
        <v>58</v>
      </c>
    </row>
    <row r="26" spans="1:21" s="3" customFormat="1" ht="20.100000000000001" customHeight="1" x14ac:dyDescent="0.2">
      <c r="A26" s="179" t="str">
        <f>A3</f>
        <v>COST OF CAPITAL SUMMARY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52"/>
      <c r="M26" s="152"/>
      <c r="N26" s="31"/>
      <c r="R26" s="10"/>
    </row>
    <row r="27" spans="1:21" s="3" customFormat="1" ht="20.100000000000001" customHeight="1" x14ac:dyDescent="0.2">
      <c r="A27" s="179" t="str">
        <f>A4</f>
        <v>THIRTEEN MONTH AVERAGE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52"/>
      <c r="M27" s="152"/>
      <c r="N27" s="31"/>
      <c r="R27" s="10"/>
    </row>
    <row r="28" spans="1:21" s="3" customFormat="1" ht="20.100000000000001" customHeight="1" x14ac:dyDescent="0.2">
      <c r="A28" s="179" t="str">
        <f>A5</f>
        <v>FROM JULY 1, 2017 TO JUNE 30, 2018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52"/>
      <c r="M28" s="152"/>
      <c r="N28" s="31"/>
      <c r="R28" s="10"/>
    </row>
    <row r="29" spans="1:21" s="3" customFormat="1" ht="20.100000000000001" customHeight="1" x14ac:dyDescent="0.2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21" s="3" customFormat="1" ht="20.100000000000001" customHeight="1" x14ac:dyDescent="0.2">
      <c r="A30" s="4" t="str">
        <f>A7</f>
        <v>DATA:____BASE  PERIOD__X__FORECASTED  PERIOD</v>
      </c>
      <c r="K30" s="5"/>
      <c r="L30" s="5"/>
      <c r="M30" s="5"/>
    </row>
    <row r="31" spans="1:21" s="3" customFormat="1" ht="20.100000000000001" customHeight="1" x14ac:dyDescent="0.2">
      <c r="A31" s="4" t="str">
        <f>A8</f>
        <v>DATE OF CAPITAL STRUCTURE: 13 MO AVG FOR FORECASTED  PERIOD</v>
      </c>
      <c r="K31" s="5" t="s">
        <v>56</v>
      </c>
      <c r="L31" s="5"/>
      <c r="M31" s="5"/>
    </row>
    <row r="32" spans="1:21" s="3" customFormat="1" ht="20.100000000000001" customHeight="1" x14ac:dyDescent="0.2">
      <c r="A32" s="3" t="str">
        <f>A9</f>
        <v>TYPE OF FILING: _____ ORIGINAL  _____ UPDATED  __X__ REVISED</v>
      </c>
      <c r="K32" s="5" t="s">
        <v>109</v>
      </c>
      <c r="L32" s="5"/>
      <c r="M32" s="5"/>
    </row>
    <row r="33" spans="1:21" s="3" customFormat="1" ht="20.100000000000001" customHeight="1" x14ac:dyDescent="0.2">
      <c r="A33" s="4" t="str">
        <f>A10</f>
        <v xml:space="preserve">WORKPAPER REFERENCE NO(S).: </v>
      </c>
      <c r="K33" s="6" t="str">
        <f>K10</f>
        <v>WITNESS:   D. K. ARBOUGH</v>
      </c>
      <c r="L33" s="6"/>
      <c r="M33" s="6"/>
    </row>
    <row r="34" spans="1:21" s="3" customFormat="1" ht="20.100000000000001" customHeight="1" x14ac:dyDescent="0.2"/>
    <row r="35" spans="1:21" ht="87" customHeight="1" x14ac:dyDescent="0.2">
      <c r="A35" s="15" t="s">
        <v>4</v>
      </c>
      <c r="B35" s="15" t="s">
        <v>28</v>
      </c>
      <c r="C35" s="15" t="s">
        <v>29</v>
      </c>
      <c r="D35" s="168" t="s">
        <v>248</v>
      </c>
      <c r="E35" s="15" t="s">
        <v>46</v>
      </c>
      <c r="F35" s="15" t="s">
        <v>49</v>
      </c>
      <c r="G35" s="15" t="s">
        <v>30</v>
      </c>
      <c r="H35" s="15" t="s">
        <v>47</v>
      </c>
      <c r="I35" s="15" t="s">
        <v>31</v>
      </c>
      <c r="J35" s="168" t="s">
        <v>249</v>
      </c>
      <c r="K35" s="15" t="s">
        <v>33</v>
      </c>
      <c r="L35" s="15" t="s">
        <v>61</v>
      </c>
      <c r="M35" s="15" t="s">
        <v>62</v>
      </c>
      <c r="N35" s="12"/>
    </row>
    <row r="36" spans="1:21" ht="18.95" customHeight="1" x14ac:dyDescent="0.2">
      <c r="A36" s="8"/>
      <c r="B36" s="32" t="s">
        <v>34</v>
      </c>
      <c r="C36" s="32" t="s">
        <v>35</v>
      </c>
      <c r="D36" s="169" t="s">
        <v>36</v>
      </c>
      <c r="E36" s="32" t="s">
        <v>37</v>
      </c>
      <c r="F36" s="32" t="s">
        <v>95</v>
      </c>
      <c r="G36" s="32" t="s">
        <v>38</v>
      </c>
      <c r="H36" s="32" t="s">
        <v>96</v>
      </c>
      <c r="I36" s="32" t="s">
        <v>48</v>
      </c>
      <c r="J36" s="169" t="s">
        <v>97</v>
      </c>
      <c r="K36" s="32" t="s">
        <v>98</v>
      </c>
      <c r="L36" s="47">
        <f>'LGE Composite Tax Rate (21%)'!E26</f>
        <v>0.25640103059999997</v>
      </c>
      <c r="M36" s="47"/>
      <c r="N36" s="32"/>
    </row>
    <row r="37" spans="1:21" ht="18.95" customHeight="1" x14ac:dyDescent="0.2">
      <c r="A37" s="8"/>
      <c r="B37" s="13"/>
      <c r="C37" s="13"/>
      <c r="D37" s="170" t="s">
        <v>5</v>
      </c>
      <c r="E37" s="14" t="s">
        <v>39</v>
      </c>
      <c r="F37" s="14" t="s">
        <v>5</v>
      </c>
      <c r="G37" s="14" t="s">
        <v>5</v>
      </c>
      <c r="H37" s="14" t="s">
        <v>5</v>
      </c>
      <c r="I37" s="14"/>
      <c r="J37" s="170" t="s">
        <v>39</v>
      </c>
      <c r="K37" s="14" t="s">
        <v>39</v>
      </c>
      <c r="L37" s="14" t="s">
        <v>39</v>
      </c>
      <c r="M37" s="14" t="s">
        <v>39</v>
      </c>
      <c r="N37" s="14"/>
    </row>
    <row r="38" spans="1:21" ht="18.95" customHeight="1" x14ac:dyDescent="0.2">
      <c r="A38" s="11"/>
      <c r="B38" s="9" t="s">
        <v>110</v>
      </c>
      <c r="C38" s="12"/>
      <c r="D38" s="171"/>
      <c r="E38" s="10"/>
      <c r="F38" s="10"/>
      <c r="G38" s="10"/>
      <c r="H38" s="10"/>
      <c r="I38" s="10"/>
      <c r="J38" s="171"/>
      <c r="K38" s="10"/>
      <c r="L38" s="10"/>
      <c r="N38" s="10"/>
      <c r="Q38" s="3"/>
      <c r="R38" s="42"/>
      <c r="S38" s="42"/>
      <c r="T38" s="42"/>
      <c r="U38" s="42"/>
    </row>
    <row r="39" spans="1:21" ht="18.95" customHeight="1" x14ac:dyDescent="0.2">
      <c r="A39" s="11">
        <v>1</v>
      </c>
      <c r="B39" s="9" t="s">
        <v>40</v>
      </c>
      <c r="C39" s="12" t="s">
        <v>41</v>
      </c>
      <c r="D39" s="171">
        <f>D16</f>
        <v>160127932.69371396</v>
      </c>
      <c r="E39" s="33">
        <v>0.17319999999999999</v>
      </c>
      <c r="F39" s="10">
        <f>D39*E39</f>
        <v>27734157.942551259</v>
      </c>
      <c r="G39" s="10">
        <v>-762132.05012225616</v>
      </c>
      <c r="H39" s="10">
        <f>SUM(F39:G39)</f>
        <v>26972025.892429002</v>
      </c>
      <c r="I39" s="33">
        <f>H39/H$45</f>
        <v>3.8219320965742272E-2</v>
      </c>
      <c r="J39" s="175">
        <f>J16</f>
        <v>2.35E-2</v>
      </c>
      <c r="K39" s="33">
        <f>I39*J39</f>
        <v>8.9815404269494336E-4</v>
      </c>
      <c r="L39" s="33"/>
      <c r="M39" s="33">
        <f>SUM(K39:L39)</f>
        <v>8.9815404269494336E-4</v>
      </c>
      <c r="N39" s="10"/>
      <c r="P39" s="33"/>
      <c r="Q39" s="10"/>
      <c r="R39" s="10"/>
      <c r="S39" s="10"/>
      <c r="T39" s="10"/>
      <c r="U39" s="10"/>
    </row>
    <row r="40" spans="1:21" ht="18.95" customHeight="1" x14ac:dyDescent="0.2">
      <c r="A40" s="11"/>
      <c r="B40" s="9"/>
      <c r="C40" s="12"/>
      <c r="D40" s="171"/>
      <c r="E40" s="34"/>
      <c r="F40" s="10"/>
      <c r="G40" s="10"/>
      <c r="H40" s="10"/>
      <c r="I40" s="33"/>
      <c r="J40" s="176"/>
      <c r="K40" s="33"/>
      <c r="L40" s="34"/>
      <c r="M40" s="34"/>
      <c r="N40" s="10"/>
      <c r="P40" s="33"/>
      <c r="Q40" s="10"/>
      <c r="R40" s="10"/>
      <c r="S40" s="10"/>
      <c r="T40" s="10"/>
      <c r="U40" s="10"/>
    </row>
    <row r="41" spans="1:21" ht="18.95" customHeight="1" x14ac:dyDescent="0.2">
      <c r="A41" s="11">
        <v>2</v>
      </c>
      <c r="B41" s="9" t="s">
        <v>42</v>
      </c>
      <c r="C41" s="12" t="s">
        <v>43</v>
      </c>
      <c r="D41" s="171">
        <f>D18</f>
        <v>1797897555.7393889</v>
      </c>
      <c r="E41" s="35">
        <f>E$39</f>
        <v>0.17319999999999999</v>
      </c>
      <c r="F41" s="10">
        <f>D41*E41</f>
        <v>311395856.65406215</v>
      </c>
      <c r="G41" s="10">
        <v>-8557128.8345199786</v>
      </c>
      <c r="H41" s="10">
        <f>SUM(F41:G41)</f>
        <v>302838727.81954217</v>
      </c>
      <c r="I41" s="33">
        <f>H41/H$45</f>
        <v>0.42912203130581406</v>
      </c>
      <c r="J41" s="177">
        <f>J18</f>
        <v>4.1235516469912706E-2</v>
      </c>
      <c r="K41" s="33">
        <f>I41*J41</f>
        <v>1.769506858951329E-2</v>
      </c>
      <c r="L41" s="33"/>
      <c r="M41" s="33">
        <f>SUM(K41:L41)</f>
        <v>1.769506858951329E-2</v>
      </c>
      <c r="P41" s="33"/>
      <c r="Q41" s="10"/>
      <c r="R41" s="10"/>
      <c r="S41" s="10"/>
      <c r="T41" s="10"/>
      <c r="U41" s="10"/>
    </row>
    <row r="42" spans="1:21" ht="18.95" customHeight="1" x14ac:dyDescent="0.2">
      <c r="A42" s="11"/>
      <c r="B42" s="9"/>
      <c r="C42" s="12"/>
      <c r="D42" s="172"/>
      <c r="E42" s="38"/>
      <c r="F42" s="36"/>
      <c r="G42" s="36"/>
      <c r="H42" s="36"/>
      <c r="I42" s="37"/>
      <c r="J42" s="38"/>
      <c r="K42" s="37"/>
      <c r="L42" s="37"/>
      <c r="M42" s="37"/>
      <c r="N42" s="36"/>
      <c r="P42" s="37"/>
      <c r="Q42" s="36"/>
      <c r="R42" s="36"/>
      <c r="S42" s="36"/>
      <c r="T42" s="36"/>
      <c r="U42" s="36"/>
    </row>
    <row r="43" spans="1:21" ht="18.95" customHeight="1" x14ac:dyDescent="0.2">
      <c r="A43" s="11">
        <v>3</v>
      </c>
      <c r="B43" s="9" t="s">
        <v>44</v>
      </c>
      <c r="C43" s="12"/>
      <c r="D43" s="173">
        <f>D20</f>
        <v>2231686119.4011645</v>
      </c>
      <c r="E43" s="35">
        <f>E$39</f>
        <v>0.17319999999999999</v>
      </c>
      <c r="F43" s="16">
        <f>D43*E43</f>
        <v>386528035.88028169</v>
      </c>
      <c r="G43" s="16">
        <v>-10621754.048757298</v>
      </c>
      <c r="H43" s="16">
        <f>SUM(F43:G43)</f>
        <v>375906281.83152437</v>
      </c>
      <c r="I43" s="39">
        <f>H43/H$45</f>
        <v>0.53265864772844373</v>
      </c>
      <c r="J43" s="33">
        <v>9.7000000000000003E-2</v>
      </c>
      <c r="K43" s="39">
        <f>I43*J43</f>
        <v>5.1667888829659045E-2</v>
      </c>
      <c r="L43" s="39">
        <f>K43*(L36/(1-L36))</f>
        <v>1.7815651298629685E-2</v>
      </c>
      <c r="M43" s="39">
        <f>SUM(K43:L43)</f>
        <v>6.9483540128288723E-2</v>
      </c>
      <c r="N43" s="10"/>
      <c r="P43" s="33"/>
      <c r="Q43" s="10"/>
      <c r="R43" s="10"/>
      <c r="S43" s="10"/>
      <c r="T43" s="10"/>
      <c r="U43" s="10"/>
    </row>
    <row r="44" spans="1:21" ht="18.95" customHeight="1" x14ac:dyDescent="0.2">
      <c r="A44" s="11"/>
      <c r="B44" s="9"/>
      <c r="C44" s="12"/>
      <c r="D44" s="171"/>
      <c r="E44" s="34"/>
      <c r="F44" s="10"/>
      <c r="G44" s="10"/>
      <c r="H44" s="10"/>
      <c r="I44" s="33"/>
      <c r="J44" s="34"/>
      <c r="K44" s="33"/>
      <c r="L44" s="33"/>
      <c r="M44" s="33"/>
      <c r="N44" s="10"/>
      <c r="P44" s="34"/>
      <c r="Q44" s="10"/>
      <c r="R44" s="10"/>
      <c r="S44" s="10"/>
      <c r="T44" s="10"/>
      <c r="U44" s="10"/>
    </row>
    <row r="45" spans="1:21" ht="18.95" customHeight="1" thickBot="1" x14ac:dyDescent="0.25">
      <c r="A45" s="11">
        <v>4</v>
      </c>
      <c r="B45" s="9" t="s">
        <v>45</v>
      </c>
      <c r="C45" s="12"/>
      <c r="D45" s="174">
        <f>SUM(D39:D43)</f>
        <v>4189711607.8342676</v>
      </c>
      <c r="E45" s="34"/>
      <c r="F45" s="17">
        <f>SUM(F39:F43)</f>
        <v>725658050.47689509</v>
      </c>
      <c r="G45" s="17">
        <f>SUM(G39:G43)</f>
        <v>-19941014.933399532</v>
      </c>
      <c r="H45" s="17">
        <f>SUM(H39:H43)</f>
        <v>705717035.54349554</v>
      </c>
      <c r="I45" s="40">
        <f>SUM(I39:I43)</f>
        <v>1</v>
      </c>
      <c r="J45" s="34"/>
      <c r="K45" s="40">
        <f>SUM(K39:K43)</f>
        <v>7.0261111461867282E-2</v>
      </c>
      <c r="L45" s="40">
        <f t="shared" ref="L45:M45" si="1">SUM(L39:L43)</f>
        <v>1.7815651298629685E-2</v>
      </c>
      <c r="M45" s="40">
        <f t="shared" si="1"/>
        <v>8.807676276049696E-2</v>
      </c>
      <c r="N45" s="10"/>
      <c r="P45" s="33"/>
      <c r="Q45" s="10"/>
      <c r="R45" s="10"/>
      <c r="S45" s="10"/>
      <c r="T45" s="10"/>
      <c r="U45" s="10"/>
    </row>
    <row r="46" spans="1:21" ht="18.95" customHeight="1" thickTop="1" x14ac:dyDescent="0.2">
      <c r="A46" s="11"/>
      <c r="B46" s="9"/>
      <c r="C46" s="1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Q46" s="41"/>
      <c r="R46" s="41"/>
      <c r="S46" s="41"/>
      <c r="T46" s="41"/>
      <c r="U46" s="41"/>
    </row>
    <row r="47" spans="1:21" ht="18.95" customHeight="1" x14ac:dyDescent="0.2">
      <c r="A47" s="11"/>
      <c r="B47" s="4"/>
      <c r="C47" s="12"/>
    </row>
    <row r="48" spans="1:21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</sheetData>
  <mergeCells count="10">
    <mergeCell ref="A25:K25"/>
    <mergeCell ref="A26:K26"/>
    <mergeCell ref="A27:K27"/>
    <mergeCell ref="A28:K28"/>
    <mergeCell ref="A1:K1"/>
    <mergeCell ref="A2:K2"/>
    <mergeCell ref="A3:K3"/>
    <mergeCell ref="A4:K4"/>
    <mergeCell ref="A5:K5"/>
    <mergeCell ref="A24:K24"/>
  </mergeCells>
  <pageMargins left="0.95" right="0.5" top="0.75" bottom="0.75" header="0.3" footer="0.3"/>
  <pageSetup scale="61" fitToHeight="0" orientation="landscape" r:id="rId1"/>
  <rowBreaks count="2" manualBreakCount="2">
    <brk id="23" max="12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0"/>
  <sheetViews>
    <sheetView zoomScaleNormal="100" workbookViewId="0">
      <selection activeCell="B10" sqref="B10"/>
    </sheetView>
  </sheetViews>
  <sheetFormatPr defaultRowHeight="12.75" x14ac:dyDescent="0.2"/>
  <cols>
    <col min="1" max="1" width="8.85546875" style="161" bestFit="1" customWidth="1"/>
    <col min="2" max="2" width="74.140625" style="161" customWidth="1"/>
    <col min="3" max="6" width="22.85546875" style="161" customWidth="1"/>
    <col min="7" max="16384" width="9.140625" style="161"/>
  </cols>
  <sheetData>
    <row r="3" spans="1:6" x14ac:dyDescent="0.2">
      <c r="A3" s="178" t="s">
        <v>99</v>
      </c>
      <c r="B3" s="178"/>
      <c r="C3" s="178"/>
      <c r="D3" s="178"/>
      <c r="E3" s="178"/>
      <c r="F3" s="178"/>
    </row>
    <row r="4" spans="1:6" x14ac:dyDescent="0.2">
      <c r="A4" s="178" t="s">
        <v>226</v>
      </c>
      <c r="B4" s="178"/>
      <c r="C4" s="178"/>
      <c r="D4" s="178"/>
      <c r="E4" s="178"/>
      <c r="F4" s="178"/>
    </row>
    <row r="5" spans="1:6" x14ac:dyDescent="0.2">
      <c r="A5" s="179" t="s">
        <v>240</v>
      </c>
      <c r="B5" s="179"/>
      <c r="C5" s="179"/>
      <c r="D5" s="179"/>
      <c r="E5" s="179"/>
      <c r="F5" s="179"/>
    </row>
    <row r="7" spans="1:6" x14ac:dyDescent="0.2">
      <c r="A7" s="8" t="s">
        <v>4</v>
      </c>
      <c r="C7" s="12" t="s">
        <v>241</v>
      </c>
      <c r="D7" s="162" t="s">
        <v>40</v>
      </c>
      <c r="E7" s="162" t="s">
        <v>42</v>
      </c>
      <c r="F7" s="162" t="s">
        <v>242</v>
      </c>
    </row>
    <row r="8" spans="1:6" x14ac:dyDescent="0.2">
      <c r="A8" s="8"/>
      <c r="C8" s="12"/>
      <c r="D8" s="162"/>
      <c r="E8" s="162"/>
      <c r="F8" s="162"/>
    </row>
    <row r="9" spans="1:6" x14ac:dyDescent="0.2">
      <c r="A9" s="11">
        <v>1</v>
      </c>
      <c r="B9" s="9" t="s">
        <v>243</v>
      </c>
      <c r="C9" s="10">
        <v>4172439282.7573447</v>
      </c>
      <c r="D9" s="10">
        <v>159467796.15777439</v>
      </c>
      <c r="E9" s="10">
        <v>1790485620.5170054</v>
      </c>
      <c r="F9" s="10">
        <v>2222485866.0825648</v>
      </c>
    </row>
    <row r="10" spans="1:6" x14ac:dyDescent="0.2">
      <c r="A10" s="163"/>
    </row>
    <row r="11" spans="1:6" x14ac:dyDescent="0.2">
      <c r="A11" s="163">
        <v>2</v>
      </c>
      <c r="B11" s="9" t="s">
        <v>244</v>
      </c>
      <c r="C11" s="10">
        <f>16576629*(6/13)</f>
        <v>7650751.8461538469</v>
      </c>
      <c r="D11" s="10">
        <f>$C$11*(D9/$C$9)</f>
        <v>292406.540437399</v>
      </c>
      <c r="E11" s="10">
        <f t="shared" ref="E11:F11" si="0">$C$11*(E9/$C$9)</f>
        <v>3283106.1732382453</v>
      </c>
      <c r="F11" s="10">
        <f t="shared" si="0"/>
        <v>4075239.1324782027</v>
      </c>
    </row>
    <row r="12" spans="1:6" x14ac:dyDescent="0.2">
      <c r="A12" s="163"/>
      <c r="B12" s="9"/>
      <c r="C12" s="9"/>
      <c r="D12" s="9"/>
      <c r="E12" s="9"/>
      <c r="F12" s="9"/>
    </row>
    <row r="13" spans="1:6" x14ac:dyDescent="0.2">
      <c r="A13" s="163">
        <v>3</v>
      </c>
      <c r="B13" s="9" t="s">
        <v>245</v>
      </c>
      <c r="C13" s="10">
        <f>54000000*6/13</f>
        <v>24923076.923076924</v>
      </c>
      <c r="D13" s="10">
        <f>$C$13*(D9/$C$9)</f>
        <v>952543.07637696096</v>
      </c>
      <c r="E13" s="10">
        <f t="shared" ref="E13:F13" si="1">$C$13*(E9/$C$9)</f>
        <v>10695041.395621827</v>
      </c>
      <c r="F13" s="10">
        <f t="shared" si="1"/>
        <v>13275492.451078137</v>
      </c>
    </row>
    <row r="14" spans="1:6" x14ac:dyDescent="0.2">
      <c r="A14" s="163"/>
      <c r="B14" s="9"/>
      <c r="C14" s="10"/>
      <c r="D14" s="9"/>
      <c r="E14" s="9"/>
      <c r="F14" s="9"/>
    </row>
    <row r="15" spans="1:6" x14ac:dyDescent="0.2">
      <c r="A15" s="163">
        <v>4</v>
      </c>
      <c r="B15" s="164" t="s">
        <v>246</v>
      </c>
      <c r="C15" s="165">
        <f>C9-C11+C13</f>
        <v>4189711607.8342681</v>
      </c>
      <c r="D15" s="165">
        <f t="shared" ref="D15:F15" si="2">D9-D11+D13</f>
        <v>160127932.69371396</v>
      </c>
      <c r="E15" s="165">
        <f t="shared" si="2"/>
        <v>1797897555.7393889</v>
      </c>
      <c r="F15" s="165">
        <f t="shared" si="2"/>
        <v>2231686119.4011645</v>
      </c>
    </row>
    <row r="16" spans="1:6" x14ac:dyDescent="0.2">
      <c r="A16" s="163"/>
      <c r="B16" s="164"/>
      <c r="C16" s="164"/>
      <c r="D16" s="164"/>
      <c r="E16" s="164"/>
      <c r="F16" s="164"/>
    </row>
    <row r="17" spans="1:6" ht="13.5" thickBot="1" x14ac:dyDescent="0.25">
      <c r="A17" s="163">
        <v>5</v>
      </c>
      <c r="B17" s="164" t="s">
        <v>247</v>
      </c>
      <c r="C17" s="166">
        <f>C15-C9</f>
        <v>17272325.07692337</v>
      </c>
      <c r="D17" s="166">
        <f t="shared" ref="D17:F17" si="3">D15-D9</f>
        <v>660136.53593957424</v>
      </c>
      <c r="E17" s="166">
        <f t="shared" si="3"/>
        <v>7411935.2223834991</v>
      </c>
      <c r="F17" s="166">
        <f t="shared" si="3"/>
        <v>9200253.3185997009</v>
      </c>
    </row>
    <row r="18" spans="1:6" ht="13.5" thickTop="1" x14ac:dyDescent="0.2"/>
    <row r="20" spans="1:6" ht="14.25" x14ac:dyDescent="0.2">
      <c r="B20" s="167"/>
    </row>
  </sheetData>
  <mergeCells count="3">
    <mergeCell ref="A3:F3"/>
    <mergeCell ref="A4:F4"/>
    <mergeCell ref="A5:F5"/>
  </mergeCells>
  <pageMargins left="0.7" right="0.7" top="0.75" bottom="0.75" header="0.3" footer="0.3"/>
  <pageSetup scale="70" orientation="landscape" r:id="rId1"/>
  <headerFooter>
    <oddFooter>&amp;R&amp;"Times New Roman,Bold"&amp;12Attachment to PSC Post Hearing Data Request
Question 6(d)(3)
Page &amp;P of &amp;N
Arbough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zoomScaleNormal="100" workbookViewId="0">
      <selection activeCell="G8" sqref="G8"/>
    </sheetView>
  </sheetViews>
  <sheetFormatPr defaultRowHeight="12.75" x14ac:dyDescent="0.2"/>
  <cols>
    <col min="1" max="1" width="6.85546875" style="7" customWidth="1"/>
    <col min="2" max="2" width="59.42578125" style="7" customWidth="1"/>
    <col min="3" max="3" width="14.42578125" style="7" customWidth="1"/>
    <col min="4" max="4" width="18.85546875" style="7" customWidth="1"/>
    <col min="5" max="5" width="15.7109375" style="7" customWidth="1"/>
    <col min="6" max="6" width="1.85546875" style="7" customWidth="1"/>
    <col min="7" max="7" width="9.140625" style="7" customWidth="1"/>
    <col min="8" max="16384" width="9.140625" style="7"/>
  </cols>
  <sheetData>
    <row r="1" spans="1:5" s="3" customFormat="1" ht="20.100000000000001" customHeight="1" x14ac:dyDescent="0.2">
      <c r="A1" s="151"/>
      <c r="B1" s="151"/>
      <c r="C1" s="151"/>
      <c r="D1" s="151"/>
      <c r="E1" s="153" t="s">
        <v>229</v>
      </c>
    </row>
    <row r="2" spans="1:5" s="3" customFormat="1" ht="20.100000000000001" customHeight="1" x14ac:dyDescent="0.2">
      <c r="A2" s="151"/>
      <c r="B2" s="151"/>
      <c r="C2" s="151"/>
      <c r="D2" s="151"/>
      <c r="E2" s="153" t="s">
        <v>230</v>
      </c>
    </row>
    <row r="3" spans="1:5" s="3" customFormat="1" ht="20.100000000000001" customHeight="1" x14ac:dyDescent="0.2">
      <c r="A3" s="178" t="s">
        <v>99</v>
      </c>
      <c r="B3" s="179"/>
      <c r="C3" s="179"/>
      <c r="D3" s="179"/>
      <c r="E3" s="179"/>
    </row>
    <row r="4" spans="1:5" s="3" customFormat="1" ht="20.100000000000001" customHeight="1" x14ac:dyDescent="0.2">
      <c r="A4" s="178" t="s">
        <v>226</v>
      </c>
      <c r="B4" s="179"/>
      <c r="C4" s="179"/>
      <c r="D4" s="179"/>
      <c r="E4" s="179"/>
    </row>
    <row r="5" spans="1:5" s="3" customFormat="1" ht="20.100000000000001" customHeight="1" x14ac:dyDescent="0.2">
      <c r="A5" s="179" t="s">
        <v>231</v>
      </c>
      <c r="B5" s="179"/>
      <c r="C5" s="179"/>
      <c r="D5" s="179"/>
      <c r="E5" s="179"/>
    </row>
    <row r="6" spans="1:5" s="3" customFormat="1" ht="20.100000000000001" customHeight="1" x14ac:dyDescent="0.2">
      <c r="A6" s="178" t="s">
        <v>232</v>
      </c>
      <c r="B6" s="179"/>
      <c r="C6" s="179"/>
      <c r="D6" s="179"/>
      <c r="E6" s="179"/>
    </row>
    <row r="7" spans="1:5" s="3" customFormat="1" ht="20.100000000000001" customHeight="1" x14ac:dyDescent="0.2">
      <c r="A7" s="151"/>
      <c r="B7" s="151"/>
      <c r="C7" s="151"/>
      <c r="D7" s="151"/>
      <c r="E7" s="151"/>
    </row>
    <row r="8" spans="1:5" s="3" customFormat="1" ht="18.75" customHeight="1" x14ac:dyDescent="0.2"/>
    <row r="9" spans="1:5" s="3" customFormat="1" ht="7.5" customHeight="1" x14ac:dyDescent="0.2">
      <c r="A9" s="24"/>
      <c r="B9" s="24"/>
      <c r="C9" s="24"/>
      <c r="D9" s="24"/>
      <c r="E9" s="24"/>
    </row>
    <row r="10" spans="1:5" ht="24" customHeight="1" x14ac:dyDescent="0.2">
      <c r="A10" s="25" t="s">
        <v>4</v>
      </c>
      <c r="B10" s="25" t="s">
        <v>1</v>
      </c>
      <c r="C10" s="25"/>
      <c r="D10" s="25" t="s">
        <v>2</v>
      </c>
      <c r="E10" s="25" t="s">
        <v>13</v>
      </c>
    </row>
    <row r="11" spans="1:5" ht="18.95" customHeight="1" x14ac:dyDescent="0.2">
      <c r="A11" s="8"/>
      <c r="B11" s="13"/>
      <c r="C11" s="14"/>
      <c r="D11" s="14"/>
      <c r="E11" s="14"/>
    </row>
    <row r="12" spans="1:5" ht="18.95" customHeight="1" x14ac:dyDescent="0.2">
      <c r="A12" s="8">
        <v>1</v>
      </c>
      <c r="B12" s="9" t="s">
        <v>14</v>
      </c>
      <c r="C12" s="10"/>
      <c r="D12" s="154">
        <v>1</v>
      </c>
      <c r="E12" s="154">
        <v>1</v>
      </c>
    </row>
    <row r="13" spans="1:5" ht="18.95" customHeight="1" x14ac:dyDescent="0.2">
      <c r="A13" s="11"/>
      <c r="B13" s="9"/>
      <c r="C13" s="10"/>
      <c r="D13" s="154"/>
      <c r="E13" s="154"/>
    </row>
    <row r="14" spans="1:5" ht="18.95" customHeight="1" x14ac:dyDescent="0.2">
      <c r="A14" s="11">
        <v>2</v>
      </c>
      <c r="B14" s="9" t="s">
        <v>15</v>
      </c>
      <c r="C14" s="154"/>
      <c r="D14" s="154">
        <v>1.9400000000000001E-3</v>
      </c>
      <c r="E14" s="154">
        <f>D14</f>
        <v>1.9400000000000001E-3</v>
      </c>
    </row>
    <row r="15" spans="1:5" ht="18.95" customHeight="1" x14ac:dyDescent="0.2">
      <c r="A15" s="11"/>
      <c r="B15" s="9"/>
      <c r="C15" s="10"/>
      <c r="D15" s="154"/>
      <c r="E15" s="154"/>
    </row>
    <row r="16" spans="1:5" ht="18.95" customHeight="1" x14ac:dyDescent="0.2">
      <c r="A16" s="11">
        <v>3</v>
      </c>
      <c r="B16" s="9" t="s">
        <v>16</v>
      </c>
      <c r="D16" s="155">
        <v>1.941E-3</v>
      </c>
      <c r="E16" s="155">
        <f>D16</f>
        <v>1.941E-3</v>
      </c>
    </row>
    <row r="17" spans="1:5" ht="18.95" customHeight="1" x14ac:dyDescent="0.2">
      <c r="A17" s="11"/>
      <c r="B17" s="19"/>
      <c r="C17" s="10"/>
      <c r="D17" s="154"/>
      <c r="E17" s="154"/>
    </row>
    <row r="18" spans="1:5" ht="18.95" customHeight="1" x14ac:dyDescent="0.2">
      <c r="A18" s="11">
        <v>4</v>
      </c>
      <c r="B18" s="9" t="s">
        <v>233</v>
      </c>
      <c r="C18" s="10"/>
      <c r="D18" s="154">
        <f>D12-D14-D16</f>
        <v>0.99611899999999998</v>
      </c>
      <c r="E18" s="154">
        <f>E12-E14-E16</f>
        <v>0.99611899999999998</v>
      </c>
    </row>
    <row r="19" spans="1:5" ht="18.95" customHeight="1" x14ac:dyDescent="0.2">
      <c r="A19" s="11"/>
      <c r="B19" s="156"/>
      <c r="C19" s="10"/>
      <c r="D19" s="154"/>
      <c r="E19" s="154"/>
    </row>
    <row r="20" spans="1:5" ht="18.95" customHeight="1" x14ac:dyDescent="0.2">
      <c r="A20" s="11">
        <v>5</v>
      </c>
      <c r="B20" s="156" t="s">
        <v>234</v>
      </c>
      <c r="C20" s="33">
        <v>0.06</v>
      </c>
      <c r="D20" s="154">
        <f>D18*C20</f>
        <v>5.9767139999999996E-2</v>
      </c>
      <c r="E20" s="155">
        <f>D20</f>
        <v>5.9767139999999996E-2</v>
      </c>
    </row>
    <row r="21" spans="1:5" ht="18.95" customHeight="1" x14ac:dyDescent="0.2">
      <c r="A21" s="11"/>
      <c r="B21" s="156"/>
      <c r="C21" s="10"/>
      <c r="D21" s="154"/>
      <c r="E21" s="154"/>
    </row>
    <row r="22" spans="1:5" ht="18.95" customHeight="1" x14ac:dyDescent="0.2">
      <c r="A22" s="11">
        <v>6</v>
      </c>
      <c r="B22" s="9" t="s">
        <v>235</v>
      </c>
      <c r="D22" s="154"/>
      <c r="E22" s="154">
        <f>E18-E20</f>
        <v>0.93635186000000004</v>
      </c>
    </row>
    <row r="23" spans="1:5" ht="18.95" customHeight="1" x14ac:dyDescent="0.2">
      <c r="A23" s="11"/>
      <c r="B23" s="157"/>
      <c r="C23" s="10"/>
      <c r="D23" s="154"/>
      <c r="E23" s="154"/>
    </row>
    <row r="24" spans="1:5" ht="18.95" customHeight="1" x14ac:dyDescent="0.2">
      <c r="A24" s="11">
        <v>7</v>
      </c>
      <c r="B24" s="156" t="s">
        <v>236</v>
      </c>
      <c r="C24" s="33">
        <v>0.21</v>
      </c>
      <c r="D24" s="158"/>
      <c r="E24" s="155">
        <f>E22*C24</f>
        <v>0.1966338906</v>
      </c>
    </row>
    <row r="25" spans="1:5" ht="18.95" customHeight="1" x14ac:dyDescent="0.2">
      <c r="A25" s="11"/>
      <c r="B25" s="157"/>
      <c r="C25" s="10"/>
      <c r="D25" s="154"/>
      <c r="E25" s="154"/>
    </row>
    <row r="26" spans="1:5" ht="18.95" customHeight="1" thickBot="1" x14ac:dyDescent="0.25">
      <c r="A26" s="11">
        <v>8</v>
      </c>
      <c r="B26" s="156" t="s">
        <v>237</v>
      </c>
      <c r="E26" s="159">
        <f>E20+E24</f>
        <v>0.25640103059999997</v>
      </c>
    </row>
    <row r="27" spans="1:5" ht="18.95" customHeight="1" thickTop="1" x14ac:dyDescent="0.2"/>
    <row r="28" spans="1:5" ht="18.95" customHeight="1" x14ac:dyDescent="0.2">
      <c r="E28" s="160"/>
    </row>
    <row r="29" spans="1:5" ht="18.95" customHeight="1" x14ac:dyDescent="0.2">
      <c r="E29" s="160"/>
    </row>
    <row r="30" spans="1:5" ht="18.95" customHeight="1" x14ac:dyDescent="0.2">
      <c r="E30" s="154"/>
    </row>
    <row r="31" spans="1:5" ht="18.95" customHeight="1" x14ac:dyDescent="0.2">
      <c r="E31" s="154"/>
    </row>
    <row r="32" spans="1:5" ht="18.95" customHeight="1" x14ac:dyDescent="0.2">
      <c r="E32" s="154"/>
    </row>
    <row r="33" spans="5:5" ht="18.95" customHeight="1" x14ac:dyDescent="0.2">
      <c r="E33" s="154"/>
    </row>
    <row r="34" spans="5:5" ht="18.95" customHeight="1" x14ac:dyDescent="0.2"/>
    <row r="35" spans="5:5" ht="18.95" customHeight="1" x14ac:dyDescent="0.2"/>
    <row r="36" spans="5:5" ht="18.95" customHeight="1" x14ac:dyDescent="0.2"/>
    <row r="37" spans="5:5" ht="18.95" customHeight="1" x14ac:dyDescent="0.2"/>
    <row r="38" spans="5:5" ht="18.95" customHeight="1" x14ac:dyDescent="0.2"/>
    <row r="39" spans="5:5" ht="18.95" customHeight="1" x14ac:dyDescent="0.2"/>
    <row r="40" spans="5:5" ht="18.95" customHeight="1" x14ac:dyDescent="0.2"/>
    <row r="41" spans="5:5" ht="18.95" customHeight="1" x14ac:dyDescent="0.2"/>
    <row r="42" spans="5:5" ht="18.95" customHeight="1" x14ac:dyDescent="0.2"/>
    <row r="43" spans="5:5" ht="18.95" customHeight="1" x14ac:dyDescent="0.2"/>
    <row r="44" spans="5:5" ht="18.95" customHeight="1" x14ac:dyDescent="0.2"/>
    <row r="45" spans="5:5" ht="18.95" customHeight="1" x14ac:dyDescent="0.2"/>
    <row r="46" spans="5:5" ht="18.95" customHeight="1" x14ac:dyDescent="0.2"/>
    <row r="47" spans="5:5" ht="18.95" customHeight="1" x14ac:dyDescent="0.2"/>
    <row r="48" spans="5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</sheetData>
  <mergeCells count="4">
    <mergeCell ref="A3:E3"/>
    <mergeCell ref="A4:E4"/>
    <mergeCell ref="A5:E5"/>
    <mergeCell ref="A6:E6"/>
  </mergeCells>
  <pageMargins left="0.95" right="0.5" top="0.75" bottom="0.75" header="0.3" footer="0.3"/>
  <pageSetup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31" sqref="H31"/>
    </sheetView>
  </sheetViews>
  <sheetFormatPr defaultRowHeight="15" outlineLevelRow="1" x14ac:dyDescent="0.25"/>
  <cols>
    <col min="1" max="1" width="48.7109375" style="63" customWidth="1"/>
    <col min="2" max="2" width="15.7109375" style="63" customWidth="1"/>
    <col min="3" max="3" width="2.7109375" style="63" customWidth="1"/>
    <col min="4" max="5" width="13.7109375" style="63" customWidth="1"/>
    <col min="6" max="6" width="2.7109375" style="63" customWidth="1"/>
    <col min="7" max="7" width="15.7109375" style="63" customWidth="1"/>
    <col min="8" max="8" width="13.7109375" style="63" customWidth="1"/>
    <col min="9" max="9" width="3.42578125" style="63" customWidth="1"/>
    <col min="10" max="10" width="16.28515625" style="63" bestFit="1" customWidth="1"/>
    <col min="11" max="16384" width="9.140625" style="63"/>
  </cols>
  <sheetData>
    <row r="1" spans="1:11" s="58" customFormat="1" ht="18.75" x14ac:dyDescent="0.3">
      <c r="B1" s="180" t="s">
        <v>105</v>
      </c>
      <c r="C1" s="180"/>
      <c r="D1" s="180"/>
      <c r="E1" s="180"/>
      <c r="F1" s="180"/>
      <c r="G1" s="180"/>
      <c r="H1" s="180"/>
    </row>
    <row r="2" spans="1:11" s="75" customFormat="1" ht="39" customHeight="1" x14ac:dyDescent="0.45">
      <c r="C2" s="76"/>
      <c r="D2" s="181" t="s">
        <v>177</v>
      </c>
      <c r="E2" s="181"/>
      <c r="F2" s="76"/>
      <c r="H2" s="96"/>
    </row>
    <row r="3" spans="1:11" s="80" customFormat="1" ht="51.75" x14ac:dyDescent="0.4">
      <c r="A3" s="77" t="s">
        <v>91</v>
      </c>
      <c r="B3" s="78" t="s">
        <v>178</v>
      </c>
      <c r="C3" s="79"/>
      <c r="D3" s="78" t="s">
        <v>179</v>
      </c>
      <c r="E3" s="78" t="s">
        <v>180</v>
      </c>
      <c r="F3" s="79"/>
      <c r="G3" s="97" t="s">
        <v>223</v>
      </c>
      <c r="H3" s="78" t="s">
        <v>181</v>
      </c>
    </row>
    <row r="4" spans="1:11" s="80" customFormat="1" ht="17.25" x14ac:dyDescent="0.4">
      <c r="A4" s="81" t="s">
        <v>182</v>
      </c>
      <c r="B4" s="78"/>
      <c r="C4" s="79"/>
      <c r="D4" s="78"/>
      <c r="E4" s="78"/>
      <c r="F4" s="79"/>
      <c r="G4" s="78"/>
      <c r="H4" s="78"/>
    </row>
    <row r="5" spans="1:11" x14ac:dyDescent="0.25">
      <c r="A5" s="82" t="s">
        <v>183</v>
      </c>
      <c r="B5" s="64">
        <v>441462416</v>
      </c>
      <c r="C5" s="71"/>
      <c r="D5" s="64">
        <v>28411975</v>
      </c>
      <c r="E5" s="83">
        <f t="shared" ref="E5:E26" si="0">IF(B5=0,0,D5/B5)</f>
        <v>6.4358762989237123E-2</v>
      </c>
      <c r="F5" s="71"/>
      <c r="G5" s="64">
        <f>B5+D5</f>
        <v>469874391</v>
      </c>
      <c r="H5" s="98">
        <f>G5/G$26</f>
        <v>0.40642501384805907</v>
      </c>
      <c r="J5" s="84">
        <f>D5+B5</f>
        <v>469874391</v>
      </c>
    </row>
    <row r="6" spans="1:11" x14ac:dyDescent="0.25">
      <c r="A6" s="82" t="s">
        <v>184</v>
      </c>
      <c r="B6" s="71">
        <v>55652</v>
      </c>
      <c r="C6" s="71"/>
      <c r="D6" s="71">
        <v>3580</v>
      </c>
      <c r="E6" s="83">
        <f t="shared" si="0"/>
        <v>6.4328326026018831E-2</v>
      </c>
      <c r="F6" s="71"/>
      <c r="G6" s="71">
        <f t="shared" ref="G6:G25" si="1">B6+D6</f>
        <v>59232</v>
      </c>
      <c r="H6" s="98">
        <f t="shared" ref="H6:H26" si="2">G6/G$26</f>
        <v>5.1233620902417374E-5</v>
      </c>
      <c r="J6" s="84">
        <f>D6+B6</f>
        <v>59232</v>
      </c>
    </row>
    <row r="7" spans="1:11" x14ac:dyDescent="0.25">
      <c r="A7" s="82" t="s">
        <v>185</v>
      </c>
      <c r="B7" s="71">
        <v>170461520</v>
      </c>
      <c r="C7" s="71"/>
      <c r="D7" s="71">
        <v>8295740</v>
      </c>
      <c r="E7" s="83">
        <f t="shared" si="0"/>
        <v>4.8666350036066792E-2</v>
      </c>
      <c r="F7" s="71"/>
      <c r="G7" s="71">
        <f t="shared" si="1"/>
        <v>178757260</v>
      </c>
      <c r="H7" s="98">
        <f t="shared" si="2"/>
        <v>0.15461881571439184</v>
      </c>
      <c r="J7" s="84">
        <f>SUM(J5:J6)</f>
        <v>469933623</v>
      </c>
      <c r="K7" s="83">
        <f>ROUND(J7/J26,2)</f>
        <v>0.41</v>
      </c>
    </row>
    <row r="8" spans="1:11" hidden="1" outlineLevel="1" x14ac:dyDescent="0.25">
      <c r="A8" s="85" t="s">
        <v>186</v>
      </c>
      <c r="B8" s="86">
        <v>158516776</v>
      </c>
      <c r="C8" s="86"/>
      <c r="D8" s="86">
        <v>7690244</v>
      </c>
      <c r="E8" s="87">
        <f t="shared" si="0"/>
        <v>4.8513754783910061E-2</v>
      </c>
      <c r="F8" s="86"/>
      <c r="G8" s="86">
        <f t="shared" si="1"/>
        <v>166207020</v>
      </c>
      <c r="H8" s="98">
        <f t="shared" si="2"/>
        <v>0.14376329440168326</v>
      </c>
    </row>
    <row r="9" spans="1:11" hidden="1" outlineLevel="1" x14ac:dyDescent="0.25">
      <c r="A9" s="85" t="s">
        <v>187</v>
      </c>
      <c r="B9" s="86">
        <v>12536325</v>
      </c>
      <c r="C9" s="86"/>
      <c r="D9" s="86">
        <v>603209</v>
      </c>
      <c r="E9" s="87">
        <f t="shared" si="0"/>
        <v>4.8116892310944397E-2</v>
      </c>
      <c r="F9" s="86"/>
      <c r="G9" s="86">
        <f t="shared" si="1"/>
        <v>13139534</v>
      </c>
      <c r="H9" s="98">
        <f t="shared" si="2"/>
        <v>1.1365240136926387E-2</v>
      </c>
    </row>
    <row r="10" spans="1:11" s="74" customFormat="1" collapsed="1" x14ac:dyDescent="0.25">
      <c r="A10" s="88" t="s">
        <v>188</v>
      </c>
      <c r="B10" s="89">
        <f>SUM(B8:B9)</f>
        <v>171053101</v>
      </c>
      <c r="C10" s="89"/>
      <c r="D10" s="89">
        <f>SUM(D8:D9)</f>
        <v>8293453</v>
      </c>
      <c r="E10" s="90">
        <f t="shared" si="0"/>
        <v>4.8484669096995794E-2</v>
      </c>
      <c r="F10" s="89"/>
      <c r="G10" s="89">
        <f t="shared" si="1"/>
        <v>179346554</v>
      </c>
      <c r="H10" s="98">
        <f t="shared" si="2"/>
        <v>0.15512853453860964</v>
      </c>
    </row>
    <row r="11" spans="1:11" x14ac:dyDescent="0.25">
      <c r="A11" s="82" t="s">
        <v>189</v>
      </c>
      <c r="B11" s="71">
        <v>77663825</v>
      </c>
      <c r="C11" s="71"/>
      <c r="D11" s="71">
        <v>1414829</v>
      </c>
      <c r="E11" s="83">
        <f t="shared" si="0"/>
        <v>1.8217348939483732E-2</v>
      </c>
      <c r="F11" s="71"/>
      <c r="G11" s="71">
        <f t="shared" si="1"/>
        <v>79078654</v>
      </c>
      <c r="H11" s="98">
        <f t="shared" si="2"/>
        <v>6.8400286677968519E-2</v>
      </c>
    </row>
    <row r="12" spans="1:11" x14ac:dyDescent="0.25">
      <c r="A12" s="82" t="s">
        <v>190</v>
      </c>
      <c r="B12" s="71">
        <v>126370424</v>
      </c>
      <c r="C12" s="71"/>
      <c r="D12" s="71">
        <v>6519985</v>
      </c>
      <c r="E12" s="83">
        <f t="shared" si="0"/>
        <v>5.1594232207371561E-2</v>
      </c>
      <c r="F12" s="71"/>
      <c r="G12" s="71">
        <f t="shared" si="1"/>
        <v>132890409</v>
      </c>
      <c r="H12" s="98">
        <f t="shared" si="2"/>
        <v>0.11494558408078731</v>
      </c>
    </row>
    <row r="13" spans="1:11" x14ac:dyDescent="0.25">
      <c r="A13" s="82" t="s">
        <v>191</v>
      </c>
      <c r="B13" s="71">
        <v>68895503</v>
      </c>
      <c r="C13" s="71"/>
      <c r="D13" s="71">
        <v>3583260</v>
      </c>
      <c r="E13" s="83">
        <f t="shared" si="0"/>
        <v>5.2010070962106192E-2</v>
      </c>
      <c r="F13" s="71"/>
      <c r="G13" s="71">
        <f t="shared" si="1"/>
        <v>72478763</v>
      </c>
      <c r="H13" s="98">
        <f t="shared" si="2"/>
        <v>6.2691610396713851E-2</v>
      </c>
    </row>
    <row r="14" spans="1:11" x14ac:dyDescent="0.25">
      <c r="A14" s="82" t="s">
        <v>192</v>
      </c>
      <c r="B14" s="71">
        <v>0</v>
      </c>
      <c r="C14" s="71"/>
      <c r="D14" s="71">
        <v>0</v>
      </c>
      <c r="E14" s="83">
        <f t="shared" si="0"/>
        <v>0</v>
      </c>
      <c r="F14" s="71"/>
      <c r="G14" s="71">
        <f t="shared" si="1"/>
        <v>0</v>
      </c>
      <c r="H14" s="98">
        <f t="shared" si="2"/>
        <v>0</v>
      </c>
    </row>
    <row r="15" spans="1:11" hidden="1" outlineLevel="1" x14ac:dyDescent="0.25">
      <c r="A15" s="85" t="s">
        <v>193</v>
      </c>
      <c r="B15" s="86">
        <v>-3955200</v>
      </c>
      <c r="C15" s="86"/>
      <c r="D15" s="86">
        <v>309000</v>
      </c>
      <c r="E15" s="87">
        <f t="shared" si="0"/>
        <v>-7.8125E-2</v>
      </c>
      <c r="F15" s="86"/>
      <c r="G15" s="86">
        <f t="shared" si="1"/>
        <v>-3646200</v>
      </c>
      <c r="H15" s="98">
        <f t="shared" si="2"/>
        <v>-3.1538362461911505E-3</v>
      </c>
    </row>
    <row r="16" spans="1:11" hidden="1" outlineLevel="1" x14ac:dyDescent="0.25">
      <c r="A16" s="85" t="s">
        <v>194</v>
      </c>
      <c r="B16" s="86">
        <v>-379322</v>
      </c>
      <c r="C16" s="86"/>
      <c r="D16" s="86">
        <v>29179</v>
      </c>
      <c r="E16" s="87">
        <f t="shared" si="0"/>
        <v>-7.6924090877934836E-2</v>
      </c>
      <c r="F16" s="86"/>
      <c r="G16" s="86">
        <f t="shared" si="1"/>
        <v>-350143</v>
      </c>
      <c r="H16" s="98">
        <f t="shared" si="2"/>
        <v>-3.0286152288687071E-4</v>
      </c>
    </row>
    <row r="17" spans="1:10" s="74" customFormat="1" collapsed="1" x14ac:dyDescent="0.25">
      <c r="A17" s="88" t="s">
        <v>195</v>
      </c>
      <c r="B17" s="89">
        <f>SUM(B15:B16)</f>
        <v>-4334522</v>
      </c>
      <c r="C17" s="89"/>
      <c r="D17" s="89">
        <f>SUM(D15:D16)</f>
        <v>338179</v>
      </c>
      <c r="E17" s="90">
        <f t="shared" si="0"/>
        <v>-7.8019906231875158E-2</v>
      </c>
      <c r="F17" s="89"/>
      <c r="G17" s="89">
        <f t="shared" si="1"/>
        <v>-3996343</v>
      </c>
      <c r="H17" s="98">
        <f t="shared" si="2"/>
        <v>-3.4566977690780212E-3</v>
      </c>
    </row>
    <row r="18" spans="1:10" x14ac:dyDescent="0.25">
      <c r="A18" s="82" t="s">
        <v>196</v>
      </c>
      <c r="B18" s="71">
        <v>6754787</v>
      </c>
      <c r="C18" s="71"/>
      <c r="D18" s="71">
        <v>411692</v>
      </c>
      <c r="E18" s="83">
        <f t="shared" si="0"/>
        <v>6.0948183858351122E-2</v>
      </c>
      <c r="F18" s="71"/>
      <c r="G18" s="71">
        <f t="shared" si="1"/>
        <v>7166479</v>
      </c>
      <c r="H18" s="98">
        <f t="shared" si="2"/>
        <v>6.1987552048071177E-3</v>
      </c>
    </row>
    <row r="19" spans="1:10" x14ac:dyDescent="0.25">
      <c r="A19" s="82" t="s">
        <v>197</v>
      </c>
      <c r="B19" s="71">
        <v>3519981</v>
      </c>
      <c r="C19" s="71"/>
      <c r="D19" s="71">
        <v>196213</v>
      </c>
      <c r="E19" s="83">
        <f t="shared" si="0"/>
        <v>5.5742630428971068E-2</v>
      </c>
      <c r="F19" s="71"/>
      <c r="G19" s="71">
        <f t="shared" si="1"/>
        <v>3716194</v>
      </c>
      <c r="H19" s="98">
        <f t="shared" si="2"/>
        <v>3.2143786229713337E-3</v>
      </c>
    </row>
    <row r="20" spans="1:10" x14ac:dyDescent="0.25">
      <c r="A20" s="82" t="s">
        <v>198</v>
      </c>
      <c r="B20" s="71">
        <v>244537</v>
      </c>
      <c r="C20" s="71"/>
      <c r="D20" s="71">
        <v>0</v>
      </c>
      <c r="E20" s="83">
        <f t="shared" si="0"/>
        <v>0</v>
      </c>
      <c r="F20" s="71"/>
      <c r="G20" s="71">
        <f t="shared" si="1"/>
        <v>244537</v>
      </c>
      <c r="H20" s="98">
        <f t="shared" si="2"/>
        <v>2.1151600409600281E-4</v>
      </c>
    </row>
    <row r="21" spans="1:10" x14ac:dyDescent="0.25">
      <c r="A21" s="82" t="s">
        <v>199</v>
      </c>
      <c r="B21" s="71">
        <v>304220</v>
      </c>
      <c r="C21" s="71"/>
      <c r="D21" s="71">
        <v>12777</v>
      </c>
      <c r="E21" s="83">
        <f t="shared" si="0"/>
        <v>4.1999211097232265E-2</v>
      </c>
      <c r="F21" s="71"/>
      <c r="G21" s="71">
        <f t="shared" si="1"/>
        <v>316997</v>
      </c>
      <c r="H21" s="98">
        <f t="shared" si="2"/>
        <v>2.7419138514997974E-4</v>
      </c>
    </row>
    <row r="22" spans="1:10" hidden="1" outlineLevel="1" x14ac:dyDescent="0.25">
      <c r="A22" s="85" t="s">
        <v>200</v>
      </c>
      <c r="B22" s="86">
        <v>12453087</v>
      </c>
      <c r="C22" s="86"/>
      <c r="D22" s="91"/>
      <c r="E22" s="87">
        <f t="shared" si="0"/>
        <v>0</v>
      </c>
      <c r="F22" s="86"/>
      <c r="G22" s="86">
        <f t="shared" si="1"/>
        <v>12453087</v>
      </c>
      <c r="H22" s="98">
        <f t="shared" si="2"/>
        <v>1.0771487345063852E-2</v>
      </c>
    </row>
    <row r="23" spans="1:10" hidden="1" outlineLevel="1" x14ac:dyDescent="0.25">
      <c r="A23" s="85" t="s">
        <v>201</v>
      </c>
      <c r="B23" s="86">
        <v>10936238</v>
      </c>
      <c r="C23" s="86"/>
      <c r="D23" s="91"/>
      <c r="E23" s="87">
        <f t="shared" si="0"/>
        <v>0</v>
      </c>
      <c r="F23" s="86"/>
      <c r="G23" s="86">
        <f t="shared" si="1"/>
        <v>10936238</v>
      </c>
      <c r="H23" s="98">
        <f t="shared" si="2"/>
        <v>9.4594656906842791E-3</v>
      </c>
    </row>
    <row r="24" spans="1:10" s="74" customFormat="1" collapsed="1" x14ac:dyDescent="0.25">
      <c r="A24" s="88" t="s">
        <v>202</v>
      </c>
      <c r="B24" s="89">
        <f>SUM(B22:B23)</f>
        <v>23389325</v>
      </c>
      <c r="C24" s="89"/>
      <c r="D24" s="89">
        <v>389243</v>
      </c>
      <c r="E24" s="90">
        <f t="shared" si="0"/>
        <v>1.6641908220951223E-2</v>
      </c>
      <c r="F24" s="89"/>
      <c r="G24" s="89">
        <f t="shared" si="1"/>
        <v>23778568</v>
      </c>
      <c r="H24" s="98">
        <f t="shared" si="2"/>
        <v>2.0567634699391425E-2</v>
      </c>
    </row>
    <row r="25" spans="1:10" ht="17.25" x14ac:dyDescent="0.4">
      <c r="A25" s="82" t="s">
        <v>203</v>
      </c>
      <c r="B25" s="72">
        <v>13154202.00385</v>
      </c>
      <c r="C25" s="71"/>
      <c r="D25" s="72">
        <v>-750070</v>
      </c>
      <c r="E25" s="83">
        <f t="shared" si="0"/>
        <v>-5.7021322903545793E-2</v>
      </c>
      <c r="F25" s="71"/>
      <c r="G25" s="72">
        <f t="shared" si="1"/>
        <v>12404132.00385</v>
      </c>
      <c r="H25" s="98">
        <f t="shared" si="2"/>
        <v>1.0729142975229498E-2</v>
      </c>
    </row>
    <row r="26" spans="1:10" ht="17.25" x14ac:dyDescent="0.4">
      <c r="A26" s="92" t="s">
        <v>204</v>
      </c>
      <c r="B26" s="69">
        <f>SUM(B5:B7,B10:B14,B17:B21,B24:B25)</f>
        <v>1098994971.00385</v>
      </c>
      <c r="D26" s="69">
        <f>SUM(D5:D7,D10:D14,D17:D21,D24:D25)</f>
        <v>57120856</v>
      </c>
      <c r="E26" s="83">
        <f t="shared" si="0"/>
        <v>5.197553902164298E-2</v>
      </c>
      <c r="G26" s="69">
        <f>SUM(G5:G7,G10:G14,G17:G21,G24:G25)</f>
        <v>1156115827.00385</v>
      </c>
      <c r="H26" s="98">
        <f t="shared" si="2"/>
        <v>1</v>
      </c>
      <c r="J26" s="84">
        <f>D26+B26</f>
        <v>1156115827.00385</v>
      </c>
    </row>
    <row r="28" spans="1:10" x14ac:dyDescent="0.25">
      <c r="A28" s="92" t="s">
        <v>205</v>
      </c>
    </row>
    <row r="29" spans="1:10" x14ac:dyDescent="0.25">
      <c r="A29" s="82" t="s">
        <v>206</v>
      </c>
      <c r="B29" s="64">
        <v>2623527</v>
      </c>
      <c r="D29" s="64">
        <v>0</v>
      </c>
      <c r="E29" s="83">
        <f>IF(B29=0,0,D29/B29)</f>
        <v>0</v>
      </c>
      <c r="G29" s="64">
        <f t="shared" ref="G29:G32" si="3">B29+D29</f>
        <v>2623527</v>
      </c>
      <c r="H29" s="83"/>
    </row>
    <row r="30" spans="1:10" x14ac:dyDescent="0.25">
      <c r="A30" s="82" t="s">
        <v>207</v>
      </c>
      <c r="B30" s="71">
        <v>1599304</v>
      </c>
      <c r="D30" s="71">
        <v>0</v>
      </c>
      <c r="E30" s="83">
        <f>IF(B30=0,0,D30/B30)</f>
        <v>0</v>
      </c>
      <c r="G30" s="71">
        <f t="shared" si="3"/>
        <v>1599304</v>
      </c>
      <c r="H30" s="83"/>
    </row>
    <row r="31" spans="1:10" x14ac:dyDescent="0.25">
      <c r="A31" s="82" t="s">
        <v>208</v>
      </c>
      <c r="B31" s="71">
        <v>3785840</v>
      </c>
      <c r="D31" s="71">
        <v>-22391</v>
      </c>
      <c r="E31" s="83">
        <f>IF(B31=0,0,D31/B31)</f>
        <v>-5.9144073706231641E-3</v>
      </c>
      <c r="G31" s="71">
        <f t="shared" si="3"/>
        <v>3763449</v>
      </c>
      <c r="H31" s="83"/>
    </row>
    <row r="32" spans="1:10" ht="17.25" x14ac:dyDescent="0.4">
      <c r="A32" s="82" t="s">
        <v>209</v>
      </c>
      <c r="B32" s="72">
        <v>13775652</v>
      </c>
      <c r="D32" s="72">
        <v>0</v>
      </c>
      <c r="E32" s="83">
        <f>IF(B32=0,0,D32/B32)</f>
        <v>0</v>
      </c>
      <c r="G32" s="72">
        <f t="shared" si="3"/>
        <v>13775652</v>
      </c>
      <c r="H32" s="83"/>
    </row>
    <row r="33" spans="1:8" ht="17.25" x14ac:dyDescent="0.4">
      <c r="A33" s="92" t="s">
        <v>210</v>
      </c>
      <c r="B33" s="69">
        <f>SUM(B26:B32)</f>
        <v>1120779294.00385</v>
      </c>
      <c r="D33" s="69">
        <f>SUM(D26:D32)</f>
        <v>57098465</v>
      </c>
      <c r="E33" s="83">
        <f>IF(B33=0,0,D33/B33)</f>
        <v>5.094532465533206E-2</v>
      </c>
      <c r="G33" s="69">
        <f>SUM(G26:G32)</f>
        <v>1177877759.00385</v>
      </c>
      <c r="H33" s="83"/>
    </row>
    <row r="36" spans="1:8" s="80" customFormat="1" ht="51.75" x14ac:dyDescent="0.4">
      <c r="A36" s="77" t="s">
        <v>106</v>
      </c>
      <c r="B36" s="78" t="str">
        <f>B3</f>
        <v>Forecasted Test Year Revenues</v>
      </c>
      <c r="C36" s="79"/>
      <c r="D36" s="78" t="str">
        <f>D3</f>
        <v>Increase</v>
      </c>
      <c r="E36" s="78" t="str">
        <f>E3</f>
        <v>Percentage Increase</v>
      </c>
      <c r="F36" s="79"/>
      <c r="G36" s="97" t="s">
        <v>223</v>
      </c>
      <c r="H36" s="78" t="str">
        <f>H3</f>
        <v>Percentage Change</v>
      </c>
    </row>
    <row r="37" spans="1:8" s="80" customFormat="1" ht="17.25" x14ac:dyDescent="0.4">
      <c r="A37" s="81" t="s">
        <v>182</v>
      </c>
      <c r="B37" s="78"/>
      <c r="C37" s="79"/>
      <c r="D37" s="78"/>
      <c r="E37" s="78"/>
      <c r="F37" s="79"/>
      <c r="G37" s="78"/>
      <c r="H37" s="78"/>
    </row>
    <row r="38" spans="1:8" x14ac:dyDescent="0.25">
      <c r="A38" s="82" t="s">
        <v>211</v>
      </c>
      <c r="B38" s="64">
        <v>214163791</v>
      </c>
      <c r="C38" s="71"/>
      <c r="D38" s="93">
        <v>4725782.0657451451</v>
      </c>
      <c r="E38" s="83">
        <f t="shared" ref="E38:E46" si="4">IF(B38=0,0,D38/B38)</f>
        <v>2.2066204766356349E-2</v>
      </c>
      <c r="F38" s="71"/>
      <c r="G38" s="64">
        <f>B38+D38</f>
        <v>218889573.06574515</v>
      </c>
      <c r="H38" s="98">
        <f>G38/G$46</f>
        <v>0.65400999616266176</v>
      </c>
    </row>
    <row r="39" spans="1:8" x14ac:dyDescent="0.25">
      <c r="A39" s="82" t="s">
        <v>212</v>
      </c>
      <c r="B39" s="71">
        <v>90227772</v>
      </c>
      <c r="C39" s="71"/>
      <c r="D39" s="89">
        <v>1992836.9447115809</v>
      </c>
      <c r="E39" s="83">
        <f t="shared" si="4"/>
        <v>2.2086735608539472E-2</v>
      </c>
      <c r="F39" s="71"/>
      <c r="G39" s="71">
        <f t="shared" ref="G39:G45" si="5">B39+D39</f>
        <v>92220608.944711581</v>
      </c>
      <c r="H39" s="98">
        <f t="shared" ref="H39:H46" si="6">G39/G$46</f>
        <v>0.2755416772818759</v>
      </c>
    </row>
    <row r="40" spans="1:8" x14ac:dyDescent="0.25">
      <c r="A40" s="82" t="s">
        <v>213</v>
      </c>
      <c r="B40" s="71">
        <v>11713011</v>
      </c>
      <c r="C40" s="71"/>
      <c r="D40" s="89">
        <v>-4.5535484608262777</v>
      </c>
      <c r="E40" s="83">
        <f t="shared" si="4"/>
        <v>-3.8875985524356443E-7</v>
      </c>
      <c r="F40" s="71"/>
      <c r="G40" s="71">
        <f t="shared" si="5"/>
        <v>11713006.446451539</v>
      </c>
      <c r="H40" s="98">
        <f t="shared" si="6"/>
        <v>3.4996748332073987E-2</v>
      </c>
    </row>
    <row r="41" spans="1:8" s="74" customFormat="1" x14ac:dyDescent="0.25">
      <c r="A41" s="82" t="s">
        <v>214</v>
      </c>
      <c r="B41" s="89">
        <v>7041</v>
      </c>
      <c r="C41" s="89"/>
      <c r="D41" s="89">
        <v>1288.0843199999981</v>
      </c>
      <c r="E41" s="90">
        <f t="shared" si="4"/>
        <v>0.18294053685556003</v>
      </c>
      <c r="F41" s="89"/>
      <c r="G41" s="89">
        <f t="shared" si="5"/>
        <v>8329.0843199999981</v>
      </c>
      <c r="H41" s="98">
        <f t="shared" si="6"/>
        <v>2.4886084466552207E-5</v>
      </c>
    </row>
    <row r="42" spans="1:8" x14ac:dyDescent="0.25">
      <c r="A42" s="82" t="s">
        <v>215</v>
      </c>
      <c r="B42" s="71">
        <v>1076927</v>
      </c>
      <c r="C42" s="71"/>
      <c r="D42" s="89">
        <v>-71575</v>
      </c>
      <c r="E42" s="83">
        <f t="shared" si="4"/>
        <v>-6.6462257887489121E-2</v>
      </c>
      <c r="F42" s="71"/>
      <c r="G42" s="71">
        <f t="shared" si="5"/>
        <v>1005352</v>
      </c>
      <c r="H42" s="98">
        <f t="shared" si="6"/>
        <v>3.0038445799546428E-3</v>
      </c>
    </row>
    <row r="43" spans="1:8" x14ac:dyDescent="0.25">
      <c r="A43" s="82" t="s">
        <v>216</v>
      </c>
      <c r="B43" s="71">
        <v>7771455</v>
      </c>
      <c r="C43" s="71"/>
      <c r="D43" s="89">
        <v>169931.66086180136</v>
      </c>
      <c r="E43" s="83">
        <f t="shared" si="4"/>
        <v>2.1866131999966718E-2</v>
      </c>
      <c r="F43" s="71"/>
      <c r="G43" s="71">
        <f t="shared" si="5"/>
        <v>7941386.6608618014</v>
      </c>
      <c r="H43" s="98">
        <f t="shared" si="6"/>
        <v>2.3727700624809837E-2</v>
      </c>
    </row>
    <row r="44" spans="1:8" x14ac:dyDescent="0.25">
      <c r="A44" s="82" t="s">
        <v>217</v>
      </c>
      <c r="B44" s="71">
        <v>2922301</v>
      </c>
      <c r="C44" s="71"/>
      <c r="D44" s="89">
        <v>-70922.011408440769</v>
      </c>
      <c r="E44" s="83">
        <f t="shared" si="4"/>
        <v>-2.4269235581290485E-2</v>
      </c>
      <c r="F44" s="71"/>
      <c r="G44" s="71">
        <f t="shared" si="5"/>
        <v>2851378.9885915592</v>
      </c>
      <c r="H44" s="98">
        <f t="shared" si="6"/>
        <v>8.5195029405395386E-3</v>
      </c>
    </row>
    <row r="45" spans="1:8" ht="17.25" x14ac:dyDescent="0.4">
      <c r="A45" s="82" t="s">
        <v>218</v>
      </c>
      <c r="B45" s="72">
        <v>19209</v>
      </c>
      <c r="C45" s="71"/>
      <c r="D45" s="94">
        <v>39577.010917498861</v>
      </c>
      <c r="E45" s="83">
        <f t="shared" si="4"/>
        <v>2.0603368690457007</v>
      </c>
      <c r="F45" s="71"/>
      <c r="G45" s="72">
        <f t="shared" si="5"/>
        <v>58786.010917498861</v>
      </c>
      <c r="H45" s="98">
        <f t="shared" si="6"/>
        <v>1.7564399361784071E-4</v>
      </c>
    </row>
    <row r="46" spans="1:8" ht="17.25" x14ac:dyDescent="0.4">
      <c r="A46" s="92" t="s">
        <v>219</v>
      </c>
      <c r="B46" s="69">
        <f>SUM(B38:B45)</f>
        <v>327901507</v>
      </c>
      <c r="D46" s="95">
        <f>SUM(D38:D45)</f>
        <v>6786914.2015991248</v>
      </c>
      <c r="E46" s="83">
        <f t="shared" si="4"/>
        <v>2.069802686694918E-2</v>
      </c>
      <c r="G46" s="69">
        <f>SUM(G38:G45)</f>
        <v>334688421.20159912</v>
      </c>
      <c r="H46" s="98">
        <f t="shared" si="6"/>
        <v>1</v>
      </c>
    </row>
    <row r="48" spans="1:8" x14ac:dyDescent="0.25">
      <c r="A48" s="92" t="s">
        <v>205</v>
      </c>
    </row>
    <row r="49" spans="1:8" x14ac:dyDescent="0.25">
      <c r="A49" s="82" t="s">
        <v>206</v>
      </c>
      <c r="B49" s="64">
        <v>1168995</v>
      </c>
      <c r="D49" s="64">
        <v>0</v>
      </c>
      <c r="E49" s="83">
        <f>IF(B49=0,0,D49/B49)</f>
        <v>0</v>
      </c>
      <c r="G49" s="64">
        <f t="shared" ref="G49:G50" si="7">B49+D49</f>
        <v>1168995</v>
      </c>
      <c r="H49" s="83"/>
    </row>
    <row r="50" spans="1:8" ht="17.25" x14ac:dyDescent="0.4">
      <c r="A50" s="82" t="s">
        <v>209</v>
      </c>
      <c r="B50" s="72">
        <v>477465</v>
      </c>
      <c r="D50" s="72">
        <v>0</v>
      </c>
      <c r="E50" s="83">
        <f>IF(B50=0,0,D50/B50)</f>
        <v>0</v>
      </c>
      <c r="G50" s="72">
        <f t="shared" si="7"/>
        <v>477465</v>
      </c>
      <c r="H50" s="83"/>
    </row>
    <row r="51" spans="1:8" ht="17.25" x14ac:dyDescent="0.4">
      <c r="A51" s="92" t="s">
        <v>210</v>
      </c>
      <c r="B51" s="69">
        <f>SUM(B46:B50)</f>
        <v>329547967</v>
      </c>
      <c r="D51" s="69">
        <f>SUM(D46:D50)</f>
        <v>6786914.2015991248</v>
      </c>
      <c r="E51" s="83">
        <f>IF(B51=0,0,D51/B51)</f>
        <v>2.0594617115629557E-2</v>
      </c>
      <c r="G51" s="69">
        <f>SUM(G46:G50)</f>
        <v>336334881.20159912</v>
      </c>
      <c r="H51" s="83"/>
    </row>
  </sheetData>
  <mergeCells count="2">
    <mergeCell ref="B1:H1"/>
    <mergeCell ref="D2:E2"/>
  </mergeCells>
  <printOptions horizontalCentered="1"/>
  <pageMargins left="1" right="1" top="1" bottom="1" header="0.3" footer="0.3"/>
  <pageSetup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A9" sqref="A9"/>
    </sheetView>
  </sheetViews>
  <sheetFormatPr defaultRowHeight="15" x14ac:dyDescent="0.25"/>
  <cols>
    <col min="1" max="1" width="30.7109375" style="63" customWidth="1"/>
    <col min="2" max="2" width="15.7109375" style="63" customWidth="1"/>
    <col min="3" max="3" width="7.85546875" style="63" bestFit="1" customWidth="1"/>
    <col min="4" max="5" width="15.7109375" style="63" customWidth="1"/>
    <col min="6" max="16384" width="9.140625" style="63"/>
  </cols>
  <sheetData>
    <row r="1" spans="1:6" s="58" customFormat="1" ht="18.75" x14ac:dyDescent="0.3">
      <c r="A1" s="55" t="s">
        <v>105</v>
      </c>
      <c r="B1" s="56"/>
      <c r="C1" s="56"/>
      <c r="D1" s="57"/>
      <c r="E1" s="57"/>
      <c r="F1" s="57"/>
    </row>
    <row r="2" spans="1:6" s="60" customFormat="1" x14ac:dyDescent="0.25">
      <c r="A2" s="59" t="s">
        <v>220</v>
      </c>
      <c r="B2" s="59"/>
      <c r="C2" s="59"/>
      <c r="D2" s="59"/>
      <c r="E2" s="59"/>
      <c r="F2" s="59"/>
    </row>
    <row r="3" spans="1:6" s="60" customFormat="1" x14ac:dyDescent="0.25">
      <c r="A3" s="59"/>
      <c r="B3" s="59"/>
      <c r="C3" s="59"/>
      <c r="D3" s="59"/>
      <c r="E3" s="59"/>
      <c r="F3" s="59"/>
    </row>
    <row r="4" spans="1:6" ht="51.75" x14ac:dyDescent="0.4">
      <c r="A4" s="61" t="s">
        <v>92</v>
      </c>
      <c r="B4" s="62" t="s">
        <v>173</v>
      </c>
      <c r="C4" s="62" t="s">
        <v>172</v>
      </c>
      <c r="D4" s="62" t="s">
        <v>93</v>
      </c>
      <c r="E4" s="62" t="s">
        <v>94</v>
      </c>
    </row>
    <row r="5" spans="1:6" x14ac:dyDescent="0.25">
      <c r="A5" s="63" t="s">
        <v>174</v>
      </c>
      <c r="B5" s="71">
        <v>4180088831.1108088</v>
      </c>
      <c r="C5" s="65">
        <f>B5/B$7</f>
        <v>0.35049982339945701</v>
      </c>
    </row>
    <row r="6" spans="1:6" ht="17.25" x14ac:dyDescent="0.4">
      <c r="A6" s="66" t="s">
        <v>175</v>
      </c>
      <c r="B6" s="72">
        <f>7644220293.64968+101770582.123849</f>
        <v>7745990875.7735291</v>
      </c>
      <c r="C6" s="67">
        <f>B6/B$7</f>
        <v>0.64950017660054293</v>
      </c>
    </row>
    <row r="7" spans="1:6" ht="17.25" x14ac:dyDescent="0.4">
      <c r="A7" s="68" t="s">
        <v>176</v>
      </c>
      <c r="B7" s="73">
        <f>SUM(B5:B6)</f>
        <v>11926079706.884338</v>
      </c>
      <c r="C7" s="70">
        <f>SUM(C5:C6)</f>
        <v>1</v>
      </c>
      <c r="D7" s="73">
        <v>11926079706.884344</v>
      </c>
      <c r="E7" s="73">
        <f>B7-D7</f>
        <v>0</v>
      </c>
    </row>
    <row r="9" spans="1:6" x14ac:dyDescent="0.25">
      <c r="A9" s="74"/>
      <c r="B9" s="74"/>
      <c r="C9" s="7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>
      <selection activeCell="G52" sqref="G52"/>
    </sheetView>
  </sheetViews>
  <sheetFormatPr defaultRowHeight="12.75" x14ac:dyDescent="0.2"/>
  <cols>
    <col min="1" max="1" width="1.28515625" style="101" customWidth="1"/>
    <col min="2" max="2" width="41.5703125" style="101" customWidth="1"/>
    <col min="3" max="7" width="15.140625" style="101" customWidth="1"/>
    <col min="8" max="8" width="40.42578125" style="101" customWidth="1"/>
    <col min="9" max="14" width="15.140625" style="101" customWidth="1"/>
    <col min="15" max="16384" width="9.140625" style="101"/>
  </cols>
  <sheetData>
    <row r="1" spans="1:10" ht="15" x14ac:dyDescent="0.25">
      <c r="A1" s="100" t="s">
        <v>112</v>
      </c>
      <c r="C1" s="102"/>
      <c r="D1" s="102"/>
      <c r="E1" s="102"/>
      <c r="F1" s="102"/>
      <c r="G1" s="102"/>
      <c r="H1" s="102"/>
      <c r="I1" s="102"/>
      <c r="J1" s="102"/>
    </row>
    <row r="2" spans="1:10" x14ac:dyDescent="0.2">
      <c r="A2" s="101" t="s">
        <v>72</v>
      </c>
      <c r="C2" s="102"/>
      <c r="E2" s="102"/>
      <c r="F2" s="102"/>
      <c r="G2" s="102"/>
      <c r="H2" s="102"/>
      <c r="I2" s="102"/>
      <c r="J2" s="102"/>
    </row>
    <row r="3" spans="1:10" ht="13.5" thickBot="1" x14ac:dyDescent="0.25">
      <c r="C3" s="102"/>
      <c r="D3" s="102"/>
      <c r="E3" s="102"/>
      <c r="F3" s="102"/>
      <c r="G3" s="102"/>
      <c r="H3" s="102"/>
      <c r="I3" s="102"/>
      <c r="J3" s="102"/>
    </row>
    <row r="4" spans="1:10" ht="13.5" thickBot="1" x14ac:dyDescent="0.25">
      <c r="C4" s="182" t="s">
        <v>73</v>
      </c>
      <c r="D4" s="183"/>
      <c r="E4" s="183"/>
      <c r="F4" s="183"/>
      <c r="G4" s="183"/>
      <c r="H4" s="183"/>
      <c r="I4" s="183"/>
      <c r="J4" s="184"/>
    </row>
    <row r="5" spans="1:10" ht="15" x14ac:dyDescent="0.25">
      <c r="C5" s="103"/>
      <c r="D5" s="185" t="s">
        <v>153</v>
      </c>
      <c r="E5" s="186"/>
      <c r="F5" s="186"/>
      <c r="G5" s="186"/>
      <c r="H5" s="188" t="s">
        <v>154</v>
      </c>
      <c r="I5" s="189"/>
      <c r="J5" s="190"/>
    </row>
    <row r="6" spans="1:10" ht="15" x14ac:dyDescent="0.25">
      <c r="A6" s="104"/>
      <c r="B6" s="104"/>
      <c r="C6" s="105" t="s">
        <v>75</v>
      </c>
      <c r="D6" s="106" t="s">
        <v>76</v>
      </c>
      <c r="E6" s="107" t="s">
        <v>101</v>
      </c>
      <c r="F6" s="107" t="s">
        <v>102</v>
      </c>
      <c r="G6" s="107" t="s">
        <v>155</v>
      </c>
      <c r="H6" s="106" t="s">
        <v>77</v>
      </c>
      <c r="I6" s="107" t="s">
        <v>156</v>
      </c>
      <c r="J6" s="107" t="s">
        <v>157</v>
      </c>
    </row>
    <row r="7" spans="1:10" ht="15" x14ac:dyDescent="0.25">
      <c r="B7" s="108" t="s">
        <v>78</v>
      </c>
      <c r="C7" s="102">
        <f>SUM(D7:J7)</f>
        <v>-377457808</v>
      </c>
      <c r="D7" s="109">
        <f>-319183978-H7-J7</f>
        <v>-225879095.58000001</v>
      </c>
      <c r="E7" s="110">
        <v>18358998</v>
      </c>
      <c r="F7" s="110">
        <f>-77925223-I7</f>
        <v>-76461371.609999999</v>
      </c>
      <c r="G7" s="110">
        <v>1292395</v>
      </c>
      <c r="H7" s="111">
        <v>-92764015</v>
      </c>
      <c r="I7" s="112">
        <v>-1463851.39</v>
      </c>
      <c r="J7" s="112">
        <v>-540867.42000000004</v>
      </c>
    </row>
    <row r="8" spans="1:10" x14ac:dyDescent="0.2">
      <c r="B8" s="108" t="s">
        <v>79</v>
      </c>
      <c r="C8" s="102">
        <f>+C7+C14</f>
        <v>-370511283.87229246</v>
      </c>
      <c r="D8" s="111">
        <f t="shared" ref="D8:J9" si="0">+D7+D14</f>
        <v>-220010499.48000002</v>
      </c>
      <c r="E8" s="112">
        <f t="shared" si="0"/>
        <v>18021444.891169745</v>
      </c>
      <c r="F8" s="112">
        <f t="shared" si="0"/>
        <v>-75022018.710000008</v>
      </c>
      <c r="G8" s="112">
        <f t="shared" si="0"/>
        <v>1268523.236537796</v>
      </c>
      <c r="H8" s="111">
        <f t="shared" si="0"/>
        <v>-92764015</v>
      </c>
      <c r="I8" s="112">
        <f t="shared" si="0"/>
        <v>-1463851.39</v>
      </c>
      <c r="J8" s="112">
        <f t="shared" si="0"/>
        <v>-540867.42000000004</v>
      </c>
    </row>
    <row r="9" spans="1:10" x14ac:dyDescent="0.2">
      <c r="B9" s="108" t="s">
        <v>81</v>
      </c>
      <c r="C9" s="102">
        <f>+C8+C15</f>
        <v>-367954128.66483098</v>
      </c>
      <c r="D9" s="111">
        <f t="shared" si="0"/>
        <v>-217865358.18000001</v>
      </c>
      <c r="E9" s="112">
        <f t="shared" si="0"/>
        <v>17898059.484786917</v>
      </c>
      <c r="F9" s="112">
        <f t="shared" si="0"/>
        <v>-74477590.010000005</v>
      </c>
      <c r="G9" s="112">
        <f t="shared" si="0"/>
        <v>1259493.8503820898</v>
      </c>
      <c r="H9" s="111">
        <f t="shared" si="0"/>
        <v>-92764015</v>
      </c>
      <c r="I9" s="112">
        <f t="shared" si="0"/>
        <v>-1463851.39</v>
      </c>
      <c r="J9" s="112">
        <f t="shared" si="0"/>
        <v>-540867.42000000004</v>
      </c>
    </row>
    <row r="10" spans="1:10" ht="13.5" thickBot="1" x14ac:dyDescent="0.25">
      <c r="C10" s="113"/>
      <c r="D10" s="113"/>
      <c r="E10" s="113"/>
      <c r="F10" s="113"/>
      <c r="G10" s="113"/>
    </row>
    <row r="11" spans="1:10" ht="13.5" thickBot="1" x14ac:dyDescent="0.25">
      <c r="B11" s="103"/>
      <c r="C11" s="182" t="s">
        <v>74</v>
      </c>
      <c r="D11" s="183"/>
      <c r="E11" s="183"/>
      <c r="F11" s="183"/>
      <c r="G11" s="183"/>
      <c r="H11" s="183"/>
      <c r="I11" s="183"/>
      <c r="J11" s="184"/>
    </row>
    <row r="12" spans="1:10" ht="15" x14ac:dyDescent="0.25">
      <c r="B12" s="103"/>
      <c r="C12" s="103"/>
      <c r="D12" s="185" t="s">
        <v>153</v>
      </c>
      <c r="E12" s="186"/>
      <c r="F12" s="186"/>
      <c r="G12" s="187"/>
      <c r="H12" s="188" t="s">
        <v>154</v>
      </c>
      <c r="I12" s="189"/>
      <c r="J12" s="190"/>
    </row>
    <row r="13" spans="1:10" ht="15" x14ac:dyDescent="0.25">
      <c r="B13" s="107"/>
      <c r="C13" s="105" t="s">
        <v>75</v>
      </c>
      <c r="D13" s="106" t="s">
        <v>76</v>
      </c>
      <c r="E13" s="107" t="s">
        <v>101</v>
      </c>
      <c r="F13" s="107" t="s">
        <v>102</v>
      </c>
      <c r="G13" s="114" t="s">
        <v>155</v>
      </c>
      <c r="H13" s="106" t="s">
        <v>77</v>
      </c>
      <c r="I13" s="107" t="s">
        <v>156</v>
      </c>
      <c r="J13" s="107" t="s">
        <v>157</v>
      </c>
    </row>
    <row r="14" spans="1:10" x14ac:dyDescent="0.2">
      <c r="B14" s="115" t="s">
        <v>80</v>
      </c>
      <c r="C14" s="102">
        <f>SUM(D14:H14)</f>
        <v>6946524.127707527</v>
      </c>
      <c r="D14" s="111">
        <v>5868596.0999999875</v>
      </c>
      <c r="E14" s="112">
        <f>SUM(D14,H14,J14)/SUM($D$7,$H$7,$J$7)*$E$7</f>
        <v>-337553.10883025447</v>
      </c>
      <c r="F14" s="112">
        <v>1439352.8999999971</v>
      </c>
      <c r="G14" s="116">
        <f>SUM(F14,I14)/SUM($F$7,$I$7)*$G$7</f>
        <v>-23871.76346220397</v>
      </c>
      <c r="H14" s="111">
        <v>0</v>
      </c>
      <c r="I14" s="112">
        <v>0</v>
      </c>
      <c r="J14" s="112">
        <v>0</v>
      </c>
    </row>
    <row r="15" spans="1:10" x14ac:dyDescent="0.2">
      <c r="B15" s="115" t="s">
        <v>103</v>
      </c>
      <c r="C15" s="102">
        <f>SUM(D15:H15)</f>
        <v>2557155.2074614768</v>
      </c>
      <c r="D15" s="111">
        <f>6435423.90000002/12*4</f>
        <v>2145141.3000000068</v>
      </c>
      <c r="E15" s="117">
        <f>SUM(D15,H15,J15)/SUM($D$7,$H$7,$J$7)*$E$7</f>
        <v>-123385.40638282763</v>
      </c>
      <c r="F15" s="112">
        <f>1633286.10000001/12*4</f>
        <v>544428.70000000333</v>
      </c>
      <c r="G15" s="116">
        <f>SUM(F15,I15)/SUM($F$7,$I$7)*$G$7</f>
        <v>-9029.3861557060191</v>
      </c>
      <c r="H15" s="111">
        <v>0</v>
      </c>
      <c r="I15" s="112">
        <v>0</v>
      </c>
      <c r="J15" s="112">
        <v>0</v>
      </c>
    </row>
    <row r="16" spans="1:10" ht="13.5" thickBot="1" x14ac:dyDescent="0.25">
      <c r="B16" s="118" t="s">
        <v>158</v>
      </c>
      <c r="C16" s="119">
        <f>SUM(C14:C15)</f>
        <v>9503679.3351690043</v>
      </c>
      <c r="D16" s="120">
        <f t="shared" ref="D16:J16" si="1">SUM(D14:D15)</f>
        <v>8013737.3999999948</v>
      </c>
      <c r="E16" s="119">
        <f t="shared" si="1"/>
        <v>-460938.51521308208</v>
      </c>
      <c r="F16" s="119">
        <f t="shared" si="1"/>
        <v>1983781.6000000006</v>
      </c>
      <c r="G16" s="121">
        <f t="shared" si="1"/>
        <v>-32901.149617909992</v>
      </c>
      <c r="H16" s="120">
        <f t="shared" si="1"/>
        <v>0</v>
      </c>
      <c r="I16" s="119">
        <f t="shared" si="1"/>
        <v>0</v>
      </c>
      <c r="J16" s="119">
        <f t="shared" si="1"/>
        <v>0</v>
      </c>
    </row>
    <row r="17" spans="2:6" x14ac:dyDescent="0.2">
      <c r="C17" s="122">
        <f>+C16-C22</f>
        <v>0</v>
      </c>
    </row>
    <row r="18" spans="2:6" x14ac:dyDescent="0.2">
      <c r="C18" s="122"/>
    </row>
    <row r="19" spans="2:6" ht="15" x14ac:dyDescent="0.25">
      <c r="B19" s="123" t="s">
        <v>224</v>
      </c>
    </row>
    <row r="20" spans="2:6" ht="15" x14ac:dyDescent="0.25">
      <c r="B20" s="124" t="s">
        <v>82</v>
      </c>
    </row>
    <row r="21" spans="2:6" ht="15" x14ac:dyDescent="0.25">
      <c r="C21" s="105" t="s">
        <v>75</v>
      </c>
      <c r="D21" s="105" t="s">
        <v>76</v>
      </c>
      <c r="E21" s="105" t="s">
        <v>102</v>
      </c>
      <c r="F21" s="105" t="s">
        <v>77</v>
      </c>
    </row>
    <row r="22" spans="2:6" x14ac:dyDescent="0.2">
      <c r="B22" s="101" t="s">
        <v>83</v>
      </c>
      <c r="C22" s="102">
        <f>SUM(D22:F22)</f>
        <v>9503679.3351690043</v>
      </c>
      <c r="D22" s="102">
        <f>SUM(D$16:E$16)</f>
        <v>7552798.8847869132</v>
      </c>
      <c r="E22" s="102">
        <f>SUM(F$16:G$16)</f>
        <v>1950880.4503820906</v>
      </c>
      <c r="F22" s="102">
        <f>+SUM(H$14:H$15)</f>
        <v>0</v>
      </c>
    </row>
    <row r="23" spans="2:6" x14ac:dyDescent="0.2">
      <c r="B23" s="101" t="s">
        <v>84</v>
      </c>
      <c r="C23" s="102">
        <f>SUM(D23:F23)</f>
        <v>1907561.9866666659</v>
      </c>
      <c r="D23" s="102">
        <v>1618843.9173333326</v>
      </c>
      <c r="E23" s="102">
        <v>223585.06933333332</v>
      </c>
      <c r="F23" s="102">
        <v>65133</v>
      </c>
    </row>
    <row r="24" spans="2:6" ht="15.75" thickBot="1" x14ac:dyDescent="0.3">
      <c r="B24" s="101" t="s">
        <v>85</v>
      </c>
      <c r="C24" s="125">
        <f>SUM(C22:C23)</f>
        <v>11411241.321835671</v>
      </c>
      <c r="D24" s="126">
        <f t="shared" ref="D24:F24" si="2">SUM(D22:D23)</f>
        <v>9171642.802120246</v>
      </c>
      <c r="E24" s="126">
        <f t="shared" si="2"/>
        <v>2174465.5197154242</v>
      </c>
      <c r="F24" s="125">
        <f t="shared" si="2"/>
        <v>65133</v>
      </c>
    </row>
    <row r="27" spans="2:6" ht="17.25" x14ac:dyDescent="0.4">
      <c r="B27" s="127" t="s">
        <v>159</v>
      </c>
    </row>
    <row r="28" spans="2:6" x14ac:dyDescent="0.2">
      <c r="B28" s="128" t="s">
        <v>160</v>
      </c>
      <c r="C28" s="122">
        <f>SUM(D7:E7)</f>
        <v>-207520097.58000001</v>
      </c>
    </row>
    <row r="29" spans="2:6" x14ac:dyDescent="0.2">
      <c r="B29" s="128" t="s">
        <v>161</v>
      </c>
      <c r="C29" s="122">
        <f>SUM(F7:G7)</f>
        <v>-75168976.609999999</v>
      </c>
    </row>
    <row r="30" spans="2:6" x14ac:dyDescent="0.2">
      <c r="B30" s="128" t="s">
        <v>162</v>
      </c>
      <c r="C30" s="122">
        <f>SUM(H7:J7)</f>
        <v>-94768733.810000002</v>
      </c>
    </row>
    <row r="31" spans="2:6" ht="13.5" thickBot="1" x14ac:dyDescent="0.25">
      <c r="B31" s="128"/>
      <c r="C31" s="125">
        <f>SUM(C28:C30)</f>
        <v>-377457808</v>
      </c>
    </row>
    <row r="32" spans="2:6" x14ac:dyDescent="0.2">
      <c r="C32" s="122">
        <f>+C31-C7</f>
        <v>0</v>
      </c>
    </row>
    <row r="34" spans="2:12" ht="15" x14ac:dyDescent="0.25">
      <c r="B34" s="129" t="s">
        <v>112</v>
      </c>
      <c r="C34" s="102"/>
      <c r="D34" s="102"/>
      <c r="E34" s="102"/>
      <c r="F34" s="102"/>
      <c r="H34" s="130" t="s">
        <v>112</v>
      </c>
      <c r="I34" s="131"/>
      <c r="J34" s="131"/>
      <c r="K34" s="131"/>
      <c r="L34" s="131"/>
    </row>
    <row r="35" spans="2:12" x14ac:dyDescent="0.2">
      <c r="B35" s="132" t="s">
        <v>113</v>
      </c>
      <c r="C35" s="102"/>
      <c r="D35" s="102"/>
      <c r="E35" s="102"/>
      <c r="F35" s="102"/>
      <c r="H35" s="133" t="s">
        <v>113</v>
      </c>
      <c r="I35" s="131"/>
      <c r="J35" s="131"/>
      <c r="K35" s="131"/>
      <c r="L35" s="131"/>
    </row>
    <row r="36" spans="2:12" ht="15" x14ac:dyDescent="0.25">
      <c r="B36" s="134" t="s">
        <v>91</v>
      </c>
      <c r="C36" s="102"/>
      <c r="D36" s="102"/>
      <c r="E36" s="102"/>
      <c r="F36" s="102"/>
      <c r="H36" s="130" t="s">
        <v>106</v>
      </c>
      <c r="I36" s="131"/>
      <c r="J36" s="131"/>
      <c r="K36" s="131"/>
      <c r="L36" s="131"/>
    </row>
    <row r="37" spans="2:12" ht="51.75" x14ac:dyDescent="0.4">
      <c r="B37" s="135" t="s">
        <v>114</v>
      </c>
      <c r="C37" s="136" t="s">
        <v>115</v>
      </c>
      <c r="D37" s="136" t="s">
        <v>116</v>
      </c>
      <c r="E37" s="136" t="s">
        <v>117</v>
      </c>
      <c r="F37" s="136" t="s">
        <v>118</v>
      </c>
      <c r="H37" s="137" t="s">
        <v>114</v>
      </c>
      <c r="I37" s="138" t="s">
        <v>115</v>
      </c>
      <c r="J37" s="138" t="s">
        <v>116</v>
      </c>
      <c r="K37" s="138" t="s">
        <v>117</v>
      </c>
      <c r="L37" s="138" t="s">
        <v>118</v>
      </c>
    </row>
    <row r="38" spans="2:12" x14ac:dyDescent="0.2">
      <c r="B38" s="132"/>
      <c r="C38" s="102"/>
      <c r="D38" s="102"/>
      <c r="E38" s="102"/>
      <c r="F38" s="102"/>
      <c r="H38" s="133"/>
      <c r="I38" s="131"/>
      <c r="J38" s="131"/>
      <c r="K38" s="131"/>
      <c r="L38" s="131"/>
    </row>
    <row r="39" spans="2:12" ht="15" x14ac:dyDescent="0.25">
      <c r="B39" s="128" t="s">
        <v>119</v>
      </c>
      <c r="C39" s="139">
        <v>-6081252.5999999996</v>
      </c>
      <c r="D39" s="139">
        <v>-2365607.27</v>
      </c>
      <c r="E39" s="139">
        <v>-1565314.42</v>
      </c>
      <c r="F39" s="112">
        <f>+E39-D39</f>
        <v>800292.85000000009</v>
      </c>
      <c r="H39" s="140" t="s">
        <v>120</v>
      </c>
      <c r="I39" s="141">
        <v>-43320.09</v>
      </c>
      <c r="J39" s="141">
        <v>-16851.53</v>
      </c>
      <c r="K39" s="141">
        <v>-11150.6</v>
      </c>
      <c r="L39" s="122">
        <v>5700.9299999999985</v>
      </c>
    </row>
    <row r="40" spans="2:12" ht="15" x14ac:dyDescent="0.25">
      <c r="B40" s="128" t="s">
        <v>120</v>
      </c>
      <c r="C40" s="139">
        <v>-11281598.4</v>
      </c>
      <c r="D40" s="139">
        <v>-4388541.7699999996</v>
      </c>
      <c r="E40" s="139">
        <v>-2903883.42</v>
      </c>
      <c r="F40" s="112">
        <f t="shared" ref="F40:F69" si="3">+E40-D40</f>
        <v>1484658.3499999996</v>
      </c>
      <c r="H40" s="140" t="s">
        <v>122</v>
      </c>
      <c r="I40" s="141">
        <v>15916</v>
      </c>
      <c r="J40" s="141">
        <v>6191.32</v>
      </c>
      <c r="K40" s="141">
        <v>4096.78</v>
      </c>
      <c r="L40" s="122">
        <v>-2094.54</v>
      </c>
    </row>
    <row r="41" spans="2:12" ht="15" x14ac:dyDescent="0.25">
      <c r="B41" s="128" t="s">
        <v>121</v>
      </c>
      <c r="C41" s="139">
        <v>-402606.15</v>
      </c>
      <c r="D41" s="139">
        <v>-156613.79</v>
      </c>
      <c r="E41" s="139">
        <v>-103630.82</v>
      </c>
      <c r="F41" s="112">
        <f t="shared" si="3"/>
        <v>52982.97</v>
      </c>
      <c r="H41" s="140" t="s">
        <v>123</v>
      </c>
      <c r="I41" s="141">
        <v>-987864.17</v>
      </c>
      <c r="J41" s="141">
        <v>-384279.16</v>
      </c>
      <c r="K41" s="141">
        <v>-254276.24</v>
      </c>
      <c r="L41" s="122">
        <v>130002.91999999998</v>
      </c>
    </row>
    <row r="42" spans="2:12" ht="15" x14ac:dyDescent="0.25">
      <c r="B42" s="128" t="s">
        <v>122</v>
      </c>
      <c r="C42" s="139">
        <v>97777</v>
      </c>
      <c r="D42" s="139">
        <v>38035.25</v>
      </c>
      <c r="E42" s="139">
        <v>25167.8</v>
      </c>
      <c r="F42" s="112">
        <f t="shared" si="3"/>
        <v>-12867.45</v>
      </c>
      <c r="H42" s="140" t="s">
        <v>124</v>
      </c>
      <c r="I42" s="141">
        <v>332208.49</v>
      </c>
      <c r="J42" s="141">
        <v>129229.09</v>
      </c>
      <c r="K42" s="141">
        <v>85510.46</v>
      </c>
      <c r="L42" s="122">
        <v>-43718.62999999999</v>
      </c>
    </row>
    <row r="43" spans="2:12" ht="15" x14ac:dyDescent="0.25">
      <c r="B43" s="128" t="s">
        <v>123</v>
      </c>
      <c r="C43" s="139">
        <v>-14570064.289999999</v>
      </c>
      <c r="D43" s="139">
        <v>-5667755</v>
      </c>
      <c r="E43" s="139">
        <v>-3750334.55</v>
      </c>
      <c r="F43" s="112">
        <f t="shared" si="3"/>
        <v>1917420.4500000002</v>
      </c>
      <c r="H43" s="140" t="s">
        <v>125</v>
      </c>
      <c r="I43" s="141">
        <v>4540073.21</v>
      </c>
      <c r="J43" s="141">
        <v>1791489.56</v>
      </c>
      <c r="K43" s="141">
        <v>1199486.93</v>
      </c>
      <c r="L43" s="122">
        <v>-592002.63000000012</v>
      </c>
    </row>
    <row r="44" spans="2:12" ht="15" x14ac:dyDescent="0.25">
      <c r="B44" s="128" t="s">
        <v>124</v>
      </c>
      <c r="C44" s="139">
        <v>794485.14</v>
      </c>
      <c r="D44" s="139">
        <v>309054.71999999997</v>
      </c>
      <c r="E44" s="139">
        <v>204500.48000000001</v>
      </c>
      <c r="F44" s="112">
        <f t="shared" si="3"/>
        <v>-104554.23999999996</v>
      </c>
      <c r="H44" s="140" t="s">
        <v>164</v>
      </c>
      <c r="I44" s="141">
        <v>6557840</v>
      </c>
      <c r="J44" s="141">
        <v>2550999.7599999998</v>
      </c>
      <c r="K44" s="141">
        <v>1687988.02</v>
      </c>
      <c r="L44" s="122">
        <v>-863011.73999999976</v>
      </c>
    </row>
    <row r="45" spans="2:12" ht="15" x14ac:dyDescent="0.25">
      <c r="B45" s="128" t="s">
        <v>125</v>
      </c>
      <c r="C45" s="139">
        <v>12734100.09</v>
      </c>
      <c r="D45" s="139">
        <v>4919356.96</v>
      </c>
      <c r="E45" s="139">
        <v>3236181.5300000003</v>
      </c>
      <c r="F45" s="112">
        <f t="shared" si="3"/>
        <v>-1683175.4299999997</v>
      </c>
      <c r="H45" s="140" t="s">
        <v>129</v>
      </c>
      <c r="I45" s="141">
        <v>94595.590000000026</v>
      </c>
      <c r="J45" s="141">
        <v>36797.700000000012</v>
      </c>
      <c r="K45" s="141">
        <v>24348.92</v>
      </c>
      <c r="L45" s="122">
        <v>-12448.780000000013</v>
      </c>
    </row>
    <row r="46" spans="2:12" ht="15" x14ac:dyDescent="0.25">
      <c r="B46" s="128" t="s">
        <v>126</v>
      </c>
      <c r="C46" s="139">
        <v>-8908773.9100000039</v>
      </c>
      <c r="D46" s="139">
        <v>-3465513.040000001</v>
      </c>
      <c r="E46" s="139">
        <v>-2293118.3999999985</v>
      </c>
      <c r="F46" s="112">
        <f t="shared" si="3"/>
        <v>1172394.6400000025</v>
      </c>
      <c r="H46" s="140" t="s">
        <v>133</v>
      </c>
      <c r="I46" s="141">
        <v>11444776.309999999</v>
      </c>
      <c r="J46" s="141">
        <v>4452017.99</v>
      </c>
      <c r="K46" s="141">
        <v>2945885.41</v>
      </c>
      <c r="L46" s="122">
        <v>-1506132.58</v>
      </c>
    </row>
    <row r="47" spans="2:12" ht="15" x14ac:dyDescent="0.25">
      <c r="B47" s="128" t="s">
        <v>127</v>
      </c>
      <c r="C47" s="139">
        <v>-154470</v>
      </c>
      <c r="D47" s="139">
        <v>-60088.83</v>
      </c>
      <c r="E47" s="139">
        <v>-39760.58</v>
      </c>
      <c r="F47" s="112">
        <f t="shared" si="3"/>
        <v>20328.25</v>
      </c>
      <c r="H47" s="140" t="s">
        <v>134</v>
      </c>
      <c r="I47" s="141">
        <v>853005.45</v>
      </c>
      <c r="J47" s="141">
        <v>331819.14</v>
      </c>
      <c r="K47" s="141">
        <v>219563.6</v>
      </c>
      <c r="L47" s="122">
        <v>-112255.54000000001</v>
      </c>
    </row>
    <row r="48" spans="2:12" ht="15" x14ac:dyDescent="0.25">
      <c r="B48" s="128" t="s">
        <v>128</v>
      </c>
      <c r="C48" s="139">
        <v>1769727.05</v>
      </c>
      <c r="D48" s="139">
        <v>688423.81</v>
      </c>
      <c r="E48" s="139">
        <v>455527.74</v>
      </c>
      <c r="F48" s="112">
        <f t="shared" si="3"/>
        <v>-232896.07000000007</v>
      </c>
      <c r="H48" s="150" t="s">
        <v>135</v>
      </c>
      <c r="I48" s="141">
        <v>-40832761.390000001</v>
      </c>
      <c r="J48" s="141">
        <v>-15883944.220000001</v>
      </c>
      <c r="K48" s="141">
        <v>-10510352.790000001</v>
      </c>
      <c r="L48" s="142">
        <v>5373591.4299999997</v>
      </c>
    </row>
    <row r="49" spans="2:12" ht="15" x14ac:dyDescent="0.25">
      <c r="B49" s="128" t="s">
        <v>129</v>
      </c>
      <c r="C49" s="139">
        <v>11691.980000000003</v>
      </c>
      <c r="D49" s="139">
        <v>4548.1799999999967</v>
      </c>
      <c r="E49" s="139">
        <v>3009.51</v>
      </c>
      <c r="F49" s="112">
        <f t="shared" si="3"/>
        <v>-1538.6699999999964</v>
      </c>
      <c r="H49" s="140" t="s">
        <v>165</v>
      </c>
      <c r="I49" s="141">
        <v>1907100</v>
      </c>
      <c r="J49" s="141">
        <v>741861.9</v>
      </c>
      <c r="K49" s="141">
        <v>490887.54</v>
      </c>
      <c r="L49" s="122">
        <v>-250974.36000000004</v>
      </c>
    </row>
    <row r="50" spans="2:12" ht="15" x14ac:dyDescent="0.25">
      <c r="B50" s="128" t="s">
        <v>130</v>
      </c>
      <c r="C50" s="139">
        <v>-144.44999999999999</v>
      </c>
      <c r="D50" s="139">
        <v>-56.21</v>
      </c>
      <c r="E50" s="139">
        <v>-37.18</v>
      </c>
      <c r="F50" s="112">
        <f t="shared" si="3"/>
        <v>19.03</v>
      </c>
      <c r="H50" s="140" t="s">
        <v>136</v>
      </c>
      <c r="I50" s="141">
        <v>-233313.03999999911</v>
      </c>
      <c r="J50" s="141">
        <v>-90758.75</v>
      </c>
      <c r="K50" s="141">
        <v>-60054.790000000037</v>
      </c>
      <c r="L50" s="122">
        <v>30703.959999999963</v>
      </c>
    </row>
    <row r="51" spans="2:12" ht="15" x14ac:dyDescent="0.25">
      <c r="B51" s="128" t="s">
        <v>131</v>
      </c>
      <c r="C51" s="139">
        <v>-4700000</v>
      </c>
      <c r="D51" s="139">
        <v>-1828300</v>
      </c>
      <c r="E51" s="139">
        <v>-1209780</v>
      </c>
      <c r="F51" s="112">
        <f t="shared" si="3"/>
        <v>618520</v>
      </c>
      <c r="H51" s="140" t="s">
        <v>166</v>
      </c>
      <c r="I51" s="141">
        <v>174919</v>
      </c>
      <c r="J51" s="141">
        <v>68043.490000000005</v>
      </c>
      <c r="K51" s="141">
        <v>45024.15</v>
      </c>
      <c r="L51" s="122">
        <v>-23019.340000000004</v>
      </c>
    </row>
    <row r="52" spans="2:12" ht="15" x14ac:dyDescent="0.25">
      <c r="B52" s="128" t="s">
        <v>132</v>
      </c>
      <c r="C52" s="139">
        <v>409000</v>
      </c>
      <c r="D52" s="139">
        <v>159101</v>
      </c>
      <c r="E52" s="139">
        <v>105276.6</v>
      </c>
      <c r="F52" s="112">
        <f t="shared" si="3"/>
        <v>-53824.399999999994</v>
      </c>
      <c r="H52" s="140" t="s">
        <v>138</v>
      </c>
      <c r="I52" s="141">
        <v>54487.88</v>
      </c>
      <c r="J52" s="141">
        <v>21195.78</v>
      </c>
      <c r="K52" s="141">
        <v>14025.17</v>
      </c>
      <c r="L52" s="122">
        <v>-7170.6099999999988</v>
      </c>
    </row>
    <row r="53" spans="2:12" ht="15" x14ac:dyDescent="0.25">
      <c r="B53" s="128" t="s">
        <v>133</v>
      </c>
      <c r="C53" s="139">
        <v>40947898.490000002</v>
      </c>
      <c r="D53" s="139">
        <v>15928732.520000001</v>
      </c>
      <c r="E53" s="139">
        <v>10539989.08</v>
      </c>
      <c r="F53" s="112">
        <f t="shared" si="3"/>
        <v>-5388743.4400000013</v>
      </c>
      <c r="H53" s="140" t="s">
        <v>140</v>
      </c>
      <c r="I53" s="141">
        <v>-319962.40000000002</v>
      </c>
      <c r="J53" s="141">
        <v>-124465.36</v>
      </c>
      <c r="K53" s="141">
        <v>-82358.31</v>
      </c>
      <c r="L53" s="122">
        <v>42107.05</v>
      </c>
    </row>
    <row r="54" spans="2:12" ht="15" x14ac:dyDescent="0.25">
      <c r="B54" s="128" t="s">
        <v>134</v>
      </c>
      <c r="C54" s="139">
        <v>3089894.45</v>
      </c>
      <c r="D54" s="139">
        <v>1201968.95</v>
      </c>
      <c r="E54" s="139">
        <v>795338.83</v>
      </c>
      <c r="F54" s="112">
        <f t="shared" si="3"/>
        <v>-406630.12</v>
      </c>
      <c r="H54" s="140" t="s">
        <v>167</v>
      </c>
      <c r="I54" s="141">
        <v>-3801685.57</v>
      </c>
      <c r="J54" s="141">
        <v>-1478855.6799999999</v>
      </c>
      <c r="K54" s="141">
        <v>-978553.86</v>
      </c>
      <c r="L54" s="122">
        <v>500301.81999999995</v>
      </c>
    </row>
    <row r="55" spans="2:12" ht="15" x14ac:dyDescent="0.25">
      <c r="B55" s="147" t="s">
        <v>135</v>
      </c>
      <c r="C55" s="148">
        <v>-146796750.84</v>
      </c>
      <c r="D55" s="148">
        <v>-57103936.089999996</v>
      </c>
      <c r="E55" s="148">
        <v>-37785483.659999996</v>
      </c>
      <c r="F55" s="149">
        <f t="shared" si="3"/>
        <v>19318452.43</v>
      </c>
      <c r="H55" s="140" t="s">
        <v>142</v>
      </c>
      <c r="I55" s="141">
        <v>-454862.38</v>
      </c>
      <c r="J55" s="141">
        <v>-176941.46</v>
      </c>
      <c r="K55" s="141">
        <v>-117081.57</v>
      </c>
      <c r="L55" s="122">
        <v>59859.889999999985</v>
      </c>
    </row>
    <row r="56" spans="2:12" ht="15" x14ac:dyDescent="0.25">
      <c r="B56" s="128" t="s">
        <v>136</v>
      </c>
      <c r="C56" s="139">
        <v>-933252.17000000179</v>
      </c>
      <c r="D56" s="139">
        <v>-363035.0700000003</v>
      </c>
      <c r="E56" s="139">
        <v>-240219.09999999963</v>
      </c>
      <c r="F56" s="112">
        <f t="shared" si="3"/>
        <v>122815.97000000067</v>
      </c>
      <c r="H56" s="140" t="s">
        <v>144</v>
      </c>
      <c r="I56" s="141">
        <v>-321825.15000000002</v>
      </c>
      <c r="J56" s="141">
        <v>-112638.8</v>
      </c>
      <c r="K56" s="141">
        <v>-67583.28</v>
      </c>
      <c r="L56" s="122">
        <v>45055.520000000004</v>
      </c>
    </row>
    <row r="57" spans="2:12" ht="15" x14ac:dyDescent="0.25">
      <c r="B57" s="128" t="s">
        <v>137</v>
      </c>
      <c r="C57" s="139">
        <v>231803</v>
      </c>
      <c r="D57" s="139">
        <v>90171.37</v>
      </c>
      <c r="E57" s="139">
        <v>59666.09</v>
      </c>
      <c r="F57" s="112">
        <f t="shared" si="3"/>
        <v>-30505.279999999999</v>
      </c>
      <c r="H57" s="140" t="s">
        <v>147</v>
      </c>
      <c r="I57" s="141">
        <v>76678.37</v>
      </c>
      <c r="J57" s="141">
        <v>29827.88</v>
      </c>
      <c r="K57" s="141">
        <v>19737.009999999998</v>
      </c>
      <c r="L57" s="122">
        <v>-10090.870000000003</v>
      </c>
    </row>
    <row r="58" spans="2:12" ht="15" x14ac:dyDescent="0.25">
      <c r="B58" s="128" t="s">
        <v>138</v>
      </c>
      <c r="C58" s="139">
        <v>217949.56</v>
      </c>
      <c r="D58" s="139">
        <v>84782.39</v>
      </c>
      <c r="E58" s="139">
        <v>56100.22</v>
      </c>
      <c r="F58" s="112">
        <f t="shared" si="3"/>
        <v>-28682.17</v>
      </c>
      <c r="H58" s="140" t="s">
        <v>148</v>
      </c>
      <c r="I58" s="141">
        <v>1108272.4099999999</v>
      </c>
      <c r="J58" s="141">
        <v>431117.95</v>
      </c>
      <c r="K58" s="141">
        <v>285269.32</v>
      </c>
      <c r="L58" s="122">
        <v>-145848.63</v>
      </c>
    </row>
    <row r="59" spans="2:12" ht="15" x14ac:dyDescent="0.25">
      <c r="B59" s="128" t="s">
        <v>139</v>
      </c>
      <c r="C59" s="139">
        <v>-3043316.17</v>
      </c>
      <c r="D59" s="139">
        <v>-1183849.99</v>
      </c>
      <c r="E59" s="139">
        <v>-783349.59</v>
      </c>
      <c r="F59" s="112">
        <f t="shared" si="3"/>
        <v>400500.4</v>
      </c>
      <c r="H59" s="140" t="s">
        <v>149</v>
      </c>
      <c r="I59" s="143">
        <v>784371.05</v>
      </c>
      <c r="J59" s="143">
        <v>305120.34000000003</v>
      </c>
      <c r="K59" s="143">
        <v>201897.1</v>
      </c>
      <c r="L59" s="144">
        <v>-103223.24000000002</v>
      </c>
    </row>
    <row r="60" spans="2:12" ht="15" x14ac:dyDescent="0.25">
      <c r="B60" s="128" t="s">
        <v>140</v>
      </c>
      <c r="C60" s="139">
        <v>-1364049.2</v>
      </c>
      <c r="D60" s="139">
        <v>-530615.13</v>
      </c>
      <c r="E60" s="139">
        <v>-351106.26</v>
      </c>
      <c r="F60" s="112">
        <f t="shared" si="3"/>
        <v>179508.87</v>
      </c>
      <c r="H60" s="133"/>
      <c r="I60" s="131">
        <f>SUM(I39:I59)</f>
        <v>-19051350.43</v>
      </c>
      <c r="J60" s="131">
        <f>SUM(J39:J59)</f>
        <v>-7373023.0599999987</v>
      </c>
      <c r="K60" s="131">
        <f>SUM(K39:K59)</f>
        <v>-4857691.0300000031</v>
      </c>
      <c r="L60" s="131">
        <f>SUM(L39:L59)</f>
        <v>2515332.0299999998</v>
      </c>
    </row>
    <row r="61" spans="2:12" ht="15" x14ac:dyDescent="0.25">
      <c r="B61" s="128" t="s">
        <v>141</v>
      </c>
      <c r="C61" s="139">
        <v>722645.86</v>
      </c>
      <c r="D61" s="139">
        <v>281109.24</v>
      </c>
      <c r="E61" s="139">
        <v>186009.04</v>
      </c>
      <c r="F61" s="112">
        <f t="shared" si="3"/>
        <v>-95100.199999999983</v>
      </c>
    </row>
    <row r="62" spans="2:12" ht="15" x14ac:dyDescent="0.25">
      <c r="B62" s="128" t="s">
        <v>142</v>
      </c>
      <c r="C62" s="139">
        <v>-1651857.7</v>
      </c>
      <c r="D62" s="139">
        <v>-642572.67000000004</v>
      </c>
      <c r="E62" s="139">
        <v>-425188.18</v>
      </c>
      <c r="F62" s="112">
        <f t="shared" si="3"/>
        <v>217384.49000000005</v>
      </c>
    </row>
    <row r="63" spans="2:12" ht="15" x14ac:dyDescent="0.25">
      <c r="B63" s="128" t="s">
        <v>143</v>
      </c>
      <c r="C63" s="139">
        <v>-753305.95</v>
      </c>
      <c r="D63" s="139">
        <v>-293036.01</v>
      </c>
      <c r="E63" s="139">
        <v>-193900.96</v>
      </c>
      <c r="F63" s="112">
        <f t="shared" si="3"/>
        <v>99135.050000000017</v>
      </c>
    </row>
    <row r="64" spans="2:12" ht="15" x14ac:dyDescent="0.25">
      <c r="B64" s="128" t="s">
        <v>144</v>
      </c>
      <c r="C64" s="139">
        <v>2425585.15</v>
      </c>
      <c r="D64" s="139">
        <v>848954.8</v>
      </c>
      <c r="E64" s="139">
        <v>509372.88</v>
      </c>
      <c r="F64" s="112">
        <f t="shared" si="3"/>
        <v>-339581.92000000004</v>
      </c>
    </row>
    <row r="65" spans="2:6" ht="15" x14ac:dyDescent="0.25">
      <c r="B65" s="128" t="s">
        <v>145</v>
      </c>
      <c r="C65" s="139">
        <v>-15864975.84</v>
      </c>
      <c r="D65" s="139">
        <v>-6171475.6200000001</v>
      </c>
      <c r="E65" s="139">
        <v>-4083644.79</v>
      </c>
      <c r="F65" s="112">
        <f t="shared" si="3"/>
        <v>2087830.83</v>
      </c>
    </row>
    <row r="66" spans="2:6" ht="15" x14ac:dyDescent="0.25">
      <c r="B66" s="128" t="s">
        <v>146</v>
      </c>
      <c r="C66" s="139">
        <v>-796573</v>
      </c>
      <c r="D66" s="139">
        <v>-309866.90999999997</v>
      </c>
      <c r="E66" s="139">
        <v>-205037.89</v>
      </c>
      <c r="F66" s="112">
        <f t="shared" si="3"/>
        <v>104829.01999999996</v>
      </c>
    </row>
    <row r="67" spans="2:6" ht="15" x14ac:dyDescent="0.25">
      <c r="B67" s="128" t="s">
        <v>147</v>
      </c>
      <c r="C67" s="139">
        <v>306713.46000000002</v>
      </c>
      <c r="D67" s="139">
        <v>119311.54</v>
      </c>
      <c r="E67" s="139">
        <v>78948.05</v>
      </c>
      <c r="F67" s="112">
        <f t="shared" si="3"/>
        <v>-40363.489999999991</v>
      </c>
    </row>
    <row r="68" spans="2:6" ht="15" x14ac:dyDescent="0.25">
      <c r="B68" s="128" t="s">
        <v>148</v>
      </c>
      <c r="C68" s="139">
        <v>3498538.63</v>
      </c>
      <c r="D68" s="139">
        <v>1360931.53</v>
      </c>
      <c r="E68" s="139">
        <v>900523.84</v>
      </c>
      <c r="F68" s="112">
        <f t="shared" si="3"/>
        <v>-460407.69000000006</v>
      </c>
    </row>
    <row r="69" spans="2:6" ht="15" x14ac:dyDescent="0.25">
      <c r="B69" s="128" t="s">
        <v>149</v>
      </c>
      <c r="C69" s="145">
        <v>2536583.1800000002</v>
      </c>
      <c r="D69" s="145">
        <v>986730.83</v>
      </c>
      <c r="E69" s="145">
        <v>652916.51</v>
      </c>
      <c r="F69" s="146">
        <f t="shared" si="3"/>
        <v>-333814.31999999995</v>
      </c>
    </row>
    <row r="70" spans="2:6" x14ac:dyDescent="0.2">
      <c r="B70" s="132"/>
      <c r="C70" s="102">
        <f>SUM(C39:C69)</f>
        <v>-147508597.62999994</v>
      </c>
      <c r="D70" s="102">
        <f>SUM(D39:D69)</f>
        <v>-57509650.309999995</v>
      </c>
      <c r="E70" s="102">
        <f>SUM(E39:E69)</f>
        <v>-38125261.599999994</v>
      </c>
      <c r="F70" s="102">
        <f>SUM(F39:F69)</f>
        <v>19384388.709999997</v>
      </c>
    </row>
  </sheetData>
  <mergeCells count="6">
    <mergeCell ref="C11:J11"/>
    <mergeCell ref="D12:G12"/>
    <mergeCell ref="H12:J12"/>
    <mergeCell ref="C4:J4"/>
    <mergeCell ref="D5:G5"/>
    <mergeCell ref="H5:J5"/>
  </mergeCells>
  <pageMargins left="0.7" right="0.7" top="0.75" bottom="0.75" header="0.3" footer="0.3"/>
  <pageSetup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zoomScaleNormal="100" workbookViewId="0">
      <selection activeCell="B32" sqref="B32"/>
    </sheetView>
  </sheetViews>
  <sheetFormatPr defaultRowHeight="12.75" x14ac:dyDescent="0.2"/>
  <cols>
    <col min="1" max="1" width="6.85546875" style="7" customWidth="1"/>
    <col min="2" max="2" width="26.7109375" style="7" customWidth="1"/>
    <col min="3" max="3" width="16" style="7" customWidth="1"/>
    <col min="4" max="4" width="16.7109375" style="7" customWidth="1"/>
    <col min="5" max="5" width="17.7109375" style="7" customWidth="1"/>
    <col min="6" max="6" width="17.28515625" style="7" customWidth="1"/>
    <col min="7" max="8" width="19" style="7" customWidth="1"/>
    <col min="9" max="9" width="11.5703125" style="7" customWidth="1"/>
    <col min="10" max="10" width="10.85546875" style="7" customWidth="1"/>
    <col min="11" max="11" width="12.85546875" style="7" customWidth="1"/>
    <col min="12" max="12" width="14" style="7" customWidth="1"/>
    <col min="13" max="13" width="1.85546875" style="7" customWidth="1"/>
    <col min="14" max="14" width="9.140625" style="7"/>
    <col min="15" max="15" width="16.5703125" style="7" customWidth="1"/>
    <col min="16" max="16" width="14" style="7" customWidth="1"/>
    <col min="17" max="17" width="13" style="7" customWidth="1"/>
    <col min="18" max="18" width="11.5703125" style="7" customWidth="1"/>
    <col min="19" max="19" width="13.140625" style="7" customWidth="1"/>
    <col min="20" max="16384" width="9.140625" style="7"/>
  </cols>
  <sheetData>
    <row r="1" spans="1:19" s="3" customFormat="1" ht="20.100000000000001" customHeight="1" x14ac:dyDescent="0.2">
      <c r="A1" s="179" t="s">
        <v>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31"/>
    </row>
    <row r="2" spans="1:19" s="3" customFormat="1" ht="20.100000000000001" customHeight="1" x14ac:dyDescent="0.2">
      <c r="A2" s="179" t="s">
        <v>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31"/>
    </row>
    <row r="3" spans="1:19" s="3" customFormat="1" ht="20.100000000000001" customHeight="1" x14ac:dyDescent="0.2">
      <c r="A3" s="179" t="s">
        <v>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31"/>
    </row>
    <row r="4" spans="1:19" s="3" customFormat="1" ht="20.100000000000001" customHeight="1" x14ac:dyDescent="0.2">
      <c r="A4" s="179" t="s">
        <v>67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31"/>
    </row>
    <row r="5" spans="1:19" s="3" customFormat="1" ht="20.100000000000001" customHeight="1" x14ac:dyDescent="0.2">
      <c r="A5" s="178" t="s">
        <v>60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31"/>
    </row>
    <row r="6" spans="1:19" s="3" customFormat="1" ht="20.100000000000001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9" s="3" customFormat="1" ht="20.100000000000001" customHeight="1" x14ac:dyDescent="0.2"/>
    <row r="8" spans="1:19" ht="66" customHeight="1" x14ac:dyDescent="0.2">
      <c r="A8" s="15" t="s">
        <v>4</v>
      </c>
      <c r="B8" s="15" t="s">
        <v>28</v>
      </c>
      <c r="C8" s="15" t="s">
        <v>168</v>
      </c>
      <c r="D8" s="15" t="s">
        <v>68</v>
      </c>
      <c r="E8" s="15" t="s">
        <v>46</v>
      </c>
      <c r="F8" s="15" t="s">
        <v>49</v>
      </c>
      <c r="G8" s="15" t="s">
        <v>30</v>
      </c>
      <c r="H8" s="15" t="s">
        <v>47</v>
      </c>
      <c r="I8" s="15" t="s">
        <v>31</v>
      </c>
      <c r="J8" s="15" t="s">
        <v>32</v>
      </c>
      <c r="K8" s="15" t="s">
        <v>69</v>
      </c>
      <c r="L8" s="12"/>
    </row>
    <row r="9" spans="1:19" ht="18.95" customHeight="1" x14ac:dyDescent="0.2">
      <c r="A9" s="8"/>
      <c r="B9" s="32" t="s">
        <v>34</v>
      </c>
      <c r="C9" s="32" t="s">
        <v>35</v>
      </c>
      <c r="D9" s="32" t="s">
        <v>36</v>
      </c>
      <c r="E9" s="32" t="s">
        <v>37</v>
      </c>
      <c r="F9" s="32" t="s">
        <v>95</v>
      </c>
      <c r="G9" s="32" t="s">
        <v>38</v>
      </c>
      <c r="H9" s="32" t="s">
        <v>96</v>
      </c>
      <c r="I9" s="32" t="s">
        <v>48</v>
      </c>
      <c r="J9" s="32" t="s">
        <v>97</v>
      </c>
      <c r="K9" s="32" t="s">
        <v>98</v>
      </c>
      <c r="L9" s="32"/>
    </row>
    <row r="10" spans="1:19" ht="18.95" customHeight="1" x14ac:dyDescent="0.2">
      <c r="A10" s="8"/>
      <c r="B10" s="13"/>
      <c r="C10" s="13"/>
      <c r="D10" s="14" t="s">
        <v>5</v>
      </c>
      <c r="E10" s="14" t="s">
        <v>39</v>
      </c>
      <c r="F10" s="14" t="s">
        <v>5</v>
      </c>
      <c r="G10" s="14" t="s">
        <v>5</v>
      </c>
      <c r="H10" s="14" t="s">
        <v>5</v>
      </c>
      <c r="I10" s="14"/>
      <c r="J10" s="14" t="s">
        <v>39</v>
      </c>
      <c r="K10" s="14" t="s">
        <v>39</v>
      </c>
      <c r="L10" s="14"/>
    </row>
    <row r="11" spans="1:19" ht="18.95" customHeight="1" x14ac:dyDescent="0.2">
      <c r="A11" s="11"/>
      <c r="B11" s="9" t="s">
        <v>100</v>
      </c>
      <c r="C11" s="12"/>
      <c r="D11" s="10"/>
      <c r="E11" s="10"/>
      <c r="F11" s="10"/>
      <c r="G11" s="10"/>
      <c r="H11" s="10"/>
      <c r="I11" s="10"/>
      <c r="J11" s="10"/>
      <c r="K11" s="10"/>
      <c r="L11" s="10"/>
      <c r="O11" s="3"/>
      <c r="P11" s="42"/>
      <c r="Q11" s="42"/>
      <c r="R11" s="42"/>
      <c r="S11" s="42"/>
    </row>
    <row r="12" spans="1:19" ht="18.95" customHeight="1" x14ac:dyDescent="0.2">
      <c r="A12" s="11">
        <v>1</v>
      </c>
      <c r="B12" s="9" t="s">
        <v>40</v>
      </c>
      <c r="C12" s="12"/>
      <c r="D12" s="10">
        <v>164253636.76010498</v>
      </c>
      <c r="E12" s="33">
        <v>0.82679999999999998</v>
      </c>
      <c r="F12" s="10">
        <f>D12*E12</f>
        <v>135804906.87325481</v>
      </c>
      <c r="G12" s="10">
        <v>-42447870.683637224</v>
      </c>
      <c r="H12" s="10">
        <f>SUM(F12:G12)</f>
        <v>93357036.189617574</v>
      </c>
      <c r="I12" s="33">
        <f>H12/H$18</f>
        <v>3.8219320965742258E-2</v>
      </c>
      <c r="J12" s="33">
        <v>2.8985466479654654E-2</v>
      </c>
      <c r="K12" s="33">
        <f>I12*J12</f>
        <v>1.1078048467276845E-3</v>
      </c>
      <c r="L12" s="10"/>
      <c r="N12" s="33"/>
      <c r="O12" s="10"/>
      <c r="P12" s="10"/>
      <c r="Q12" s="10"/>
      <c r="R12" s="10"/>
      <c r="S12" s="10"/>
    </row>
    <row r="13" spans="1:19" ht="18.95" customHeight="1" x14ac:dyDescent="0.2">
      <c r="A13" s="11"/>
      <c r="B13" s="9"/>
      <c r="C13" s="12"/>
      <c r="D13" s="10"/>
      <c r="E13" s="34"/>
      <c r="F13" s="10"/>
      <c r="G13" s="10"/>
      <c r="H13" s="10"/>
      <c r="I13" s="33"/>
      <c r="J13" s="34"/>
      <c r="K13" s="33"/>
      <c r="L13" s="10"/>
      <c r="N13" s="33"/>
      <c r="O13" s="10"/>
      <c r="P13" s="10"/>
      <c r="Q13" s="10"/>
      <c r="R13" s="10"/>
      <c r="S13" s="10"/>
    </row>
    <row r="14" spans="1:19" ht="18.95" customHeight="1" x14ac:dyDescent="0.2">
      <c r="A14" s="11">
        <v>2</v>
      </c>
      <c r="B14" s="9" t="s">
        <v>42</v>
      </c>
      <c r="C14" s="12"/>
      <c r="D14" s="10">
        <v>1844220474.7447608</v>
      </c>
      <c r="E14" s="35">
        <f>E$12</f>
        <v>0.82679999999999998</v>
      </c>
      <c r="F14" s="10">
        <f>D14*E14</f>
        <v>1524801488.5189681</v>
      </c>
      <c r="G14" s="10">
        <v>-476599689.16496825</v>
      </c>
      <c r="H14" s="10">
        <f>SUM(F14:G14)</f>
        <v>1048201799.3539999</v>
      </c>
      <c r="I14" s="33">
        <f>H14/H$18</f>
        <v>0.42912203130581406</v>
      </c>
      <c r="J14" s="35">
        <v>4.1840506422896467E-2</v>
      </c>
      <c r="K14" s="33">
        <f>I14*J14</f>
        <v>1.7954683107057293E-2</v>
      </c>
      <c r="N14" s="33"/>
      <c r="O14" s="10"/>
      <c r="P14" s="10"/>
      <c r="Q14" s="10"/>
      <c r="R14" s="10"/>
      <c r="S14" s="10"/>
    </row>
    <row r="15" spans="1:19" ht="18.95" customHeight="1" x14ac:dyDescent="0.2">
      <c r="A15" s="11"/>
      <c r="B15" s="9"/>
      <c r="C15" s="12"/>
      <c r="D15" s="36"/>
      <c r="E15" s="38"/>
      <c r="F15" s="36"/>
      <c r="G15" s="36"/>
      <c r="H15" s="36"/>
      <c r="I15" s="37"/>
      <c r="J15" s="38"/>
      <c r="K15" s="37"/>
      <c r="L15" s="36"/>
      <c r="N15" s="37"/>
      <c r="O15" s="36"/>
      <c r="P15" s="36"/>
      <c r="Q15" s="36"/>
      <c r="R15" s="36"/>
      <c r="S15" s="36"/>
    </row>
    <row r="16" spans="1:19" ht="18.95" customHeight="1" x14ac:dyDescent="0.2">
      <c r="A16" s="11">
        <v>3</v>
      </c>
      <c r="B16" s="9" t="s">
        <v>44</v>
      </c>
      <c r="C16" s="12"/>
      <c r="D16" s="49">
        <v>2289185622.0977564</v>
      </c>
      <c r="E16" s="35">
        <f>E$12</f>
        <v>0.82679999999999998</v>
      </c>
      <c r="F16" s="16">
        <f>D16*E16</f>
        <v>1892698672.350425</v>
      </c>
      <c r="G16" s="16">
        <v>-591591499.42942846</v>
      </c>
      <c r="H16" s="16">
        <f>SUM(F16:G16)</f>
        <v>1301107172.9209967</v>
      </c>
      <c r="I16" s="39">
        <f>H16/H$18</f>
        <v>0.53265864772844373</v>
      </c>
      <c r="J16" s="33">
        <v>9.7000000000000003E-2</v>
      </c>
      <c r="K16" s="39">
        <f>I16*J16</f>
        <v>5.1667888829659045E-2</v>
      </c>
      <c r="L16" s="10"/>
      <c r="N16" s="33"/>
      <c r="O16" s="10"/>
      <c r="P16" s="10"/>
      <c r="Q16" s="10"/>
      <c r="R16" s="10"/>
      <c r="S16" s="10"/>
    </row>
    <row r="17" spans="1:19" ht="18.95" customHeight="1" x14ac:dyDescent="0.2">
      <c r="A17" s="11"/>
      <c r="B17" s="9"/>
      <c r="C17" s="12"/>
      <c r="D17" s="10"/>
      <c r="E17" s="34"/>
      <c r="F17" s="10"/>
      <c r="G17" s="10"/>
      <c r="H17" s="10"/>
      <c r="I17" s="33"/>
      <c r="J17" s="34"/>
      <c r="K17" s="33"/>
      <c r="L17" s="10"/>
      <c r="N17" s="34"/>
      <c r="O17" s="10"/>
      <c r="P17" s="10"/>
      <c r="Q17" s="10"/>
      <c r="R17" s="10"/>
      <c r="S17" s="10"/>
    </row>
    <row r="18" spans="1:19" ht="18.95" customHeight="1" thickBot="1" x14ac:dyDescent="0.25">
      <c r="A18" s="11">
        <v>4</v>
      </c>
      <c r="B18" s="9" t="s">
        <v>45</v>
      </c>
      <c r="C18" s="12"/>
      <c r="D18" s="17">
        <v>4297659733.602622</v>
      </c>
      <c r="E18" s="34"/>
      <c r="F18" s="17">
        <f>SUM(F12:F16)</f>
        <v>3553305067.7426481</v>
      </c>
      <c r="G18" s="17">
        <f>SUM(G12:G16)</f>
        <v>-1110639059.278034</v>
      </c>
      <c r="H18" s="17">
        <f>SUM(H12:H16)</f>
        <v>2442666008.4646139</v>
      </c>
      <c r="I18" s="40">
        <f>SUM(I12:I16)</f>
        <v>1</v>
      </c>
      <c r="J18" s="34"/>
      <c r="K18" s="40">
        <f>SUM(K12:K16)</f>
        <v>7.0730376783444016E-2</v>
      </c>
      <c r="L18" s="10"/>
      <c r="N18" s="33"/>
      <c r="O18" s="10"/>
      <c r="P18" s="10"/>
      <c r="Q18" s="10"/>
      <c r="R18" s="10"/>
      <c r="S18" s="10"/>
    </row>
    <row r="19" spans="1:19" ht="18.95" customHeight="1" thickTop="1" x14ac:dyDescent="0.2">
      <c r="A19" s="11"/>
      <c r="B19" s="9"/>
      <c r="C19" s="12"/>
      <c r="D19" s="23"/>
      <c r="E19" s="23"/>
      <c r="F19" s="23"/>
      <c r="G19" s="23"/>
      <c r="H19" s="23"/>
      <c r="I19" s="23"/>
      <c r="J19" s="23"/>
      <c r="K19" s="23"/>
      <c r="L19" s="23"/>
      <c r="O19" s="41"/>
      <c r="P19" s="41"/>
      <c r="Q19" s="41"/>
      <c r="R19" s="41"/>
      <c r="S19" s="41"/>
    </row>
    <row r="20" spans="1:19" s="3" customFormat="1" ht="20.100000000000001" customHeight="1" x14ac:dyDescent="0.2">
      <c r="A20" s="179" t="str">
        <f>A1</f>
        <v>LOUISVILLE GAS AND ELECTRIC COMPANY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31"/>
    </row>
    <row r="21" spans="1:19" s="3" customFormat="1" ht="20.100000000000001" customHeight="1" x14ac:dyDescent="0.2">
      <c r="A21" s="179" t="str">
        <f>A2</f>
        <v>CASE NO. 2017-00477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31"/>
    </row>
    <row r="22" spans="1:19" s="3" customFormat="1" ht="20.100000000000001" customHeight="1" x14ac:dyDescent="0.2">
      <c r="A22" s="179" t="str">
        <f>A3</f>
        <v>COST OF CAPITAL SUMMARY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31"/>
    </row>
    <row r="23" spans="1:19" s="3" customFormat="1" ht="20.100000000000001" customHeight="1" x14ac:dyDescent="0.2">
      <c r="A23" s="179" t="str">
        <f>A4</f>
        <v>SEVENTEEN MONTH AVERAGE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31"/>
    </row>
    <row r="24" spans="1:19" s="3" customFormat="1" ht="20.100000000000001" customHeight="1" x14ac:dyDescent="0.2">
      <c r="A24" s="179" t="str">
        <f>A5</f>
        <v>FROM JANUARY 1, 2018 TO APRIL 30, 2019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31"/>
    </row>
    <row r="25" spans="1:19" s="3" customFormat="1" ht="20.100000000000001" customHeight="1" x14ac:dyDescent="0.2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9" s="3" customFormat="1" ht="20.100000000000001" customHeight="1" x14ac:dyDescent="0.2"/>
    <row r="27" spans="1:19" ht="66" customHeight="1" x14ac:dyDescent="0.2">
      <c r="A27" s="15" t="s">
        <v>4</v>
      </c>
      <c r="B27" s="15" t="s">
        <v>28</v>
      </c>
      <c r="C27" s="15" t="s">
        <v>168</v>
      </c>
      <c r="D27" s="15" t="s">
        <v>68</v>
      </c>
      <c r="E27" s="15" t="s">
        <v>46</v>
      </c>
      <c r="F27" s="15" t="s">
        <v>49</v>
      </c>
      <c r="G27" s="15" t="s">
        <v>30</v>
      </c>
      <c r="H27" s="15" t="s">
        <v>47</v>
      </c>
      <c r="I27" s="15" t="s">
        <v>31</v>
      </c>
      <c r="J27" s="15" t="s">
        <v>32</v>
      </c>
      <c r="K27" s="15" t="s">
        <v>69</v>
      </c>
      <c r="L27" s="12"/>
    </row>
    <row r="28" spans="1:19" ht="18.95" customHeight="1" x14ac:dyDescent="0.2">
      <c r="A28" s="8"/>
      <c r="B28" s="32" t="s">
        <v>34</v>
      </c>
      <c r="C28" s="32" t="s">
        <v>35</v>
      </c>
      <c r="D28" s="32" t="s">
        <v>36</v>
      </c>
      <c r="E28" s="32" t="s">
        <v>37</v>
      </c>
      <c r="F28" s="32" t="s">
        <v>95</v>
      </c>
      <c r="G28" s="32" t="s">
        <v>38</v>
      </c>
      <c r="H28" s="32" t="s">
        <v>96</v>
      </c>
      <c r="I28" s="32" t="s">
        <v>48</v>
      </c>
      <c r="J28" s="32" t="s">
        <v>97</v>
      </c>
      <c r="K28" s="32" t="s">
        <v>98</v>
      </c>
      <c r="L28" s="32"/>
    </row>
    <row r="29" spans="1:19" ht="18.95" customHeight="1" x14ac:dyDescent="0.2">
      <c r="A29" s="8"/>
      <c r="B29" s="13"/>
      <c r="C29" s="13"/>
      <c r="D29" s="14" t="s">
        <v>5</v>
      </c>
      <c r="E29" s="14" t="s">
        <v>39</v>
      </c>
      <c r="F29" s="14" t="s">
        <v>5</v>
      </c>
      <c r="G29" s="14" t="s">
        <v>5</v>
      </c>
      <c r="H29" s="14" t="s">
        <v>5</v>
      </c>
      <c r="I29" s="14"/>
      <c r="J29" s="14" t="s">
        <v>39</v>
      </c>
      <c r="K29" s="14" t="s">
        <v>39</v>
      </c>
      <c r="L29" s="14"/>
    </row>
    <row r="30" spans="1:19" ht="18.95" customHeight="1" x14ac:dyDescent="0.2">
      <c r="A30" s="11"/>
      <c r="B30" s="9" t="s">
        <v>110</v>
      </c>
      <c r="C30" s="12"/>
      <c r="D30" s="10"/>
      <c r="E30" s="10"/>
      <c r="F30" s="10"/>
      <c r="G30" s="10"/>
      <c r="H30" s="10"/>
      <c r="I30" s="10"/>
      <c r="J30" s="10"/>
      <c r="K30" s="10"/>
      <c r="L30" s="10"/>
      <c r="O30" s="3"/>
      <c r="P30" s="42"/>
      <c r="Q30" s="42"/>
      <c r="R30" s="42"/>
      <c r="S30" s="42"/>
    </row>
    <row r="31" spans="1:19" ht="18.95" customHeight="1" x14ac:dyDescent="0.2">
      <c r="A31" s="11">
        <v>1</v>
      </c>
      <c r="B31" s="9" t="s">
        <v>40</v>
      </c>
      <c r="C31" s="12"/>
      <c r="D31" s="10">
        <f>D12</f>
        <v>164253636.76010498</v>
      </c>
      <c r="E31" s="33">
        <v>0.17319999999999999</v>
      </c>
      <c r="F31" s="10">
        <f>D31*E31</f>
        <v>28448729.886850182</v>
      </c>
      <c r="G31" s="10">
        <v>-2133819.6884625265</v>
      </c>
      <c r="H31" s="10">
        <f>SUM(F31:G31)</f>
        <v>26314910.198387656</v>
      </c>
      <c r="I31" s="33">
        <f>H31/H$37</f>
        <v>3.8219320965742258E-2</v>
      </c>
      <c r="J31" s="33">
        <f>J12</f>
        <v>2.8985466479654654E-2</v>
      </c>
      <c r="K31" s="33">
        <f>I31*J31</f>
        <v>1.1078048467276845E-3</v>
      </c>
      <c r="L31" s="10"/>
      <c r="N31" s="33"/>
      <c r="O31" s="10"/>
      <c r="P31" s="10"/>
      <c r="Q31" s="10"/>
      <c r="R31" s="10"/>
      <c r="S31" s="10"/>
    </row>
    <row r="32" spans="1:19" ht="18.95" customHeight="1" x14ac:dyDescent="0.2">
      <c r="A32" s="11"/>
      <c r="B32" s="9"/>
      <c r="C32" s="12"/>
      <c r="D32" s="10"/>
      <c r="E32" s="34"/>
      <c r="F32" s="10"/>
      <c r="G32" s="10"/>
      <c r="H32" s="10"/>
      <c r="I32" s="33"/>
      <c r="J32" s="34"/>
      <c r="K32" s="33"/>
      <c r="L32" s="10"/>
      <c r="N32" s="33"/>
      <c r="O32" s="10"/>
      <c r="P32" s="10"/>
      <c r="Q32" s="10"/>
      <c r="R32" s="10"/>
      <c r="S32" s="10"/>
    </row>
    <row r="33" spans="1:19" ht="18.95" customHeight="1" x14ac:dyDescent="0.2">
      <c r="A33" s="11">
        <v>2</v>
      </c>
      <c r="B33" s="9" t="s">
        <v>42</v>
      </c>
      <c r="C33" s="12"/>
      <c r="D33" s="10">
        <f>D14</f>
        <v>1844220474.7447608</v>
      </c>
      <c r="E33" s="35">
        <f>E$31</f>
        <v>0.17319999999999999</v>
      </c>
      <c r="F33" s="10">
        <f>D33*E33</f>
        <v>319418986.22579253</v>
      </c>
      <c r="G33" s="10">
        <v>-23958275.971834641</v>
      </c>
      <c r="H33" s="10">
        <f>SUM(F33:G33)</f>
        <v>295460710.25395787</v>
      </c>
      <c r="I33" s="33">
        <f>H33/H$37</f>
        <v>0.42912203130581394</v>
      </c>
      <c r="J33" s="35">
        <f>J14</f>
        <v>4.1840506422896467E-2</v>
      </c>
      <c r="K33" s="33">
        <f>I33*J33</f>
        <v>1.7954683107057286E-2</v>
      </c>
      <c r="N33" s="33"/>
      <c r="O33" s="10"/>
      <c r="P33" s="10"/>
      <c r="Q33" s="10"/>
      <c r="R33" s="10"/>
      <c r="S33" s="10"/>
    </row>
    <row r="34" spans="1:19" ht="18.95" customHeight="1" x14ac:dyDescent="0.2">
      <c r="A34" s="11"/>
      <c r="B34" s="9"/>
      <c r="C34" s="12"/>
      <c r="D34" s="36"/>
      <c r="E34" s="38"/>
      <c r="F34" s="36"/>
      <c r="G34" s="36"/>
      <c r="H34" s="36"/>
      <c r="I34" s="37"/>
      <c r="J34" s="38"/>
      <c r="K34" s="37"/>
      <c r="L34" s="36"/>
      <c r="N34" s="37"/>
      <c r="O34" s="36"/>
      <c r="P34" s="36"/>
      <c r="Q34" s="36"/>
      <c r="R34" s="36"/>
      <c r="S34" s="36"/>
    </row>
    <row r="35" spans="1:19" ht="18.95" customHeight="1" x14ac:dyDescent="0.2">
      <c r="A35" s="11">
        <v>3</v>
      </c>
      <c r="B35" s="9" t="s">
        <v>44</v>
      </c>
      <c r="C35" s="12"/>
      <c r="D35" s="49">
        <f>D16</f>
        <v>2289185622.0977564</v>
      </c>
      <c r="E35" s="35">
        <f>E$31</f>
        <v>0.17319999999999999</v>
      </c>
      <c r="F35" s="16">
        <f>D35*E35</f>
        <v>396486949.74733138</v>
      </c>
      <c r="G35" s="16">
        <v>-29738820.079288255</v>
      </c>
      <c r="H35" s="16">
        <f>SUM(F35:G35)</f>
        <v>366748129.66804314</v>
      </c>
      <c r="I35" s="39">
        <f>H35/H$37</f>
        <v>0.53265864772844373</v>
      </c>
      <c r="J35" s="33">
        <v>9.7000000000000003E-2</v>
      </c>
      <c r="K35" s="39">
        <f>I35*J35</f>
        <v>5.1667888829659045E-2</v>
      </c>
      <c r="L35" s="10"/>
      <c r="N35" s="33"/>
      <c r="O35" s="10"/>
      <c r="P35" s="10"/>
      <c r="Q35" s="10"/>
      <c r="R35" s="10"/>
      <c r="S35" s="10"/>
    </row>
    <row r="36" spans="1:19" ht="18.95" customHeight="1" x14ac:dyDescent="0.2">
      <c r="A36" s="11"/>
      <c r="B36" s="9"/>
      <c r="C36" s="12"/>
      <c r="D36" s="10"/>
      <c r="E36" s="34"/>
      <c r="F36" s="10"/>
      <c r="G36" s="10"/>
      <c r="H36" s="10"/>
      <c r="I36" s="33"/>
      <c r="J36" s="34"/>
      <c r="K36" s="33"/>
      <c r="L36" s="10"/>
      <c r="N36" s="34"/>
      <c r="O36" s="10"/>
      <c r="P36" s="10"/>
      <c r="Q36" s="10"/>
      <c r="R36" s="10"/>
      <c r="S36" s="10"/>
    </row>
    <row r="37" spans="1:19" ht="18.95" customHeight="1" thickBot="1" x14ac:dyDescent="0.25">
      <c r="A37" s="11">
        <v>4</v>
      </c>
      <c r="B37" s="9" t="s">
        <v>45</v>
      </c>
      <c r="C37" s="12"/>
      <c r="D37" s="17">
        <f>SUM(D31:D35)</f>
        <v>4297659733.602622</v>
      </c>
      <c r="E37" s="34"/>
      <c r="F37" s="17">
        <f>SUM(F31:F35)</f>
        <v>744354665.85997415</v>
      </c>
      <c r="G37" s="17">
        <f>SUM(G31:G35)</f>
        <v>-55830915.739585422</v>
      </c>
      <c r="H37" s="17">
        <f>SUM(H31:H35)</f>
        <v>688523750.12038875</v>
      </c>
      <c r="I37" s="40">
        <f>SUM(I31:I35)</f>
        <v>1</v>
      </c>
      <c r="J37" s="34"/>
      <c r="K37" s="40">
        <f>SUM(K31:K35)</f>
        <v>7.0730376783444016E-2</v>
      </c>
      <c r="L37" s="10"/>
      <c r="N37" s="33"/>
      <c r="O37" s="10"/>
      <c r="P37" s="10"/>
      <c r="Q37" s="10"/>
      <c r="R37" s="10"/>
      <c r="S37" s="10"/>
    </row>
    <row r="38" spans="1:19" ht="18.95" customHeight="1" thickTop="1" x14ac:dyDescent="0.2">
      <c r="A38" s="11"/>
      <c r="B38" s="9"/>
      <c r="C38" s="12"/>
      <c r="D38" s="23"/>
      <c r="E38" s="23"/>
      <c r="F38" s="23"/>
      <c r="G38" s="23"/>
      <c r="H38" s="23"/>
      <c r="I38" s="23"/>
      <c r="J38" s="23"/>
      <c r="K38" s="23"/>
      <c r="L38" s="23"/>
      <c r="O38" s="41"/>
      <c r="P38" s="41"/>
      <c r="Q38" s="41"/>
      <c r="R38" s="41"/>
      <c r="S38" s="41"/>
    </row>
    <row r="39" spans="1:19" ht="18.95" customHeight="1" x14ac:dyDescent="0.2">
      <c r="A39" s="11"/>
      <c r="B39" s="4"/>
      <c r="C39" s="12"/>
    </row>
    <row r="40" spans="1:19" ht="18.95" customHeight="1" x14ac:dyDescent="0.2"/>
    <row r="41" spans="1:19" ht="18.95" customHeight="1" x14ac:dyDescent="0.2"/>
    <row r="42" spans="1:19" ht="18.95" customHeight="1" x14ac:dyDescent="0.2"/>
    <row r="43" spans="1:19" ht="18.95" customHeight="1" x14ac:dyDescent="0.2"/>
    <row r="44" spans="1:19" ht="18.95" customHeight="1" x14ac:dyDescent="0.2"/>
    <row r="45" spans="1:19" ht="18.95" customHeight="1" x14ac:dyDescent="0.2"/>
    <row r="46" spans="1:19" ht="18.95" customHeight="1" x14ac:dyDescent="0.2"/>
    <row r="47" spans="1:19" ht="18.95" customHeight="1" x14ac:dyDescent="0.2"/>
    <row r="48" spans="1:19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</sheetData>
  <mergeCells count="10">
    <mergeCell ref="A1:K1"/>
    <mergeCell ref="A2:K2"/>
    <mergeCell ref="A3:K3"/>
    <mergeCell ref="A4:K4"/>
    <mergeCell ref="A5:K5"/>
    <mergeCell ref="A20:K20"/>
    <mergeCell ref="A21:K21"/>
    <mergeCell ref="A22:K22"/>
    <mergeCell ref="A23:K23"/>
    <mergeCell ref="A24:K24"/>
  </mergeCells>
  <pageMargins left="0.7" right="0.7" top="1" bottom="0.75" header="0.3" footer="0.3"/>
  <pageSetup scale="65" fitToHeight="0" orientation="landscape" r:id="rId1"/>
  <rowBreaks count="2" manualBreakCount="2">
    <brk id="19" max="12" man="1"/>
    <brk id="40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07 - Post Hearing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LGE</Value>
    </Company>
  </documentManagement>
</p:properties>
</file>

<file path=customXml/itemProps1.xml><?xml version="1.0" encoding="utf-8"?>
<ds:datastoreItem xmlns:ds="http://schemas.openxmlformats.org/officeDocument/2006/customXml" ds:itemID="{0320C0AC-CB9A-4E30-85A7-A634D53D1E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B5D959-A1B8-4807-9A78-843F1A1D7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004C5E-06EC-4D3C-A34F-4C88763A9F1D}">
  <ds:schemaRefs>
    <ds:schemaRef ds:uri="http://www.w3.org/XML/1998/namespace"/>
    <ds:schemaRef ds:uri="http://purl.org/dc/elements/1.1/"/>
    <ds:schemaRef ds:uri="2ad705b9-adad-42ba-803b-2580de5ca47a"/>
    <ds:schemaRef ds:uri="http://schemas.microsoft.com/office/2006/documentManagement/types"/>
    <ds:schemaRef ds:uri="65bfb563-8fe2-4d34-a09f-38a217d8feea"/>
    <ds:schemaRef ds:uri="http://purl.org/dc/dcmitype/"/>
    <ds:schemaRef ds:uri="http://schemas.openxmlformats.org/package/2006/metadata/core-properties"/>
    <ds:schemaRef ds:uri="f789fa03-9022-4931-acb2-79f11ac92edf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SUMMARY (PG1)</vt:lpstr>
      <vt:lpstr>SUPPORT&gt;&gt;&gt;</vt:lpstr>
      <vt:lpstr>UPDATED SCH J-1 (ORDER) (21%)</vt:lpstr>
      <vt:lpstr>PENSION CONTRIBUTION</vt:lpstr>
      <vt:lpstr>LGE Composite Tax Rate (21%)</vt:lpstr>
      <vt:lpstr>TY TARIFF BILLING</vt:lpstr>
      <vt:lpstr>TY KWH-RS vs Non-RS</vt:lpstr>
      <vt:lpstr>Excess DIT</vt:lpstr>
      <vt:lpstr>SCH J-1.1|J-1.2</vt:lpstr>
      <vt:lpstr>SCH J-1 (ORDER)</vt:lpstr>
      <vt:lpstr>SCH H-1 (ORDER)</vt:lpstr>
      <vt:lpstr>'SCH J-1 (ORDER)'!Print_Area</vt:lpstr>
      <vt:lpstr>'SCH J-1.1|J-1.2'!Print_Area</vt:lpstr>
      <vt:lpstr>'SUMMARY (PG1)'!Print_Area</vt:lpstr>
      <vt:lpstr>'TY TARIFF BILLING'!Print_Area</vt:lpstr>
      <vt:lpstr>'UPDATED SCH J-1 (ORDER) (21%)'!Print_Area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2014-12-04T19:33:26Z</dcterms:created>
  <dcterms:modified xsi:type="dcterms:W3CDTF">2018-06-05T14:14:05Z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