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SUMMARY (PG1)" sheetId="22" r:id="rId1"/>
    <sheet name="Cost of Capital (PG2)" sheetId="29" r:id="rId2"/>
    <sheet name="Cost of Capital (PGS3-4)" sheetId="34" r:id="rId3"/>
    <sheet name="ST Debt (PG5)" sheetId="40" r:id="rId4"/>
    <sheet name="LT Debt (PG6)" sheetId="41" r:id="rId5"/>
    <sheet name="Effective Tax Rate (PG7)" sheetId="31" r:id="rId6"/>
    <sheet name="SUPPORT&gt;&gt;&gt;" sheetId="44" r:id="rId7"/>
    <sheet name="TY TARIFF BILLING" sheetId="43" r:id="rId8"/>
    <sheet name="TY KWH-RS vs Non-RS" sheetId="42" r:id="rId9"/>
    <sheet name="Excess DIT" sheetId="35" r:id="rId10"/>
    <sheet name="SCH J-1 (ORDER)" sheetId="32" r:id="rId11"/>
    <sheet name="SCH H-1 (ORDER)" sheetId="33" r:id="rId12"/>
  </sheets>
  <definedNames>
    <definedName name="\\" localSheetId="1" hidden="1">#REF!</definedName>
    <definedName name="\\" localSheetId="2" hidden="1">#REF!</definedName>
    <definedName name="\\" localSheetId="4" hidden="1">#REF!</definedName>
    <definedName name="\\" localSheetId="3" hidden="1">#REF!</definedName>
    <definedName name="\\" hidden="1">#REF!</definedName>
    <definedName name="\\\" localSheetId="1" hidden="1">#REF!</definedName>
    <definedName name="\\\" localSheetId="2" hidden="1">#REF!</definedName>
    <definedName name="\\\" localSheetId="4" hidden="1">#REF!</definedName>
    <definedName name="\\\" localSheetId="3" hidden="1">#REF!</definedName>
    <definedName name="\\\" hidden="1">#REF!</definedName>
    <definedName name="\\\\" localSheetId="1" hidden="1">#REF!</definedName>
    <definedName name="\\\\" localSheetId="2" hidden="1">#REF!</definedName>
    <definedName name="\\\\" localSheetId="4" hidden="1">#REF!</definedName>
    <definedName name="\\\\" localSheetId="3" hidden="1">#REF!</definedName>
    <definedName name="\\\\" hidden="1">#REF!</definedName>
    <definedName name="__123Graph_1" localSheetId="1" hidden="1">#REF!</definedName>
    <definedName name="__123Graph_1" localSheetId="2" hidden="1">#REF!</definedName>
    <definedName name="__123Graph_1" hidden="1">#REF!</definedName>
    <definedName name="__123Graph_2" localSheetId="1" hidden="1">#REF!</definedName>
    <definedName name="__123Graph_2" localSheetId="2" hidden="1">#REF!</definedName>
    <definedName name="__123Graph_2" hidden="1">#REF!</definedName>
    <definedName name="__123Graph_3" localSheetId="1" hidden="1">#REF!</definedName>
    <definedName name="__123Graph_3" localSheetId="2" hidden="1">#REF!</definedName>
    <definedName name="__123Graph_3" hidden="1">#REF!</definedName>
    <definedName name="__123Graph_4" localSheetId="1" hidden="1">#REF!</definedName>
    <definedName name="__123Graph_4" localSheetId="2" hidden="1">#REF!</definedName>
    <definedName name="__123Graph_4" hidden="1">#REF!</definedName>
    <definedName name="__123Graph_5" localSheetId="1" hidden="1">#REF!</definedName>
    <definedName name="__123Graph_5" localSheetId="2" hidden="1">#REF!</definedName>
    <definedName name="__123Graph_5" hidden="1">#REF!</definedName>
    <definedName name="__123Graph_6" localSheetId="1" hidden="1">#REF!</definedName>
    <definedName name="__123Graph_6" localSheetId="2" hidden="1">#REF!</definedName>
    <definedName name="__123Graph_6" hidden="1">#REF!</definedName>
    <definedName name="__123Graph_8" localSheetId="1" hidden="1">#REF!</definedName>
    <definedName name="__123Graph_8" localSheetId="2" hidden="1">#REF!</definedName>
    <definedName name="__123Graph_8" hidden="1">#REF!</definedName>
    <definedName name="__123Graph_A" localSheetId="1" hidden="1">#REF!</definedName>
    <definedName name="__123Graph_A" localSheetId="2" hidden="1">#REF!</definedName>
    <definedName name="__123Graph_A" localSheetId="4" hidden="1">#REF!</definedName>
    <definedName name="__123Graph_A" localSheetId="3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4" hidden="1">#REF!</definedName>
    <definedName name="__123Graph_B" localSheetId="3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4" hidden="1">#REF!</definedName>
    <definedName name="__123Graph_C" localSheetId="3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localSheetId="4" hidden="1">#REF!</definedName>
    <definedName name="__123Graph_D" localSheetId="3" hidden="1">#REF!</definedName>
    <definedName name="__123Graph_D" hidden="1">#REF!</definedName>
    <definedName name="__123Graph_E" localSheetId="1" hidden="1">#REF!</definedName>
    <definedName name="__123Graph_E" localSheetId="2" hidden="1">#REF!</definedName>
    <definedName name="__123Graph_E" localSheetId="4" hidden="1">#REF!</definedName>
    <definedName name="__123Graph_E" localSheetId="3" hidden="1">#REF!</definedName>
    <definedName name="__123Graph_E" hidden="1">#REF!</definedName>
    <definedName name="__123Graph_F" localSheetId="1" hidden="1">#REF!</definedName>
    <definedName name="__123Graph_F" localSheetId="2" hidden="1">#REF!</definedName>
    <definedName name="__123Graph_F" localSheetId="4" hidden="1">#REF!</definedName>
    <definedName name="__123Graph_F" localSheetId="3" hidden="1">#REF!</definedName>
    <definedName name="__123Graph_F" hidden="1">#REF!</definedName>
    <definedName name="__123Graph_X" localSheetId="1" hidden="1">#REF!</definedName>
    <definedName name="__123Graph_X" localSheetId="2" hidden="1">#REF!</definedName>
    <definedName name="__123Graph_X" localSheetId="4" hidden="1">#REF!</definedName>
    <definedName name="__123Graph_X" localSheetId="3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4" hidden="1">'LT Debt (PG6)'!#REF!</definedName>
    <definedName name="_Order1" hidden="1">0</definedName>
    <definedName name="_Order2" hidden="1">0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'Cost of Capital (PG2)'!$A$1:$O$27</definedName>
    <definedName name="_xlnm.Print_Area" localSheetId="2">'Cost of Capital (PGS3-4)'!$A$19:$J$60</definedName>
    <definedName name="_xlnm.Print_Area" localSheetId="4">'LT Debt (PG6)'!#REF!</definedName>
    <definedName name="_xlnm.Print_Area" localSheetId="0">'SUMMARY (PG1)'!$A$1:$H$36</definedName>
    <definedName name="_xlnm.Print_Area" localSheetId="7">'TY TARIFF BILLING'!$A$1:$H$32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F37" i="34" l="1"/>
  <c r="F29" i="31" l="1"/>
  <c r="A29" i="31"/>
  <c r="D34" i="40" l="1"/>
  <c r="C38" i="40" s="1"/>
  <c r="A38" i="40"/>
  <c r="G39" i="34" l="1"/>
  <c r="G37" i="34" s="1"/>
  <c r="A47" i="34"/>
  <c r="A44" i="34"/>
  <c r="A43" i="34"/>
  <c r="G14" i="34"/>
  <c r="G16" i="34"/>
  <c r="D37" i="34" l="1"/>
  <c r="D35" i="34"/>
  <c r="D33" i="34" l="1"/>
  <c r="D39" i="34" l="1"/>
  <c r="E33" i="34" s="1"/>
  <c r="H33" i="34" l="1"/>
  <c r="I33" i="34"/>
  <c r="E37" i="34"/>
  <c r="E35" i="34"/>
  <c r="E39" i="34" s="1"/>
  <c r="H37" i="34" l="1"/>
  <c r="I37" i="34"/>
  <c r="H35" i="34"/>
  <c r="I35" i="34"/>
  <c r="J33" i="34"/>
  <c r="J37" i="34" l="1"/>
  <c r="E16" i="34" s="1"/>
  <c r="F16" i="34" s="1"/>
  <c r="H16" i="34" s="1"/>
  <c r="D58" i="34" s="1"/>
  <c r="E12" i="34"/>
  <c r="J35" i="34"/>
  <c r="E14" i="34" s="1"/>
  <c r="F14" i="34" s="1"/>
  <c r="H14" i="34" s="1"/>
  <c r="E18" i="34" l="1"/>
  <c r="F12" i="34"/>
  <c r="D56" i="34"/>
  <c r="J39" i="34"/>
  <c r="F18" i="34" l="1"/>
  <c r="H12" i="34"/>
  <c r="D54" i="34" l="1"/>
  <c r="H18" i="34"/>
  <c r="K16" i="34" l="1"/>
  <c r="M16" i="34" s="1"/>
  <c r="K14" i="34"/>
  <c r="M14" i="34" s="1"/>
  <c r="D60" i="34"/>
  <c r="E54" i="34" s="1"/>
  <c r="K12" i="34"/>
  <c r="H54" i="34" l="1"/>
  <c r="F54" i="34"/>
  <c r="G54" i="34"/>
  <c r="E58" i="34"/>
  <c r="E56" i="34"/>
  <c r="K18" i="34"/>
  <c r="M12" i="34"/>
  <c r="M18" i="34" s="1"/>
  <c r="J54" i="34" l="1"/>
  <c r="H56" i="34"/>
  <c r="F56" i="34"/>
  <c r="G56" i="34"/>
  <c r="H58" i="34"/>
  <c r="F58" i="34"/>
  <c r="G58" i="34"/>
  <c r="E60" i="34"/>
  <c r="J56" i="34" l="1"/>
  <c r="I14" i="34" s="1"/>
  <c r="J14" i="34" s="1"/>
  <c r="J58" i="34"/>
  <c r="I16" i="34" s="1"/>
  <c r="J16" i="34" s="1"/>
  <c r="I12" i="34"/>
  <c r="J60" i="34" l="1"/>
  <c r="I18" i="34"/>
  <c r="J12" i="34"/>
  <c r="J18" i="34" s="1"/>
  <c r="H44" i="22" l="1"/>
  <c r="H33" i="22"/>
  <c r="G44" i="22"/>
  <c r="G33" i="22"/>
  <c r="B7" i="42"/>
  <c r="C5" i="42" s="1"/>
  <c r="G31" i="43"/>
  <c r="G30" i="43"/>
  <c r="G29" i="43"/>
  <c r="G28" i="43"/>
  <c r="G24" i="43"/>
  <c r="G22" i="43"/>
  <c r="G21" i="43"/>
  <c r="G20" i="43"/>
  <c r="G19" i="43"/>
  <c r="G18" i="43"/>
  <c r="G15" i="43"/>
  <c r="G14" i="43"/>
  <c r="G13" i="43"/>
  <c r="G12" i="43"/>
  <c r="G10" i="43"/>
  <c r="G9" i="43"/>
  <c r="G8" i="43"/>
  <c r="G7" i="43"/>
  <c r="G6" i="43"/>
  <c r="G5" i="43"/>
  <c r="E28" i="43"/>
  <c r="E24" i="43"/>
  <c r="B23" i="43"/>
  <c r="E23" i="43" s="1"/>
  <c r="E22" i="43"/>
  <c r="E21" i="43"/>
  <c r="E20" i="43"/>
  <c r="E19" i="43"/>
  <c r="E18" i="43"/>
  <c r="E17" i="43"/>
  <c r="E16" i="43"/>
  <c r="E15" i="43"/>
  <c r="E14" i="43"/>
  <c r="E13" i="43"/>
  <c r="E12" i="43"/>
  <c r="D11" i="43"/>
  <c r="D25" i="43" s="1"/>
  <c r="B11" i="43"/>
  <c r="G11" i="43" s="1"/>
  <c r="E10" i="43"/>
  <c r="E9" i="43"/>
  <c r="E8" i="43"/>
  <c r="E7" i="43"/>
  <c r="J6" i="43"/>
  <c r="E6" i="43"/>
  <c r="J5" i="43"/>
  <c r="E5" i="43"/>
  <c r="F33" i="22" l="1"/>
  <c r="F44" i="22"/>
  <c r="E11" i="43"/>
  <c r="C6" i="42"/>
  <c r="C7" i="42" s="1"/>
  <c r="G23" i="43"/>
  <c r="G25" i="43"/>
  <c r="H24" i="43" s="1"/>
  <c r="D32" i="43"/>
  <c r="J7" i="43"/>
  <c r="E29" i="43"/>
  <c r="B25" i="43"/>
  <c r="E25" i="43" s="1"/>
  <c r="E30" i="43"/>
  <c r="E31" i="43"/>
  <c r="H12" i="43" l="1"/>
  <c r="H23" i="43"/>
  <c r="H8" i="43"/>
  <c r="H19" i="43"/>
  <c r="G32" i="43"/>
  <c r="H25" i="43"/>
  <c r="H17" i="43"/>
  <c r="H18" i="43"/>
  <c r="H16" i="43"/>
  <c r="H10" i="43"/>
  <c r="H22" i="43"/>
  <c r="H14" i="43"/>
  <c r="H6" i="43"/>
  <c r="H20" i="43"/>
  <c r="H15" i="43"/>
  <c r="H9" i="43"/>
  <c r="H13" i="43"/>
  <c r="H7" i="43"/>
  <c r="H11" i="43"/>
  <c r="H21" i="43"/>
  <c r="H5" i="43"/>
  <c r="J25" i="43"/>
  <c r="K7" i="43" s="1"/>
  <c r="B32" i="43"/>
  <c r="E32" i="43" s="1"/>
  <c r="E7" i="42" l="1"/>
  <c r="P36" i="41" l="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A16" i="4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P15" i="41"/>
  <c r="E79" i="35" l="1"/>
  <c r="D79" i="35"/>
  <c r="C79" i="35"/>
  <c r="F78" i="35"/>
  <c r="F77" i="35"/>
  <c r="F76" i="35"/>
  <c r="F75" i="35"/>
  <c r="F74" i="35"/>
  <c r="F73" i="35"/>
  <c r="F72" i="35"/>
  <c r="F71" i="35"/>
  <c r="F70" i="35"/>
  <c r="F69" i="35"/>
  <c r="F68" i="35"/>
  <c r="F67" i="35"/>
  <c r="F66" i="35"/>
  <c r="F65" i="35"/>
  <c r="F64" i="35"/>
  <c r="F63" i="35"/>
  <c r="F62" i="35"/>
  <c r="F61" i="35"/>
  <c r="F60" i="35"/>
  <c r="F59" i="35"/>
  <c r="F58" i="35"/>
  <c r="F57" i="35"/>
  <c r="F56" i="35"/>
  <c r="F55" i="35"/>
  <c r="F54" i="35"/>
  <c r="F53" i="35"/>
  <c r="F52" i="35"/>
  <c r="F51" i="35"/>
  <c r="F50" i="35"/>
  <c r="F49" i="35"/>
  <c r="F48" i="35"/>
  <c r="F47" i="35"/>
  <c r="F46" i="35"/>
  <c r="F45" i="35"/>
  <c r="D28" i="35"/>
  <c r="C29" i="35"/>
  <c r="G16" i="35"/>
  <c r="F15" i="35"/>
  <c r="E22" i="35" s="1"/>
  <c r="D14" i="35"/>
  <c r="G8" i="35"/>
  <c r="G9" i="35" s="1"/>
  <c r="F8" i="35"/>
  <c r="D7" i="35"/>
  <c r="C7" i="35" s="1"/>
  <c r="F16" i="35" l="1"/>
  <c r="F9" i="35"/>
  <c r="D15" i="35"/>
  <c r="D16" i="35" s="1"/>
  <c r="C28" i="35"/>
  <c r="E28" i="35" s="1"/>
  <c r="D8" i="35"/>
  <c r="F79" i="35"/>
  <c r="E14" i="35"/>
  <c r="E15" i="35" l="1"/>
  <c r="D22" i="35" s="1"/>
  <c r="E24" i="35"/>
  <c r="C30" i="35"/>
  <c r="C31" i="35" s="1"/>
  <c r="D9" i="35"/>
  <c r="C14" i="35"/>
  <c r="E8" i="35"/>
  <c r="E9" i="35" s="1"/>
  <c r="C22" i="35" l="1"/>
  <c r="C15" i="35"/>
  <c r="C16" i="35" s="1"/>
  <c r="D36" i="35"/>
  <c r="E23" i="22" s="1"/>
  <c r="C23" i="35"/>
  <c r="E16" i="35"/>
  <c r="C8" i="35"/>
  <c r="C9" i="35" l="1"/>
  <c r="C24" i="35"/>
  <c r="C17" i="35"/>
  <c r="D24" i="35"/>
  <c r="D35" i="35"/>
  <c r="D37" i="35" s="1"/>
  <c r="E21" i="22" l="1"/>
  <c r="E25" i="22" l="1"/>
  <c r="F17" i="22"/>
  <c r="D18" i="29"/>
  <c r="D16" i="29"/>
  <c r="L16" i="29"/>
  <c r="L14" i="29"/>
  <c r="D14" i="29"/>
  <c r="D22" i="33"/>
  <c r="D24" i="33" s="1"/>
  <c r="E24" i="33" s="1"/>
  <c r="E18" i="33"/>
  <c r="E16" i="33"/>
  <c r="H73" i="32"/>
  <c r="H70" i="32" s="1"/>
  <c r="A53" i="32"/>
  <c r="A50" i="32"/>
  <c r="A49" i="32"/>
  <c r="G46" i="32"/>
  <c r="G44" i="32" s="1"/>
  <c r="F44" i="32"/>
  <c r="D44" i="32"/>
  <c r="G42" i="32"/>
  <c r="D42" i="32"/>
  <c r="G40" i="32"/>
  <c r="D40" i="32"/>
  <c r="D22" i="32"/>
  <c r="G20" i="32"/>
  <c r="G18" i="32"/>
  <c r="F31" i="31"/>
  <c r="F35" i="31" s="1"/>
  <c r="F11" i="31" s="1"/>
  <c r="A17" i="31"/>
  <c r="E22" i="33" l="1"/>
  <c r="E36" i="33" s="1"/>
  <c r="D46" i="32"/>
  <c r="E40" i="32" s="1"/>
  <c r="F13" i="31"/>
  <c r="E44" i="32" l="1"/>
  <c r="E28" i="33"/>
  <c r="E30" i="33" s="1"/>
  <c r="N13" i="32" s="1"/>
  <c r="E42" i="32"/>
  <c r="I40" i="32"/>
  <c r="H40" i="32"/>
  <c r="H44" i="32"/>
  <c r="I44" i="32"/>
  <c r="F17" i="31"/>
  <c r="F19" i="31" s="1"/>
  <c r="F21" i="31" s="1"/>
  <c r="F23" i="31" s="1"/>
  <c r="E46" i="32" l="1"/>
  <c r="J40" i="32"/>
  <c r="H42" i="32"/>
  <c r="E32" i="33"/>
  <c r="E34" i="33" s="1"/>
  <c r="I42" i="32"/>
  <c r="J44" i="32"/>
  <c r="E20" i="32" s="1"/>
  <c r="F20" i="32" s="1"/>
  <c r="H20" i="32" s="1"/>
  <c r="D68" i="32" s="1"/>
  <c r="N11" i="29"/>
  <c r="B27" i="22"/>
  <c r="E27" i="22"/>
  <c r="F29" i="22" s="1"/>
  <c r="E16" i="32"/>
  <c r="J42" i="32" l="1"/>
  <c r="E18" i="32" s="1"/>
  <c r="F18" i="32" s="1"/>
  <c r="H18" i="32" s="1"/>
  <c r="D66" i="32" s="1"/>
  <c r="F16" i="32"/>
  <c r="E22" i="32" l="1"/>
  <c r="J46" i="32"/>
  <c r="H16" i="32"/>
  <c r="F22" i="32"/>
  <c r="E16" i="29" l="1"/>
  <c r="D64" i="32"/>
  <c r="H22" i="32"/>
  <c r="K16" i="32" s="1"/>
  <c r="E18" i="29" l="1"/>
  <c r="E14" i="29"/>
  <c r="M16" i="32"/>
  <c r="O16" i="32" s="1"/>
  <c r="K18" i="32"/>
  <c r="M18" i="32" s="1"/>
  <c r="O18" i="32" s="1"/>
  <c r="K20" i="32"/>
  <c r="M20" i="32" s="1"/>
  <c r="D70" i="32"/>
  <c r="E64" i="32" s="1"/>
  <c r="N20" i="32" l="1"/>
  <c r="O20" i="32" s="1"/>
  <c r="F64" i="32"/>
  <c r="H64" i="32"/>
  <c r="G64" i="32"/>
  <c r="M22" i="32"/>
  <c r="E66" i="32"/>
  <c r="E68" i="32"/>
  <c r="K22" i="32"/>
  <c r="N22" i="32" l="1"/>
  <c r="O22" i="32"/>
  <c r="D13" i="22" s="1"/>
  <c r="J64" i="32"/>
  <c r="F68" i="32"/>
  <c r="H68" i="32"/>
  <c r="G68" i="32"/>
  <c r="G66" i="32"/>
  <c r="F66" i="32"/>
  <c r="H66" i="32"/>
  <c r="E70" i="32"/>
  <c r="I16" i="32" l="1"/>
  <c r="J66" i="32"/>
  <c r="I18" i="32" s="1"/>
  <c r="J18" i="32" s="1"/>
  <c r="J68" i="32"/>
  <c r="I20" i="32" s="1"/>
  <c r="J20" i="32" s="1"/>
  <c r="J16" i="32" l="1"/>
  <c r="J22" i="32" s="1"/>
  <c r="D11" i="22" s="1"/>
  <c r="D15" i="22" s="1"/>
  <c r="I22" i="32"/>
  <c r="J70" i="32"/>
  <c r="I16" i="29" l="1"/>
  <c r="I18" i="29"/>
  <c r="I14" i="29" l="1"/>
  <c r="D20" i="29" l="1"/>
  <c r="G18" i="29"/>
  <c r="F18" i="29"/>
  <c r="G16" i="29"/>
  <c r="F16" i="29"/>
  <c r="I20" i="29"/>
  <c r="E20" i="29"/>
  <c r="H16" i="29" l="1"/>
  <c r="J16" i="29" s="1"/>
  <c r="H18" i="29"/>
  <c r="J18" i="29" s="1"/>
  <c r="F14" i="29"/>
  <c r="H14" i="29" l="1"/>
  <c r="F20" i="29"/>
  <c r="H20" i="29" l="1"/>
  <c r="K14" i="29" s="1"/>
  <c r="M14" i="29" s="1"/>
  <c r="J14" i="29"/>
  <c r="J20" i="29" s="1"/>
  <c r="E11" i="22" s="1"/>
  <c r="F11" i="22" s="1"/>
  <c r="O14" i="29" l="1"/>
  <c r="K16" i="29"/>
  <c r="M16" i="29" s="1"/>
  <c r="O16" i="29" s="1"/>
  <c r="K18" i="29"/>
  <c r="M18" i="29" s="1"/>
  <c r="N18" i="29" s="1"/>
  <c r="O18" i="29" l="1"/>
  <c r="O20" i="29" s="1"/>
  <c r="E13" i="22" s="1"/>
  <c r="F13" i="22" s="1"/>
  <c r="N20" i="29"/>
  <c r="M20" i="29"/>
  <c r="K20" i="29"/>
  <c r="E15" i="22" l="1"/>
  <c r="F15" i="22" s="1"/>
  <c r="F19" i="22" s="1"/>
  <c r="F31" i="22" s="1"/>
  <c r="G31" i="22" s="1"/>
  <c r="H31" i="22" l="1"/>
  <c r="F42" i="22"/>
  <c r="F46" i="22" s="1"/>
  <c r="H35" i="22" l="1"/>
  <c r="H42" i="22"/>
  <c r="H46" i="22" s="1"/>
  <c r="G35" i="22"/>
  <c r="G42" i="22"/>
  <c r="G46" i="22" s="1"/>
</calcChain>
</file>

<file path=xl/comments1.xml><?xml version="1.0" encoding="utf-8"?>
<comments xmlns="http://schemas.openxmlformats.org/spreadsheetml/2006/main">
  <authors>
    <author>Author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As corrected in post hearing DR1 Q1 attachment</t>
        </r>
      </text>
    </comment>
  </commentList>
</comments>
</file>

<file path=xl/sharedStrings.xml><?xml version="1.0" encoding="utf-8"?>
<sst xmlns="http://schemas.openxmlformats.org/spreadsheetml/2006/main" count="635" uniqueCount="335">
  <si>
    <t>KENTUCKY UTILITIES COMPANY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</si>
  <si>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</si>
  <si>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DESCRIPTION</t>
  </si>
  <si>
    <t>STATE</t>
  </si>
  <si>
    <t xml:space="preserve">WORKPAPER REFERENCE NO(S).: </t>
  </si>
  <si>
    <t>LINE NO.</t>
  </si>
  <si>
    <t>$</t>
  </si>
  <si>
    <t>DATA:__X__BASE  PERIOD__X__FORECASTED  PERIOD</t>
  </si>
  <si>
    <t>PAGE 1 OF 1</t>
  </si>
  <si>
    <t>OVERALL FINANCIAL SUMMARY</t>
  </si>
  <si>
    <t>SUPPORTING SCHEDULE REFERENCE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</si>
  <si>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</si>
  <si>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</si>
  <si>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</si>
  <si>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</si>
  <si>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</si>
  <si>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</si>
  <si>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</si>
  <si>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</si>
  <si>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</si>
  <si>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</si>
  <si>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</si>
  <si>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</si>
  <si>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</si>
  <si>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</si>
  <si>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</si>
  <si>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</si>
  <si>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</si>
  <si>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</si>
  <si>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</si>
  <si>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</si>
  <si>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</si>
  <si>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</si>
  <si>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</si>
  <si>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</si>
  <si>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</si>
  <si>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</si>
  <si>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</si>
  <si>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</si>
  <si>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</si>
  <si>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</si>
  <si>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</si>
  <si>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</si>
  <si>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</si>
  <si>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</si>
  <si>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</si>
  <si>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</si>
  <si>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</si>
  <si>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</si>
  <si>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JURISDICTIONAL RATE BASE PERCENTAGE</t>
  </si>
  <si>
    <t>JURISDICTIONAL ADJUSTED CAPITAL</t>
  </si>
  <si>
    <t>(G=ExF)</t>
  </si>
  <si>
    <t>(H)</t>
  </si>
  <si>
    <t>CAPITALIZATION ALLOCATED TO KENTUCKY JURISDICTION</t>
  </si>
  <si>
    <t>JURISDICTIONAL CAPITAL</t>
  </si>
  <si>
    <t>JURISDICTIONAL ADJUSTMENTS</t>
  </si>
  <si>
    <t>(I=G+H)</t>
  </si>
  <si>
    <t>(J)</t>
  </si>
  <si>
    <t>(K)</t>
  </si>
  <si>
    <t>(L=JxK)</t>
  </si>
  <si>
    <t>FOR THE 12 MONTHS ENDED FEBRUARY 28, 2017</t>
  </si>
  <si>
    <t>WITNESS:   C. M. GARRETT</t>
  </si>
  <si>
    <t>WITNESS:   D. K. ARBOUGH</t>
  </si>
  <si>
    <t>CASE NO. 2017-00477</t>
  </si>
  <si>
    <t>THIRTEEN MONTH AVERAGE</t>
  </si>
  <si>
    <t>DATE OF CAPITAL STRUCTURE: 13 MO AVG FOR FORECASTED  PERIOD</t>
  </si>
  <si>
    <t>SCHEDULE J-1.1/J-1.2</t>
  </si>
  <si>
    <t>PAGE 1 OF 3</t>
  </si>
  <si>
    <t>13 MONTH AVERAGE AMOUNT</t>
  </si>
  <si>
    <t>FROM JANUARY 1, 2018 TO APRIL 30, 2019</t>
  </si>
  <si>
    <t>TAX GROSS-UP</t>
  </si>
  <si>
    <t>WEIGHTED COST ADJUSTED FOR INCOME TAXES</t>
  </si>
  <si>
    <t>(L+M)</t>
  </si>
  <si>
    <t>Calculation of Composite Federal and Kentucky</t>
  </si>
  <si>
    <t>Income Tax Rate</t>
  </si>
  <si>
    <t>(Based on Law in Effect January 1, 2018)</t>
  </si>
  <si>
    <t xml:space="preserve">1. Assume pre-tax income of </t>
  </si>
  <si>
    <t>2.  State income tax (see SIT calc below)</t>
  </si>
  <si>
    <t>3.  Taxable income for Federal income tax before production activities deduction</t>
  </si>
  <si>
    <t xml:space="preserve">     a. Production Rate</t>
  </si>
  <si>
    <t xml:space="preserve">     b. Allocation to Production Income</t>
  </si>
  <si>
    <t xml:space="preserve">     c. Allocated Production Rate </t>
  </si>
  <si>
    <t>5.  Taxable income for Federal income tax (Line 3 - Line 4)</t>
  </si>
  <si>
    <t>6.  Federal income tax at 21% (Line 5 x 21%)</t>
  </si>
  <si>
    <t>7.  Total State and Federal income taxes (Line 2 + Line 6)</t>
  </si>
  <si>
    <t>State Income Tax Calculation</t>
  </si>
  <si>
    <t xml:space="preserve">3.  Taxable income for State income tax </t>
  </si>
  <si>
    <t>4.  State Tax Rate</t>
  </si>
  <si>
    <t>5.  State Income Tax</t>
  </si>
  <si>
    <t>CASE NO. 2016-00370</t>
  </si>
  <si>
    <t>FROM JULY 1, 2017 TO JUNE 30, 2018</t>
  </si>
  <si>
    <t>COST OF CAPITAL SUMMARY - ADJUSTMENT AMOUNT</t>
  </si>
  <si>
    <t>PAGE 2 OF 3</t>
  </si>
  <si>
    <t>OTHER COMPREHENSIVE INCOME - EEI</t>
  </si>
  <si>
    <t>EEI DEFERRED TAXES</t>
  </si>
  <si>
    <t>INVESTMENT IN OVEC</t>
  </si>
  <si>
    <t>NET NONUTILITY PROPERTY</t>
  </si>
  <si>
    <t>(E)</t>
  </si>
  <si>
    <t>(G)</t>
  </si>
  <si>
    <t>(I=E+F+G+H)</t>
  </si>
  <si>
    <t>COST OF CAPITAL SUMMARY - JURISDICTIONAL ADJUSTMENTS</t>
  </si>
  <si>
    <t>PAGE 3 OF 3</t>
  </si>
  <si>
    <t>ECR RATE BASE</t>
  </si>
  <si>
    <t>DSM RATE BASE</t>
  </si>
  <si>
    <t>STIPULATION ADJUSTMENTS</t>
  </si>
  <si>
    <t>(C=PAGE 1 COL G)</t>
  </si>
  <si>
    <t>(H=E+F+G)</t>
  </si>
  <si>
    <t>AMS-AG (reflects slippage reduction)</t>
  </si>
  <si>
    <t>SLIPPAGE-AG</t>
  </si>
  <si>
    <t>REQUIRED RATE OF RETURN ADJUSTED FOR INCOME TAXES</t>
  </si>
  <si>
    <t>FOR THE 12 MONTHS ENDED JUNE 30, 2018</t>
  </si>
  <si>
    <t>SEVENTEEN MONTH AVERAGE</t>
  </si>
  <si>
    <t>17 MONTH AVERAGE AMOUNT</t>
  </si>
  <si>
    <t>17 MONTH AVERAGE WEIGHTED COST</t>
  </si>
  <si>
    <t>PROFORMA ADJUSTMENT RATE BASE</t>
  </si>
  <si>
    <t>FORECASTED PERIOD (1/1/2018 - 4/30/2019) REFLECTING CHANGES TO FEDERAL INCOME TAXES</t>
  </si>
  <si>
    <t>REVENUE REQUIREMENT IMPACT</t>
  </si>
  <si>
    <t>YEARS EQUIVALENT TO 16 MONTHS (16/12)</t>
  </si>
  <si>
    <t>Kentucky Utilities Company</t>
  </si>
  <si>
    <t>Excess Deferred Tax Forecast</t>
  </si>
  <si>
    <t>Reg Liab before Gross Up</t>
  </si>
  <si>
    <t>Excess Deferred Amortization</t>
  </si>
  <si>
    <t>Total</t>
  </si>
  <si>
    <t>Electric</t>
  </si>
  <si>
    <t>NOL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</si>
  <si>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</si>
  <si>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</si>
  <si>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</si>
  <si>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</si>
  <si>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</si>
  <si>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</si>
  <si>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</si>
  <si>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</si>
  <si>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</si>
  <si>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TOTAL</t>
  </si>
  <si>
    <t>KY Juris</t>
  </si>
  <si>
    <t>Jurisdictional Factor (ADIT)</t>
  </si>
  <si>
    <t>TOTAL AMORTIZATION OF EXCESS ADIT (6 + 7)</t>
  </si>
  <si>
    <t xml:space="preserve"> TOTAL REDUCTION IN INCOME TAX EXPENSE (3 x 4)</t>
  </si>
  <si>
    <t>REQUIRED ANNUAL OPERATING INCOME BEFORE TAXES (1 x 2)</t>
  </si>
  <si>
    <t>TOTAL REDUCTION IN DEFERRED INCOME TAX EXPENSE (8 x 9)</t>
  </si>
  <si>
    <t>TOTAL REDUCTION IN REVENUE REQUIREMENTS (5 + 10)</t>
  </si>
  <si>
    <t>Kentucky Utilities</t>
  </si>
  <si>
    <t>Test Year Total</t>
  </si>
  <si>
    <t>Sch M-2.3/
Sch M-2.2 Totals</t>
  </si>
  <si>
    <t>Difference</t>
  </si>
  <si>
    <t>ENERGY CREDIT PER KWH (APRIL 1, 2018 - APRIL 30, 2019) (11 / 12)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</si>
  <si>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</si>
  <si>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</si>
  <si>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</si>
  <si>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</si>
  <si>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</si>
  <si>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</si>
  <si>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</si>
  <si>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</si>
  <si>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</si>
  <si>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</si>
  <si>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</si>
  <si>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</si>
  <si>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</si>
  <si>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</si>
  <si>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Deferred Rent Payable</t>
  </si>
  <si>
    <t>Demand Side Management</t>
  </si>
  <si>
    <t>Emission Allowances</t>
  </si>
  <si>
    <t>Environmental Cost Recovery - Current</t>
  </si>
  <si>
    <t>FAC Under Recovery KY</t>
  </si>
  <si>
    <t>FAS 106 Cost Write-Off (Post Retirement)</t>
  </si>
  <si>
    <t>FAS 112 Cost Write-Off (Post Employment)</t>
  </si>
  <si>
    <t>FAS 87 Pensions</t>
  </si>
  <si>
    <t>Green River Regulatory Asset</t>
  </si>
  <si>
    <t>Interest Rate Swaps</t>
  </si>
  <si>
    <t>Muni True-up - Reg Asset</t>
  </si>
  <si>
    <t>Off-System Sales Tracker - Reg Liab</t>
  </si>
  <si>
    <t>Over/Under Accrual FICA</t>
  </si>
  <si>
    <t>Over/Under Accrual of PSC Tax</t>
  </si>
  <si>
    <t>Over/Under Accrual of UN/INS</t>
  </si>
  <si>
    <t>Performance Incentive</t>
  </si>
  <si>
    <t xml:space="preserve">Plant Outage Normalization - Reg Liability </t>
  </si>
  <si>
    <t>Refined Coal - KY - Reg Liab</t>
  </si>
  <si>
    <t>Refined Coal - VA - Reg Liab</t>
  </si>
  <si>
    <t>Regulatory Expenses</t>
  </si>
  <si>
    <t>Research Dev. &amp; Demo Exp.</t>
  </si>
  <si>
    <t>State Tax Current</t>
  </si>
  <si>
    <t>Tenant Incentive Amortization</t>
  </si>
  <si>
    <t>VA over/under Recovery Fuel Clause - Current</t>
  </si>
  <si>
    <t>Vacation Pay</t>
  </si>
  <si>
    <t>Workers Compensation</t>
  </si>
  <si>
    <t>NOTES:</t>
  </si>
  <si>
    <t>PAGE 2</t>
  </si>
  <si>
    <t>ENERGY BILLING UNITS (TY KWH / 12 MO x 13 MO)</t>
  </si>
  <si>
    <t>(F)  "JURISDICTIONAL RATE BASE PERCENTAGE IS PER CASE NO. 2016-00370.</t>
  </si>
  <si>
    <t>CASE NO. 2016-00370 FINAL ORDER                                    (7/1/2017 - 6/30/2018)</t>
  </si>
  <si>
    <t>AMORTIZATION OF EXCESS ADIT (UNPROTECTED) - (SL OVER 15 YEARS)</t>
  </si>
  <si>
    <t>(C=PAGE 2 COL G)</t>
  </si>
  <si>
    <t>AMORTIZATION OF EXCESS ADIT (PROTECTED) -  ($309,333,049 USING ARAM)</t>
  </si>
  <si>
    <t>BASE RATES</t>
  </si>
  <si>
    <t>MECHANISMS</t>
  </si>
  <si>
    <t>DSM</t>
  </si>
  <si>
    <t>4 Months 2019</t>
  </si>
  <si>
    <t>16 Month Period</t>
  </si>
  <si>
    <t>Protected Deferreds under ARAM</t>
  </si>
  <si>
    <t>Electric - Base</t>
  </si>
  <si>
    <t>Mechanisms</t>
  </si>
  <si>
    <t>REFERENCE</t>
  </si>
  <si>
    <r>
      <t>(D)  "ADJUSTMENT AMOUNTS" REMOVE NON-UTILITY PROPERTY, CONSISTENT WITH CASE NO. 2016-00370.</t>
    </r>
    <r>
      <rPr>
        <b/>
        <sz val="10"/>
        <rFont val="Arial"/>
        <family val="2"/>
      </rPr>
      <t xml:space="preserve"> SEE PAGE 3</t>
    </r>
    <r>
      <rPr>
        <sz val="10"/>
        <rFont val="Arial"/>
        <family val="2"/>
      </rPr>
      <t>.</t>
    </r>
  </si>
  <si>
    <r>
      <t xml:space="preserve">(H)  "JURISDICTIONAL ADJUSTMENTS" REMOVE RATE BASE OF OTHER RATE MECHANISMS, MAINLY ECR. </t>
    </r>
    <r>
      <rPr>
        <b/>
        <sz val="10"/>
        <rFont val="Arial"/>
        <family val="2"/>
      </rPr>
      <t>SEE PAGE 4</t>
    </r>
    <r>
      <rPr>
        <sz val="10"/>
        <rFont val="Arial"/>
        <family val="2"/>
      </rPr>
      <t>.</t>
    </r>
  </si>
  <si>
    <t>TOTAL MONTHLY REDUCTION IN REVENUE REQUIREMENTS (11 / 16 MO)</t>
  </si>
  <si>
    <t>ENERGY BILLING UNITS PER MONTH (TY KWH / 12 MO)</t>
  </si>
  <si>
    <t>EMBEDDED COST OF SHORT-TERM DEBT</t>
  </si>
  <si>
    <t>ISSUE</t>
  </si>
  <si>
    <t>AMOUNT OUTSTANDING</t>
  </si>
  <si>
    <t>INTEREST RATE</t>
  </si>
  <si>
    <t>INTEREST REQUIREMENT</t>
  </si>
  <si>
    <t>(D=BxC)</t>
  </si>
  <si>
    <t>Commercial Paper:</t>
  </si>
  <si>
    <t>Weighted Cost of Short-Term Debt</t>
  </si>
  <si>
    <t>EMBEDDED COST OF LONG-TERM DEBT</t>
  </si>
  <si>
    <t>ANNUAL COST</t>
  </si>
  <si>
    <t>DEBT ISSUE TYPE</t>
  </si>
  <si>
    <t>COUPON RATE</t>
  </si>
  <si>
    <t>DATE ISSUED (DAY/MO/YR)</t>
  </si>
  <si>
    <t>MATURITY DATE (DAY/MO/YR)</t>
  </si>
  <si>
    <t>AVERAGE 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</si>
  <si>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</si>
  <si>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</si>
  <si>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</si>
  <si>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</si>
  <si>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</si>
  <si>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</si>
  <si>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</si>
  <si>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</si>
  <si>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</si>
  <si>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(H=D+E-F-G)</t>
  </si>
  <si>
    <t>(I=AxD)</t>
  </si>
  <si>
    <t>(L)</t>
  </si>
  <si>
    <t>(M)</t>
  </si>
  <si>
    <t>(N=I+J+K+L+M)</t>
  </si>
  <si>
    <t xml:space="preserve">Kentucky Utilities_PCB Variable due Feb 1, 2032 </t>
  </si>
  <si>
    <t xml:space="preserve"> Feb. 1, 2032</t>
  </si>
  <si>
    <t xml:space="preserve"> Feb. 1, 2033</t>
  </si>
  <si>
    <t xml:space="preserve">Kentucky Utilities_PCB Variable due Sep 1, 2042 </t>
  </si>
  <si>
    <t>Aug. 25, 2016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</si>
  <si>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</si>
  <si>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</si>
  <si>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</si>
  <si>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</si>
  <si>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>Oct. 20, 2004</t>
  </si>
  <si>
    <t xml:space="preserve"> Oct. 1, 2034</t>
  </si>
  <si>
    <t>Oct. 17, 2008</t>
  </si>
  <si>
    <t>Feb. 23, 2007</t>
  </si>
  <si>
    <t xml:space="preserve">Kentucky Utilities_PCB Variable due May 1, 2023 </t>
  </si>
  <si>
    <t>May 1, 2023</t>
  </si>
  <si>
    <t xml:space="preserve">Kentucky Utilities_PCB  Variable due Feb 1, 2032 </t>
  </si>
  <si>
    <t xml:space="preserve">Kentucky Utilities_PCB 6.0% due Mar 1, 2037 </t>
  </si>
  <si>
    <t>Mar. 1, 2037</t>
  </si>
  <si>
    <t xml:space="preserve">Kentucky Utilities_FMB 3.250% due Nov. 1, 2020 </t>
  </si>
  <si>
    <t>Nov. 16, 2010</t>
  </si>
  <si>
    <t>Nov. 1, 2020</t>
  </si>
  <si>
    <t xml:space="preserve">Kentucky Utilities_FMB 3.300% due Oct. 1, 2025 </t>
  </si>
  <si>
    <t>Sep. 28, 2015</t>
  </si>
  <si>
    <t>Oct. 1,2025</t>
  </si>
  <si>
    <t xml:space="preserve">Kentucky Utilities_FMB 4.375% due Oct. 1, 2045 </t>
  </si>
  <si>
    <t>Oct. 1,2045</t>
  </si>
  <si>
    <t xml:space="preserve">Kentucky Utilities_FMB 4.65% due Nov 15, 2043 </t>
  </si>
  <si>
    <t>Nov. 14, 2013</t>
  </si>
  <si>
    <t>Nov. 15, 2043</t>
  </si>
  <si>
    <t xml:space="preserve">Kentucky Utilities_FMB 5.125% due Nov. 1,  2040 </t>
  </si>
  <si>
    <t>Nov. 1,  2040</t>
  </si>
  <si>
    <t>Revolving Credit Facility</t>
  </si>
  <si>
    <t>L of C Facility</t>
  </si>
  <si>
    <t>Called Bonds</t>
  </si>
  <si>
    <t>2013 30-Year - Swap Hedging FMB - 4.65%</t>
  </si>
  <si>
    <t>2015 10-Year - Swap Hedging FMB -3.30%</t>
  </si>
  <si>
    <t>2015 30-Year - Swap Hedging FMB - 4.375%</t>
  </si>
  <si>
    <t>TOTALS</t>
  </si>
  <si>
    <t>RATE PER MONTH CALCULATIONS:</t>
  </si>
  <si>
    <t>% of Total</t>
  </si>
  <si>
    <t>Based on Rates per June 29, 2017 Order</t>
  </si>
  <si>
    <t>Rates RS, RTOD-D, RTOD-E</t>
  </si>
  <si>
    <t>All Other Rates</t>
  </si>
  <si>
    <t>Total kWh</t>
  </si>
  <si>
    <t>PAGE 5 OF 7</t>
  </si>
  <si>
    <t>PAGE 6 OF 7</t>
  </si>
  <si>
    <t>PAGE 7 OF 7</t>
  </si>
  <si>
    <t>PAGE 3 OF 7</t>
  </si>
  <si>
    <t>PAGE 4 OF 7</t>
  </si>
  <si>
    <t>PAGE 2 OF 7</t>
  </si>
  <si>
    <t>PAGE 1 OF 7</t>
  </si>
  <si>
    <r>
      <t xml:space="preserve">(M)  SEE CALCULATION OF EFFECTIVE TAX RATE, </t>
    </r>
    <r>
      <rPr>
        <b/>
        <sz val="10"/>
        <rFont val="Arial"/>
        <family val="2"/>
      </rPr>
      <t>PAGE 7</t>
    </r>
    <r>
      <rPr>
        <sz val="10"/>
        <rFont val="Arial"/>
        <family val="2"/>
      </rPr>
      <t>.</t>
    </r>
  </si>
  <si>
    <r>
      <t xml:space="preserve">(K)  SEE CALCULATION OF DEBT COST RATES, </t>
    </r>
    <r>
      <rPr>
        <b/>
        <sz val="10"/>
        <rFont val="Arial"/>
        <family val="2"/>
      </rPr>
      <t>PAGES 5 AND 6</t>
    </r>
    <r>
      <rPr>
        <sz val="10"/>
        <rFont val="Arial"/>
        <family val="2"/>
      </rPr>
      <t>.</t>
    </r>
  </si>
  <si>
    <t>Per PSC Order (6/29/17)</t>
  </si>
  <si>
    <t>Forecasted Test Year Revenues</t>
  </si>
  <si>
    <t>Increase</t>
  </si>
  <si>
    <t>Percentage Increase</t>
  </si>
  <si>
    <t>Tariffed Revenues:</t>
  </si>
  <si>
    <t>Residential Service - RS</t>
  </si>
  <si>
    <t>Residential Time-of-Day Rate - RTOD</t>
  </si>
  <si>
    <t>General Service Rate</t>
  </si>
  <si>
    <t>All Electric School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</si>
  <si>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</si>
  <si>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</si>
  <si>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</si>
  <si>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</si>
  <si>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</si>
  <si>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</si>
  <si>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</si>
  <si>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</si>
  <si>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</si>
  <si>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</si>
  <si>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</si>
  <si>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</si>
  <si>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</si>
  <si>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</si>
  <si>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</si>
  <si>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</si>
  <si>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</si>
  <si>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</si>
  <si>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</si>
  <si>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</si>
  <si>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</si>
  <si>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</si>
  <si>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</si>
  <si>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Percent of Total</t>
  </si>
  <si>
    <t>Forecasted Test Year Data per KPSC's June 29, 2017 Order</t>
  </si>
  <si>
    <t>OTHER TARIFFS (61% OF TOTAL REVENUES)</t>
  </si>
  <si>
    <t>RESIDENTIAL TARIFF            (39% OF TOTAL REVENUES)</t>
  </si>
  <si>
    <t>Adjustment to Capital Structure - Case No. 2016-00370</t>
  </si>
  <si>
    <t>Adjusted 17 Month Average</t>
  </si>
  <si>
    <t>Total Revenues per Updated Final Order</t>
  </si>
  <si>
    <t>EMBEDDED COST OF LONG-TERM DEBT (N / TOTALS H LESS LINE NO. 23)</t>
  </si>
  <si>
    <t>17 Month Average (D / B)</t>
  </si>
  <si>
    <t>(15 year amort for unprotected - Base)</t>
  </si>
  <si>
    <t>CASE NO. 2018-00034</t>
  </si>
  <si>
    <t>EXHIBIT KWB-4</t>
  </si>
  <si>
    <t>MONTHLY ENERGY CREDIT PER KWH  (14 /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</si>
</sst>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#,##0.000_);\(#,##0.000\)"/>
    <numFmt numFmtId="188" formatCode="_(&quot;$&quot;* #,##0_);_(&quot;$&quot;* \(#,##0\);_(&quot;$&quot;* &quot;-&quot;??_);_(@_)"/>
    <numFmt numFmtId="189" formatCode="0.0000%"/>
    <numFmt numFmtId="190" formatCode="_(&quot;$&quot;* #,##0.0000_);_(&quot;$&quot;* \(#,##0.0000\);_(&quot;$&quot;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0.000%"/>
    <numFmt numFmtId="194" formatCode="_(* #,##0.000_);_(* \(#,##0.000\);_(* &quot;-&quot;??_);_(@_)"/>
    <numFmt numFmtId="195" formatCode="0.0%"/>
  </numFmts>
  <fonts count="1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u/>
      <sz val="12"/>
      <name val="Times New Roman"/>
      <family val="1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 val="doubleAccounting"/>
      <sz val="11"/>
      <name val="Calibri"/>
      <family val="2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9847407452621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656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37" fontId="18" fillId="0" borderId="0"/>
    <xf numFmtId="0" fontId="10" fillId="15" borderId="0"/>
    <xf numFmtId="0" fontId="10" fillId="15" borderId="0"/>
    <xf numFmtId="165" fontId="10" fillId="0" borderId="0"/>
    <xf numFmtId="165" fontId="1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0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0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25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0" fontId="21" fillId="26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0" fontId="21" fillId="23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17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0" fontId="21" fillId="28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25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0" fontId="21" fillId="26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0" fontId="21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0" fontId="21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30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0" fontId="23" fillId="33" borderId="0" applyNumberFormat="0" applyBorder="0" applyAlignment="0" applyProtection="0"/>
    <xf numFmtId="166" fontId="24" fillId="23" borderId="0" applyNumberFormat="0" applyBorder="0" applyAlignment="0" applyProtection="0"/>
    <xf numFmtId="166" fontId="24" fillId="23" borderId="0" applyNumberFormat="0" applyBorder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166" fontId="28" fillId="36" borderId="9" applyNumberFormat="0" applyAlignment="0" applyProtection="0"/>
    <xf numFmtId="166" fontId="28" fillId="36" borderId="9" applyNumberFormat="0" applyAlignment="0" applyProtection="0"/>
    <xf numFmtId="167" fontId="29" fillId="0" borderId="10" applyBorder="0">
      <alignment horizontal="center" vertical="center"/>
    </xf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1" fillId="34" borderId="0">
      <alignment horizontal="center"/>
    </xf>
    <xf numFmtId="0" fontId="31" fillId="34" borderId="0">
      <alignment horizontal="center"/>
    </xf>
    <xf numFmtId="166" fontId="31" fillId="34" borderId="0">
      <alignment horizontal="center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2" fillId="34" borderId="0">
      <alignment horizontal="left"/>
    </xf>
    <xf numFmtId="0" fontId="32" fillId="34" borderId="0">
      <alignment horizontal="left"/>
    </xf>
    <xf numFmtId="166" fontId="32" fillId="34" borderId="0">
      <alignment horizontal="left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37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38" borderId="11" applyNumberFormat="0" applyFont="0" applyAlignment="0">
      <protection locked="0"/>
    </xf>
    <xf numFmtId="0" fontId="10" fillId="38" borderId="11" applyNumberFormat="0" applyFont="0" applyAlignment="0">
      <protection locked="0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9" fillId="0" borderId="0" applyProtection="0"/>
    <xf numFmtId="166" fontId="9" fillId="0" borderId="0" applyProtection="0"/>
    <xf numFmtId="0" fontId="38" fillId="0" borderId="0" applyProtection="0"/>
    <xf numFmtId="166" fontId="38" fillId="0" borderId="0" applyProtection="0"/>
    <xf numFmtId="0" fontId="39" fillId="0" borderId="0" applyProtection="0"/>
    <xf numFmtId="166" fontId="39" fillId="0" borderId="0" applyProtection="0"/>
    <xf numFmtId="0" fontId="8" fillId="0" borderId="0" applyProtection="0"/>
    <xf numFmtId="166" fontId="8" fillId="0" borderId="0" applyProtection="0"/>
    <xf numFmtId="166" fontId="8" fillId="0" borderId="0" applyProtection="0"/>
    <xf numFmtId="0" fontId="10" fillId="0" borderId="0" applyProtection="0"/>
    <xf numFmtId="0" fontId="10" fillId="0" borderId="0" applyProtection="0"/>
    <xf numFmtId="166" fontId="10" fillId="0" borderId="0" applyProtection="0"/>
    <xf numFmtId="166" fontId="10" fillId="0" borderId="0" applyProtection="0"/>
    <xf numFmtId="0" fontId="9" fillId="0" borderId="0" applyProtection="0"/>
    <xf numFmtId="166" fontId="9" fillId="0" borderId="0" applyProtection="0"/>
    <xf numFmtId="0" fontId="40" fillId="0" borderId="0" applyProtection="0"/>
    <xf numFmtId="166" fontId="40" fillId="0" borderId="0" applyProtection="0"/>
    <xf numFmtId="2" fontId="15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1" fillId="21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42" fillId="0" borderId="12" applyNumberFormat="0" applyFill="0" applyAlignment="0" applyProtection="0"/>
    <xf numFmtId="166" fontId="43" fillId="0" borderId="13" applyNumberFormat="0" applyFill="0" applyAlignment="0" applyProtection="0"/>
    <xf numFmtId="0" fontId="12" fillId="0" borderId="4" applyNumberFormat="0" applyFill="0" applyAlignment="0" applyProtection="0"/>
    <xf numFmtId="166" fontId="43" fillId="0" borderId="13" applyNumberFormat="0" applyFill="0" applyAlignment="0" applyProtection="0"/>
    <xf numFmtId="0" fontId="44" fillId="0" borderId="14" applyNumberFormat="0" applyFill="0" applyAlignment="0" applyProtection="0"/>
    <xf numFmtId="166" fontId="45" fillId="0" borderId="15" applyNumberFormat="0" applyFill="0" applyAlignment="0" applyProtection="0"/>
    <xf numFmtId="0" fontId="13" fillId="0" borderId="5" applyNumberFormat="0" applyFill="0" applyAlignment="0" applyProtection="0"/>
    <xf numFmtId="166" fontId="45" fillId="0" borderId="15" applyNumberFormat="0" applyFill="0" applyAlignment="0" applyProtection="0"/>
    <xf numFmtId="0" fontId="46" fillId="0" borderId="16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0" fontId="46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8" fontId="48" fillId="0" borderId="0" applyNumberFormat="0" applyFill="0" applyBorder="0" applyAlignment="0" applyProtection="0">
      <alignment vertical="top"/>
      <protection locked="0"/>
    </xf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51" fillId="34" borderId="0">
      <alignment horizontal="left"/>
    </xf>
    <xf numFmtId="0" fontId="51" fillId="34" borderId="0">
      <alignment horizontal="left"/>
    </xf>
    <xf numFmtId="0" fontId="51" fillId="34" borderId="0">
      <alignment horizontal="left"/>
    </xf>
    <xf numFmtId="166" fontId="51" fillId="34" borderId="0">
      <alignment horizontal="left"/>
    </xf>
    <xf numFmtId="0" fontId="52" fillId="0" borderId="18" applyNumberFormat="0" applyFill="0" applyAlignment="0" applyProtection="0"/>
    <xf numFmtId="166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4" fillId="22" borderId="0" applyNumberFormat="0" applyBorder="0" applyAlignment="0" applyProtection="0"/>
    <xf numFmtId="166" fontId="55" fillId="22" borderId="0" applyNumberFormat="0" applyBorder="0" applyAlignment="0" applyProtection="0"/>
    <xf numFmtId="166" fontId="55" fillId="22" borderId="0" applyNumberFormat="0" applyBorder="0" applyAlignment="0" applyProtection="0"/>
    <xf numFmtId="168" fontId="10" fillId="0" borderId="0"/>
    <xf numFmtId="0" fontId="10" fillId="0" borderId="0"/>
    <xf numFmtId="166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166" fontId="10" fillId="0" borderId="0"/>
    <xf numFmtId="165" fontId="10" fillId="0" borderId="0"/>
    <xf numFmtId="165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6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166" fontId="10" fillId="0" borderId="0"/>
    <xf numFmtId="0" fontId="10" fillId="0" borderId="0"/>
    <xf numFmtId="0" fontId="20" fillId="0" borderId="0"/>
    <xf numFmtId="171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1" fontId="10" fillId="0" borderId="0"/>
    <xf numFmtId="0" fontId="7" fillId="0" borderId="0"/>
    <xf numFmtId="0" fontId="10" fillId="0" borderId="0"/>
    <xf numFmtId="171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166" fontId="10" fillId="0" borderId="0"/>
    <xf numFmtId="37" fontId="38" fillId="0" borderId="0"/>
    <xf numFmtId="0" fontId="7" fillId="0" borderId="0"/>
    <xf numFmtId="0" fontId="7" fillId="0" borderId="0"/>
    <xf numFmtId="0" fontId="34" fillId="0" borderId="0"/>
    <xf numFmtId="37" fontId="18" fillId="0" borderId="0"/>
    <xf numFmtId="168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10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7" fillId="0" borderId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7" fillId="0" borderId="0"/>
    <xf numFmtId="0" fontId="7" fillId="0" borderId="0"/>
    <xf numFmtId="0" fontId="7" fillId="0" borderId="0"/>
    <xf numFmtId="172" fontId="58" fillId="34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0" fontId="7" fillId="0" borderId="0"/>
    <xf numFmtId="40" fontId="59" fillId="40" borderId="0">
      <alignment horizontal="right"/>
    </xf>
    <xf numFmtId="168" fontId="60" fillId="41" borderId="0">
      <alignment horizontal="center"/>
    </xf>
    <xf numFmtId="0" fontId="61" fillId="40" borderId="0">
      <alignment horizontal="right"/>
    </xf>
    <xf numFmtId="0" fontId="7" fillId="0" borderId="0"/>
    <xf numFmtId="0" fontId="60" fillId="40" borderId="0">
      <alignment horizontal="center" vertical="center"/>
    </xf>
    <xf numFmtId="0" fontId="7" fillId="0" borderId="0"/>
    <xf numFmtId="0" fontId="61" fillId="40" borderId="0">
      <alignment horizontal="right"/>
    </xf>
    <xf numFmtId="168" fontId="28" fillId="42" borderId="0"/>
    <xf numFmtId="0" fontId="62" fillId="40" borderId="10"/>
    <xf numFmtId="0" fontId="51" fillId="40" borderId="10"/>
    <xf numFmtId="0" fontId="7" fillId="0" borderId="0"/>
    <xf numFmtId="0" fontId="51" fillId="40" borderId="10"/>
    <xf numFmtId="0" fontId="7" fillId="0" borderId="0"/>
    <xf numFmtId="0" fontId="62" fillId="40" borderId="10"/>
    <xf numFmtId="168" fontId="63" fillId="34" borderId="0" applyBorder="0">
      <alignment horizontal="centerContinuous"/>
    </xf>
    <xf numFmtId="0" fontId="62" fillId="0" borderId="0" applyBorder="0">
      <alignment horizontal="centerContinuous"/>
    </xf>
    <xf numFmtId="0" fontId="7" fillId="0" borderId="0"/>
    <xf numFmtId="0" fontId="60" fillId="40" borderId="0" applyBorder="0">
      <alignment horizontal="centerContinuous"/>
    </xf>
    <xf numFmtId="0" fontId="7" fillId="0" borderId="0"/>
    <xf numFmtId="0" fontId="62" fillId="0" borderId="0" applyBorder="0">
      <alignment horizontal="centerContinuous"/>
    </xf>
    <xf numFmtId="168" fontId="64" fillId="42" borderId="0" applyBorder="0">
      <alignment horizontal="centerContinuous"/>
    </xf>
    <xf numFmtId="0" fontId="65" fillId="0" borderId="0" applyBorder="0">
      <alignment horizontal="centerContinuous"/>
    </xf>
    <xf numFmtId="0" fontId="7" fillId="0" borderId="0"/>
    <xf numFmtId="0" fontId="66" fillId="40" borderId="0" applyBorder="0">
      <alignment horizontal="centerContinuous"/>
    </xf>
    <xf numFmtId="0" fontId="7" fillId="0" borderId="0"/>
    <xf numFmtId="0" fontId="65" fillId="0" borderId="0" applyBorder="0">
      <alignment horizontal="centerContinuous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3">
      <alignment horizontal="center"/>
    </xf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168" fontId="51" fillId="22" borderId="0">
      <alignment horizontal="center"/>
    </xf>
    <xf numFmtId="0" fontId="51" fillId="22" borderId="0">
      <alignment horizontal="center"/>
    </xf>
    <xf numFmtId="0" fontId="51" fillId="22" borderId="0">
      <alignment horizontal="center"/>
    </xf>
    <xf numFmtId="0" fontId="7" fillId="0" borderId="0"/>
    <xf numFmtId="49" fontId="69" fillId="34" borderId="0">
      <alignment horizontal="center"/>
    </xf>
    <xf numFmtId="0" fontId="7" fillId="0" borderId="0"/>
    <xf numFmtId="168" fontId="30" fillId="37" borderId="0">
      <alignment horizontal="center"/>
    </xf>
    <xf numFmtId="0" fontId="30" fillId="37" borderId="0">
      <alignment horizontal="center"/>
    </xf>
    <xf numFmtId="0" fontId="7" fillId="0" borderId="0"/>
    <xf numFmtId="168" fontId="30" fillId="37" borderId="0">
      <alignment horizontal="centerContinuous"/>
    </xf>
    <xf numFmtId="0" fontId="30" fillId="37" borderId="0">
      <alignment horizontal="centerContinuous"/>
    </xf>
    <xf numFmtId="0" fontId="7" fillId="0" borderId="0"/>
    <xf numFmtId="168" fontId="70" fillId="34" borderId="0">
      <alignment horizontal="left"/>
    </xf>
    <xf numFmtId="0" fontId="70" fillId="34" borderId="0">
      <alignment horizontal="left"/>
    </xf>
    <xf numFmtId="0" fontId="7" fillId="0" borderId="0"/>
    <xf numFmtId="49" fontId="70" fillId="34" borderId="0">
      <alignment horizontal="center"/>
    </xf>
    <xf numFmtId="0" fontId="7" fillId="0" borderId="0"/>
    <xf numFmtId="168" fontId="28" fillId="37" borderId="0">
      <alignment horizontal="left"/>
    </xf>
    <xf numFmtId="0" fontId="28" fillId="37" borderId="0">
      <alignment horizontal="left"/>
    </xf>
    <xf numFmtId="0" fontId="7" fillId="0" borderId="0"/>
    <xf numFmtId="49" fontId="70" fillId="34" borderId="0">
      <alignment horizontal="left"/>
    </xf>
    <xf numFmtId="0" fontId="7" fillId="0" borderId="0"/>
    <xf numFmtId="168" fontId="28" fillId="37" borderId="0">
      <alignment horizontal="centerContinuous"/>
    </xf>
    <xf numFmtId="0" fontId="28" fillId="37" borderId="0">
      <alignment horizontal="centerContinuous"/>
    </xf>
    <xf numFmtId="0" fontId="7" fillId="0" borderId="0"/>
    <xf numFmtId="168" fontId="28" fillId="37" borderId="0">
      <alignment horizontal="right"/>
    </xf>
    <xf numFmtId="0" fontId="28" fillId="37" borderId="0">
      <alignment horizontal="right"/>
    </xf>
    <xf numFmtId="0" fontId="7" fillId="0" borderId="0"/>
    <xf numFmtId="49" fontId="51" fillId="34" borderId="0">
      <alignment horizontal="left"/>
    </xf>
    <xf numFmtId="49" fontId="51" fillId="34" borderId="0">
      <alignment horizontal="left"/>
    </xf>
    <xf numFmtId="0" fontId="7" fillId="0" borderId="0"/>
    <xf numFmtId="168" fontId="30" fillId="37" borderId="0">
      <alignment horizontal="right"/>
    </xf>
    <xf numFmtId="0" fontId="30" fillId="37" borderId="0">
      <alignment horizontal="right"/>
    </xf>
    <xf numFmtId="0" fontId="7" fillId="0" borderId="0"/>
    <xf numFmtId="168" fontId="70" fillId="20" borderId="0">
      <alignment horizontal="center"/>
    </xf>
    <xf numFmtId="0" fontId="70" fillId="20" borderId="0">
      <alignment horizontal="center"/>
    </xf>
    <xf numFmtId="0" fontId="7" fillId="0" borderId="0"/>
    <xf numFmtId="168" fontId="71" fillId="20" borderId="0">
      <alignment horizontal="center"/>
    </xf>
    <xf numFmtId="0" fontId="71" fillId="20" borderId="0">
      <alignment horizontal="center"/>
    </xf>
    <xf numFmtId="0" fontId="7" fillId="0" borderId="0"/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9" fillId="42" borderId="0" applyNumberFormat="0" applyProtection="0">
      <alignment horizontal="left" vertical="center" indent="1"/>
    </xf>
    <xf numFmtId="4" fontId="9" fillId="42" borderId="0" applyNumberFormat="0" applyProtection="0">
      <alignment horizontal="left" vertical="center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9" fillId="49" borderId="0" applyNumberFormat="0" applyProtection="0">
      <alignment horizontal="left" vertical="center" indent="1"/>
    </xf>
    <xf numFmtId="4" fontId="9" fillId="49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0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75" fillId="0" borderId="0" applyNumberFormat="0" applyProtection="0">
      <alignment horizontal="left" vertical="center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0" applyNumberFormat="0" applyFill="0" applyBorder="0" applyAlignment="0" applyProtection="0"/>
    <xf numFmtId="0" fontId="7" fillId="0" borderId="0"/>
    <xf numFmtId="0" fontId="7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" fillId="0" borderId="0"/>
    <xf numFmtId="0" fontId="14" fillId="0" borderId="7" applyNumberFormat="0" applyFill="0" applyAlignment="0" applyProtection="0"/>
    <xf numFmtId="0" fontId="7" fillId="0" borderId="0"/>
    <xf numFmtId="0" fontId="7" fillId="0" borderId="0"/>
    <xf numFmtId="0" fontId="18" fillId="0" borderId="0"/>
    <xf numFmtId="168" fontId="78" fillId="34" borderId="0">
      <alignment horizontal="center"/>
    </xf>
    <xf numFmtId="0" fontId="78" fillId="34" borderId="0">
      <alignment horizontal="center"/>
    </xf>
    <xf numFmtId="0" fontId="7" fillId="0" borderId="0"/>
    <xf numFmtId="0" fontId="5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8" fillId="0" borderId="0" applyFont="0" applyFill="0" applyBorder="0" applyAlignment="0" applyProtection="0"/>
    <xf numFmtId="165" fontId="10" fillId="0" borderId="0"/>
    <xf numFmtId="165" fontId="10" fillId="0" borderId="0"/>
    <xf numFmtId="0" fontId="10" fillId="0" borderId="0"/>
    <xf numFmtId="0" fontId="19" fillId="71" borderId="0" applyNumberFormat="0" applyBorder="0" applyAlignment="0" applyProtection="0"/>
    <xf numFmtId="175" fontId="20" fillId="3" borderId="0" applyNumberFormat="0" applyBorder="0" applyAlignment="0" applyProtection="0"/>
    <xf numFmtId="175" fontId="20" fillId="3" borderId="0" applyNumberFormat="0" applyBorder="0" applyAlignment="0" applyProtection="0"/>
    <xf numFmtId="0" fontId="19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23" borderId="0" applyNumberFormat="0" applyBorder="0" applyAlignment="0" applyProtection="0"/>
    <xf numFmtId="175" fontId="20" fillId="5" borderId="0" applyNumberFormat="0" applyBorder="0" applyAlignment="0" applyProtection="0"/>
    <xf numFmtId="175" fontId="20" fillId="5" borderId="0" applyNumberFormat="0" applyBorder="0" applyAlignment="0" applyProtection="0"/>
    <xf numFmtId="0" fontId="1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39" borderId="0" applyNumberFormat="0" applyBorder="0" applyAlignment="0" applyProtection="0"/>
    <xf numFmtId="175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75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19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19" fillId="21" borderId="0" applyNumberFormat="0" applyBorder="0" applyAlignment="0" applyProtection="0"/>
    <xf numFmtId="175" fontId="20" fillId="11" borderId="0" applyNumberFormat="0" applyBorder="0" applyAlignment="0" applyProtection="0"/>
    <xf numFmtId="175" fontId="20" fillId="11" borderId="0" applyNumberFormat="0" applyBorder="0" applyAlignment="0" applyProtection="0"/>
    <xf numFmtId="0" fontId="19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20" borderId="0" applyNumberFormat="0" applyBorder="0" applyAlignment="0" applyProtection="0"/>
    <xf numFmtId="175" fontId="20" fillId="13" borderId="0" applyNumberFormat="0" applyBorder="0" applyAlignment="0" applyProtection="0"/>
    <xf numFmtId="175" fontId="20" fillId="13" borderId="0" applyNumberFormat="0" applyBorder="0" applyAlignment="0" applyProtection="0"/>
    <xf numFmtId="0" fontId="19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9" fillId="16" borderId="0" applyNumberFormat="0" applyBorder="0" applyAlignment="0" applyProtection="0"/>
    <xf numFmtId="175" fontId="20" fillId="4" borderId="0" applyNumberFormat="0" applyBorder="0" applyAlignment="0" applyProtection="0"/>
    <xf numFmtId="175" fontId="20" fillId="4" borderId="0" applyNumberFormat="0" applyBorder="0" applyAlignment="0" applyProtection="0"/>
    <xf numFmtId="0" fontId="19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17" borderId="0" applyNumberFormat="0" applyBorder="0" applyAlignment="0" applyProtection="0"/>
    <xf numFmtId="175" fontId="20" fillId="6" borderId="0" applyNumberFormat="0" applyBorder="0" applyAlignment="0" applyProtection="0"/>
    <xf numFmtId="175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38" borderId="0" applyNumberFormat="0" applyBorder="0" applyAlignment="0" applyProtection="0"/>
    <xf numFmtId="175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19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33" borderId="0" applyNumberFormat="0" applyBorder="0" applyAlignment="0" applyProtection="0"/>
    <xf numFmtId="175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19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9" fillId="16" borderId="0" applyNumberFormat="0" applyBorder="0" applyAlignment="0" applyProtection="0"/>
    <xf numFmtId="175" fontId="20" fillId="12" borderId="0" applyNumberFormat="0" applyBorder="0" applyAlignment="0" applyProtection="0"/>
    <xf numFmtId="175" fontId="20" fillId="12" borderId="0" applyNumberFormat="0" applyBorder="0" applyAlignment="0" applyProtection="0"/>
    <xf numFmtId="0" fontId="19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26" borderId="0" applyNumberFormat="0" applyBorder="0" applyAlignment="0" applyProtection="0"/>
    <xf numFmtId="175" fontId="20" fillId="14" borderId="0" applyNumberFormat="0" applyBorder="0" applyAlignment="0" applyProtection="0"/>
    <xf numFmtId="175" fontId="20" fillId="14" borderId="0" applyNumberFormat="0" applyBorder="0" applyAlignment="0" applyProtection="0"/>
    <xf numFmtId="0" fontId="19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175" fontId="93" fillId="60" borderId="0" applyNumberFormat="0" applyBorder="0" applyAlignment="0" applyProtection="0"/>
    <xf numFmtId="175" fontId="93" fillId="60" borderId="0" applyNumberFormat="0" applyBorder="0" applyAlignment="0" applyProtection="0"/>
    <xf numFmtId="0" fontId="21" fillId="21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175" fontId="93" fillId="62" borderId="0" applyNumberFormat="0" applyBorder="0" applyAlignment="0" applyProtection="0"/>
    <xf numFmtId="175" fontId="93" fillId="62" borderId="0" applyNumberFormat="0" applyBorder="0" applyAlignment="0" applyProtection="0"/>
    <xf numFmtId="0" fontId="21" fillId="25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5" fontId="93" fillId="64" borderId="0" applyNumberFormat="0" applyBorder="0" applyAlignment="0" applyProtection="0"/>
    <xf numFmtId="175" fontId="93" fillId="64" borderId="0" applyNumberFormat="0" applyBorder="0" applyAlignment="0" applyProtection="0"/>
    <xf numFmtId="0" fontId="21" fillId="26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5" fontId="93" fillId="66" borderId="0" applyNumberFormat="0" applyBorder="0" applyAlignment="0" applyProtection="0"/>
    <xf numFmtId="175" fontId="93" fillId="66" borderId="0" applyNumberFormat="0" applyBorder="0" applyAlignment="0" applyProtection="0"/>
    <xf numFmtId="0" fontId="21" fillId="2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5" fontId="93" fillId="68" borderId="0" applyNumberFormat="0" applyBorder="0" applyAlignment="0" applyProtection="0"/>
    <xf numFmtId="175" fontId="93" fillId="68" borderId="0" applyNumberFormat="0" applyBorder="0" applyAlignment="0" applyProtection="0"/>
    <xf numFmtId="0" fontId="21" fillId="21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75" fontId="93" fillId="70" borderId="0" applyNumberFormat="0" applyBorder="0" applyAlignment="0" applyProtection="0"/>
    <xf numFmtId="175" fontId="93" fillId="70" borderId="0" applyNumberFormat="0" applyBorder="0" applyAlignment="0" applyProtection="0"/>
    <xf numFmtId="0" fontId="21" fillId="17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56" fillId="0" borderId="2" applyBorder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175" fontId="93" fillId="59" borderId="0" applyNumberFormat="0" applyBorder="0" applyAlignment="0" applyProtection="0"/>
    <xf numFmtId="175" fontId="93" fillId="59" borderId="0" applyNumberFormat="0" applyBorder="0" applyAlignment="0" applyProtection="0"/>
    <xf numFmtId="0" fontId="21" fillId="28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93" fillId="61" borderId="0" applyNumberFormat="0" applyBorder="0" applyAlignment="0" applyProtection="0"/>
    <xf numFmtId="175" fontId="93" fillId="61" borderId="0" applyNumberFormat="0" applyBorder="0" applyAlignment="0" applyProtection="0"/>
    <xf numFmtId="0" fontId="21" fillId="25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93" fillId="63" borderId="0" applyNumberFormat="0" applyBorder="0" applyAlignment="0" applyProtection="0"/>
    <xf numFmtId="175" fontId="93" fillId="63" borderId="0" applyNumberFormat="0" applyBorder="0" applyAlignment="0" applyProtection="0"/>
    <xf numFmtId="0" fontId="21" fillId="26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5" fontId="93" fillId="65" borderId="0" applyNumberFormat="0" applyBorder="0" applyAlignment="0" applyProtection="0"/>
    <xf numFmtId="175" fontId="93" fillId="65" borderId="0" applyNumberFormat="0" applyBorder="0" applyAlignment="0" applyProtection="0"/>
    <xf numFmtId="0" fontId="21" fillId="32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5" fontId="93" fillId="67" borderId="0" applyNumberFormat="0" applyBorder="0" applyAlignment="0" applyProtection="0"/>
    <xf numFmtId="175" fontId="93" fillId="67" borderId="0" applyNumberFormat="0" applyBorder="0" applyAlignment="0" applyProtection="0"/>
    <xf numFmtId="0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5" fontId="93" fillId="69" borderId="0" applyNumberFormat="0" applyBorder="0" applyAlignment="0" applyProtection="0"/>
    <xf numFmtId="175" fontId="93" fillId="69" borderId="0" applyNumberFormat="0" applyBorder="0" applyAlignment="0" applyProtection="0"/>
    <xf numFmtId="0" fontId="21" fillId="30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5" fontId="94" fillId="54" borderId="0" applyNumberFormat="0" applyBorder="0" applyAlignment="0" applyProtection="0"/>
    <xf numFmtId="175" fontId="94" fillId="54" borderId="0" applyNumberFormat="0" applyBorder="0" applyAlignment="0" applyProtection="0"/>
    <xf numFmtId="0" fontId="23" fillId="3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95" fillId="0" borderId="26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175" fontId="96" fillId="58" borderId="32" applyNumberFormat="0" applyAlignment="0" applyProtection="0"/>
    <xf numFmtId="175" fontId="96" fillId="58" borderId="32" applyNumberFormat="0" applyAlignment="0" applyProtection="0"/>
    <xf numFmtId="0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0" fontId="27" fillId="36" borderId="9" applyNumberFormat="0" applyAlignment="0" applyProtection="0"/>
    <xf numFmtId="0" fontId="28" fillId="37" borderId="0">
      <alignment horizontal="left"/>
    </xf>
    <xf numFmtId="168" fontId="28" fillId="37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31" fillId="34" borderId="0">
      <alignment horizontal="center"/>
    </xf>
    <xf numFmtId="168" fontId="31" fillId="34" borderId="0">
      <alignment horizontal="center"/>
    </xf>
    <xf numFmtId="0" fontId="30" fillId="37" borderId="0">
      <alignment horizontal="right"/>
    </xf>
    <xf numFmtId="168" fontId="30" fillId="37" borderId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3" fontId="10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75" borderId="0"/>
    <xf numFmtId="3" fontId="10" fillId="75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98" fillId="0" borderId="0"/>
    <xf numFmtId="0" fontId="98" fillId="0" borderId="33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99" fillId="0" borderId="0" applyNumberFormat="0" applyFill="0" applyBorder="0" applyAlignment="0" applyProtection="0"/>
    <xf numFmtId="175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5" fontId="38" fillId="0" borderId="0" applyProtection="0"/>
    <xf numFmtId="175" fontId="38" fillId="0" borderId="0" applyProtection="0"/>
    <xf numFmtId="0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5" fontId="8" fillId="0" borderId="0" applyProtection="0"/>
    <xf numFmtId="175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5" fontId="100" fillId="53" borderId="0" applyNumberFormat="0" applyBorder="0" applyAlignment="0" applyProtection="0"/>
    <xf numFmtId="175" fontId="100" fillId="53" borderId="0" applyNumberFormat="0" applyBorder="0" applyAlignment="0" applyProtection="0"/>
    <xf numFmtId="0" fontId="41" fillId="21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175" fontId="102" fillId="0" borderId="4" applyNumberFormat="0" applyFill="0" applyAlignment="0" applyProtection="0"/>
    <xf numFmtId="175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4" fillId="0" borderId="0" applyNumberFormat="0" applyFon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175" fontId="106" fillId="0" borderId="5" applyNumberFormat="0" applyFill="0" applyAlignment="0" applyProtection="0"/>
    <xf numFmtId="175" fontId="10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8" fontId="8" fillId="0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175" fontId="108" fillId="0" borderId="28" applyNumberFormat="0" applyFill="0" applyAlignment="0" applyProtection="0"/>
    <xf numFmtId="175" fontId="108" fillId="0" borderId="28" applyNumberFormat="0" applyFill="0" applyAlignment="0" applyProtection="0"/>
    <xf numFmtId="0" fontId="46" fillId="0" borderId="1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109" fillId="41" borderId="33"/>
    <xf numFmtId="0" fontId="28" fillId="37" borderId="0">
      <alignment horizontal="left"/>
    </xf>
    <xf numFmtId="168" fontId="28" fillId="37" borderId="0">
      <alignment horizontal="left"/>
    </xf>
    <xf numFmtId="0" fontId="51" fillId="34" borderId="0">
      <alignment horizontal="left"/>
    </xf>
    <xf numFmtId="168" fontId="51" fillId="34" borderId="0">
      <alignment horizontal="left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175" fontId="111" fillId="0" borderId="31" applyNumberFormat="0" applyFill="0" applyAlignment="0" applyProtection="0"/>
    <xf numFmtId="175" fontId="111" fillId="0" borderId="31" applyNumberFormat="0" applyFill="0" applyAlignment="0" applyProtection="0"/>
    <xf numFmtId="0" fontId="52" fillId="0" borderId="18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0" fontId="110" fillId="0" borderId="19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175" fontId="113" fillId="55" borderId="0" applyNumberFormat="0" applyBorder="0" applyAlignment="0" applyProtection="0"/>
    <xf numFmtId="175" fontId="113" fillId="55" borderId="0" applyNumberFormat="0" applyBorder="0" applyAlignment="0" applyProtection="0"/>
    <xf numFmtId="0" fontId="54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0" fontId="112" fillId="22" borderId="0" applyNumberFormat="0" applyBorder="0" applyAlignment="0" applyProtection="0"/>
    <xf numFmtId="181" fontId="10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168" fontId="10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5" fontId="10" fillId="0" borderId="0"/>
    <xf numFmtId="175" fontId="10" fillId="0" borderId="0"/>
    <xf numFmtId="175" fontId="10" fillId="0" borderId="0"/>
    <xf numFmtId="0" fontId="35" fillId="0" borderId="0"/>
    <xf numFmtId="0" fontId="97" fillId="0" borderId="0"/>
    <xf numFmtId="0" fontId="97" fillId="0" borderId="0"/>
    <xf numFmtId="0" fontId="97" fillId="0" borderId="0"/>
    <xf numFmtId="168" fontId="10" fillId="0" borderId="0"/>
    <xf numFmtId="0" fontId="97" fillId="0" borderId="0"/>
    <xf numFmtId="41" fontId="35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97" fillId="0" borderId="0"/>
    <xf numFmtId="165" fontId="10" fillId="0" borderId="0"/>
    <xf numFmtId="0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0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5" fontId="10" fillId="0" borderId="0"/>
    <xf numFmtId="168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75" fontId="20" fillId="0" borderId="0"/>
    <xf numFmtId="175" fontId="20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0" fontId="35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20" fillId="0" borderId="0"/>
    <xf numFmtId="165" fontId="10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37" fontId="18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0" borderId="0"/>
    <xf numFmtId="0" fontId="9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7" fillId="0" borderId="0"/>
    <xf numFmtId="0" fontId="97" fillId="0" borderId="0"/>
    <xf numFmtId="37" fontId="18" fillId="0" borderId="0"/>
    <xf numFmtId="37" fontId="18" fillId="0" borderId="0"/>
    <xf numFmtId="0" fontId="10" fillId="0" borderId="0"/>
    <xf numFmtId="0" fontId="10" fillId="0" borderId="0"/>
    <xf numFmtId="0" fontId="97" fillId="0" borderId="0"/>
    <xf numFmtId="0" fontId="97" fillId="0" borderId="0"/>
    <xf numFmtId="0" fontId="97" fillId="0" borderId="0"/>
    <xf numFmtId="37" fontId="18" fillId="0" borderId="0"/>
    <xf numFmtId="0" fontId="6" fillId="0" borderId="0"/>
    <xf numFmtId="0" fontId="10" fillId="0" borderId="0"/>
    <xf numFmtId="37" fontId="18" fillId="0" borderId="0"/>
    <xf numFmtId="0" fontId="6" fillId="0" borderId="0"/>
    <xf numFmtId="0" fontId="6" fillId="0" borderId="0"/>
    <xf numFmtId="0" fontId="6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175" fontId="114" fillId="57" borderId="30" applyNumberFormat="0" applyAlignment="0" applyProtection="0"/>
    <xf numFmtId="175" fontId="114" fillId="57" borderId="30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0" fontId="57" fillId="19" borderId="21" applyNumberForma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0" fontId="59" fillId="40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0" fontId="60" fillId="41" borderId="0">
      <alignment horizontal="center"/>
    </xf>
    <xf numFmtId="0" fontId="60" fillId="41" borderId="0">
      <alignment horizontal="center"/>
    </xf>
    <xf numFmtId="168" fontId="60" fillId="41" borderId="0">
      <alignment horizontal="center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175" fontId="60" fillId="40" borderId="0">
      <alignment horizontal="center" vertical="center"/>
    </xf>
    <xf numFmtId="175" fontId="60" fillId="40" borderId="0">
      <alignment horizontal="center" vertical="center"/>
    </xf>
    <xf numFmtId="0" fontId="28" fillId="42" borderId="0"/>
    <xf numFmtId="0" fontId="28" fillId="42" borderId="0"/>
    <xf numFmtId="168" fontId="28" fillId="42" borderId="0"/>
    <xf numFmtId="165" fontId="62" fillId="40" borderId="10"/>
    <xf numFmtId="0" fontId="51" fillId="40" borderId="10"/>
    <xf numFmtId="0" fontId="28" fillId="42" borderId="0"/>
    <xf numFmtId="0" fontId="62" fillId="40" borderId="10"/>
    <xf numFmtId="0" fontId="62" fillId="40" borderId="10"/>
    <xf numFmtId="0" fontId="62" fillId="40" borderId="10"/>
    <xf numFmtId="0" fontId="62" fillId="40" borderId="10"/>
    <xf numFmtId="0" fontId="62" fillId="40" borderId="10"/>
    <xf numFmtId="0" fontId="28" fillId="42" borderId="0"/>
    <xf numFmtId="165" fontId="62" fillId="40" borderId="10"/>
    <xf numFmtId="0" fontId="62" fillId="40" borderId="10"/>
    <xf numFmtId="0" fontId="62" fillId="40" borderId="10"/>
    <xf numFmtId="0" fontId="51" fillId="40" borderId="10"/>
    <xf numFmtId="0" fontId="51" fillId="40" borderId="10"/>
    <xf numFmtId="0" fontId="51" fillId="40" borderId="10"/>
    <xf numFmtId="175" fontId="51" fillId="40" borderId="10"/>
    <xf numFmtId="175" fontId="51" fillId="40" borderId="10"/>
    <xf numFmtId="0" fontId="63" fillId="34" borderId="0" applyBorder="0">
      <alignment horizontal="centerContinuous"/>
    </xf>
    <xf numFmtId="0" fontId="63" fillId="34" borderId="0" applyBorder="0">
      <alignment horizontal="centerContinuous"/>
    </xf>
    <xf numFmtId="168" fontId="63" fillId="34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175" fontId="60" fillId="40" borderId="0" applyBorder="0">
      <alignment horizontal="centerContinuous"/>
    </xf>
    <xf numFmtId="175" fontId="60" fillId="40" borderId="0" applyBorder="0">
      <alignment horizontal="centerContinuous"/>
    </xf>
    <xf numFmtId="0" fontId="64" fillId="42" borderId="0" applyBorder="0">
      <alignment horizontal="centerContinuous"/>
    </xf>
    <xf numFmtId="0" fontId="64" fillId="42" borderId="0" applyBorder="0">
      <alignment horizontal="centerContinuous"/>
    </xf>
    <xf numFmtId="168" fontId="64" fillId="42" borderId="0" applyBorder="0">
      <alignment horizontal="centerContinuous"/>
    </xf>
    <xf numFmtId="0" fontId="115" fillId="42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175" fontId="66" fillId="40" borderId="0" applyBorder="0">
      <alignment horizontal="centerContinuous"/>
    </xf>
    <xf numFmtId="175" fontId="66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22" borderId="0">
      <alignment horizontal="center"/>
    </xf>
    <xf numFmtId="168" fontId="51" fillId="22" borderId="0">
      <alignment horizontal="center"/>
    </xf>
    <xf numFmtId="49" fontId="69" fillId="34" borderId="0">
      <alignment horizontal="center"/>
    </xf>
    <xf numFmtId="0" fontId="98" fillId="0" borderId="0"/>
    <xf numFmtId="0" fontId="30" fillId="37" borderId="0">
      <alignment horizontal="center"/>
    </xf>
    <xf numFmtId="168" fontId="30" fillId="37" borderId="0">
      <alignment horizontal="center"/>
    </xf>
    <xf numFmtId="0" fontId="30" fillId="37" borderId="0">
      <alignment horizontal="centerContinuous"/>
    </xf>
    <xf numFmtId="168" fontId="30" fillId="37" borderId="0">
      <alignment horizontal="centerContinuous"/>
    </xf>
    <xf numFmtId="0" fontId="70" fillId="34" borderId="0">
      <alignment horizontal="left"/>
    </xf>
    <xf numFmtId="168" fontId="70" fillId="34" borderId="0">
      <alignment horizontal="left"/>
    </xf>
    <xf numFmtId="49" fontId="70" fillId="34" borderId="0">
      <alignment horizontal="center"/>
    </xf>
    <xf numFmtId="0" fontId="28" fillId="37" borderId="0">
      <alignment horizontal="left"/>
    </xf>
    <xf numFmtId="168" fontId="28" fillId="37" borderId="0">
      <alignment horizontal="left"/>
    </xf>
    <xf numFmtId="49" fontId="70" fillId="34" borderId="0">
      <alignment horizontal="left"/>
    </xf>
    <xf numFmtId="0" fontId="28" fillId="37" borderId="0">
      <alignment horizontal="centerContinuous"/>
    </xf>
    <xf numFmtId="168" fontId="28" fillId="37" borderId="0">
      <alignment horizontal="centerContinuous"/>
    </xf>
    <xf numFmtId="0" fontId="28" fillId="37" borderId="0">
      <alignment horizontal="right"/>
    </xf>
    <xf numFmtId="168" fontId="28" fillId="37" borderId="0">
      <alignment horizontal="right"/>
    </xf>
    <xf numFmtId="49" fontId="51" fillId="34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70" fillId="20" borderId="0">
      <alignment horizontal="center"/>
    </xf>
    <xf numFmtId="168" fontId="70" fillId="20" borderId="0">
      <alignment horizontal="center"/>
    </xf>
    <xf numFmtId="0" fontId="71" fillId="20" borderId="0">
      <alignment horizontal="center"/>
    </xf>
    <xf numFmtId="168" fontId="71" fillId="20" borderId="0">
      <alignment horizont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9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4" fontId="9" fillId="44" borderId="22" applyNumberFormat="0" applyProtection="0">
      <alignment horizontal="left" vertical="center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0" fontId="9" fillId="45" borderId="23" applyNumberFormat="0" applyProtection="0">
      <alignment horizontal="left" vertical="top" indent="1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10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22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16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10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9" borderId="23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4" fontId="10" fillId="25" borderId="22" applyNumberFormat="0" applyProtection="0">
      <alignment horizontal="right" vertical="center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4" fontId="10" fillId="25" borderId="23" applyNumberFormat="0" applyProtection="0">
      <alignment horizontal="left" vertical="center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0" fontId="10" fillId="25" borderId="23" applyNumberFormat="0" applyProtection="0">
      <alignment horizontal="left" vertical="top" indent="1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9" fillId="52" borderId="22" applyNumberFormat="0" applyProtection="0">
      <alignment horizontal="right" vertical="center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4" fontId="10" fillId="25" borderId="22" applyNumberFormat="0" applyProtection="0">
      <alignment horizontal="left" vertical="center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0" fontId="10" fillId="25" borderId="22" applyNumberFormat="0" applyProtection="0">
      <alignment horizontal="left" vertical="top" indent="1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4" fontId="10" fillId="0" borderId="23" applyNumberFormat="0" applyProtection="0">
      <alignment horizontal="right" vertical="center"/>
    </xf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24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8" fillId="0" borderId="33"/>
    <xf numFmtId="49" fontId="10" fillId="0" borderId="37">
      <alignment horizontal="center" vertical="center"/>
      <protection locked="0"/>
    </xf>
    <xf numFmtId="0" fontId="116" fillId="37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175" fontId="118" fillId="0" borderId="7" applyNumberFormat="0" applyFill="0" applyAlignment="0" applyProtection="0"/>
    <xf numFmtId="175" fontId="118" fillId="0" borderId="7" applyNumberFormat="0" applyFill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168" fontId="15" fillId="0" borderId="40" applyNumberFormat="0" applyFont="0" applyBorder="0" applyAlignment="0" applyProtection="0"/>
    <xf numFmtId="0" fontId="10" fillId="0" borderId="39" applyNumberFormat="0" applyFont="0" applyFill="0" applyAlignment="0" applyProtection="0"/>
    <xf numFmtId="0" fontId="10" fillId="0" borderId="39" applyNumberFormat="0" applyFon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0" fillId="0" borderId="39" applyNumberFormat="0" applyFont="0" applyFill="0" applyAlignment="0" applyProtection="0"/>
    <xf numFmtId="165" fontId="77" fillId="0" borderId="38" applyNumberFormat="0" applyFill="0" applyAlignment="0" applyProtection="0"/>
    <xf numFmtId="168" fontId="15" fillId="0" borderId="40" applyNumberFormat="0" applyFont="0" applyBorder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09" fillId="0" borderId="41"/>
    <xf numFmtId="0" fontId="109" fillId="0" borderId="33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1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7" fontId="18" fillId="0" borderId="0"/>
    <xf numFmtId="4" fontId="58" fillId="40" borderId="0">
      <alignment horizontal="right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76" fillId="0" borderId="0" applyNumberFormat="0" applyFill="0" applyBorder="0" applyAlignment="0" applyProtection="0"/>
    <xf numFmtId="0" fontId="10" fillId="0" borderId="0"/>
    <xf numFmtId="0" fontId="10" fillId="0" borderId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6" fillId="3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6" fillId="5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6" fillId="7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6" fillId="1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6" fillId="13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4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" fillId="6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6" fillId="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6" fillId="10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6" fillId="12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6" fillId="14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92" fillId="60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92" fillId="62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92" fillId="64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92" fillId="66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8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70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92" fillId="59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92" fillId="61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92" fillId="63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92" fillId="65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7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69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83" fillId="54" borderId="0" applyNumberFormat="0" applyBorder="0" applyAlignment="0" applyProtection="0"/>
    <xf numFmtId="165" fontId="23" fillId="23" borderId="0" applyNumberFormat="0" applyBorder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175" fontId="122" fillId="57" borderId="29" applyNumberFormat="0" applyAlignment="0" applyProtection="0"/>
    <xf numFmtId="175" fontId="122" fillId="57" borderId="29" applyNumberFormat="0" applyAlignment="0" applyProtection="0"/>
    <xf numFmtId="0" fontId="87" fillId="57" borderId="29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0" fontId="121" fillId="19" borderId="8" applyNumberFormat="0" applyAlignment="0" applyProtection="0"/>
    <xf numFmtId="0" fontId="89" fillId="58" borderId="32" applyNumberFormat="0" applyAlignment="0" applyProtection="0"/>
    <xf numFmtId="165" fontId="27" fillId="36" borderId="9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82" fillId="53" borderId="0" applyNumberFormat="0" applyBorder="0" applyAlignment="0" applyProtection="0"/>
    <xf numFmtId="165" fontId="41" fillId="39" borderId="0" applyNumberFormat="0" applyBorder="0" applyAlignment="0" applyProtection="0"/>
    <xf numFmtId="0" fontId="81" fillId="0" borderId="28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81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175" fontId="123" fillId="56" borderId="29" applyNumberFormat="0" applyAlignment="0" applyProtection="0"/>
    <xf numFmtId="175" fontId="123" fillId="56" borderId="29" applyNumberFormat="0" applyAlignment="0" applyProtection="0"/>
    <xf numFmtId="0" fontId="85" fillId="56" borderId="29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0" fontId="49" fillId="20" borderId="8" applyNumberFormat="0" applyAlignment="0" applyProtection="0"/>
    <xf numFmtId="0" fontId="88" fillId="0" borderId="31" applyNumberFormat="0" applyFill="0" applyAlignment="0" applyProtection="0"/>
    <xf numFmtId="165" fontId="110" fillId="0" borderId="19" applyNumberFormat="0" applyFill="0" applyAlignment="0" applyProtection="0"/>
    <xf numFmtId="0" fontId="84" fillId="55" borderId="0" applyNumberFormat="0" applyBorder="0" applyAlignment="0" applyProtection="0"/>
    <xf numFmtId="165" fontId="112" fillId="22" borderId="0" applyNumberFormat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67" fillId="0" borderId="0"/>
    <xf numFmtId="165" fontId="67" fillId="0" borderId="0"/>
    <xf numFmtId="165" fontId="67" fillId="0" borderId="0"/>
    <xf numFmtId="0" fontId="10" fillId="0" borderId="0"/>
    <xf numFmtId="175" fontId="20" fillId="0" borderId="0"/>
    <xf numFmtId="175" fontId="20" fillId="0" borderId="0"/>
    <xf numFmtId="175" fontId="20" fillId="0" borderId="0"/>
    <xf numFmtId="0" fontId="1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0" fontId="124" fillId="18" borderId="20" applyNumberFormat="0" applyFont="0" applyAlignment="0" applyProtection="0"/>
    <xf numFmtId="0" fontId="86" fillId="57" borderId="30" applyNumberFormat="0" applyAlignment="0" applyProtection="0"/>
    <xf numFmtId="165" fontId="57" fillId="19" borderId="21" applyNumberFormat="0" applyAlignment="0" applyProtection="0"/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9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9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9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9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9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9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9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168" fontId="32" fillId="34" borderId="0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/>
    <xf numFmtId="165" fontId="10" fillId="0" borderId="0"/>
    <xf numFmtId="0" fontId="6" fillId="0" borderId="0"/>
    <xf numFmtId="0" fontId="6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6" fillId="2" borderId="6" applyNumberFormat="0" applyFont="0" applyAlignment="0" applyProtection="0"/>
    <xf numFmtId="0" fontId="38" fillId="18" borderId="20" applyNumberFormat="0" applyFon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68" fontId="60" fillId="41" borderId="0">
      <alignment horizontal="center"/>
    </xf>
    <xf numFmtId="168" fontId="63" fillId="34" borderId="0" applyBorder="0">
      <alignment horizontal="centerContinuous"/>
    </xf>
    <xf numFmtId="168" fontId="64" fillId="42" borderId="0" applyBorder="0">
      <alignment horizontal="centerContinuous"/>
    </xf>
    <xf numFmtId="9" fontId="10" fillId="0" borderId="0" applyFont="0" applyFill="0" applyBorder="0" applyAlignment="0" applyProtection="0"/>
    <xf numFmtId="182" fontId="120" fillId="76" borderId="42">
      <alignment horizontal="left"/>
    </xf>
    <xf numFmtId="168" fontId="78" fillId="34" borderId="0">
      <alignment horizontal="center"/>
    </xf>
    <xf numFmtId="43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71" borderId="0" applyNumberFormat="0" applyBorder="0" applyAlignment="0" applyProtection="0"/>
    <xf numFmtId="0" fontId="6" fillId="3" borderId="0" applyNumberFormat="0" applyBorder="0" applyAlignment="0" applyProtection="0"/>
    <xf numFmtId="0" fontId="19" fillId="23" borderId="0" applyNumberFormat="0" applyBorder="0" applyAlignment="0" applyProtection="0"/>
    <xf numFmtId="0" fontId="6" fillId="5" borderId="0" applyNumberFormat="0" applyBorder="0" applyAlignment="0" applyProtection="0"/>
    <xf numFmtId="0" fontId="19" fillId="39" borderId="0" applyNumberFormat="0" applyBorder="0" applyAlignment="0" applyProtection="0"/>
    <xf numFmtId="0" fontId="6" fillId="7" borderId="0" applyNumberFormat="0" applyBorder="0" applyAlignment="0" applyProtection="0"/>
    <xf numFmtId="0" fontId="19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19" fillId="20" borderId="0" applyNumberFormat="0" applyBorder="0" applyAlignment="0" applyProtection="0"/>
    <xf numFmtId="0" fontId="6" fillId="13" borderId="0" applyNumberFormat="0" applyBorder="0" applyAlignment="0" applyProtection="0"/>
    <xf numFmtId="0" fontId="19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19" fillId="38" borderId="0" applyNumberFormat="0" applyBorder="0" applyAlignment="0" applyProtection="0"/>
    <xf numFmtId="0" fontId="6" fillId="8" borderId="0" applyNumberFormat="0" applyBorder="0" applyAlignment="0" applyProtection="0"/>
    <xf numFmtId="0" fontId="19" fillId="33" borderId="0" applyNumberFormat="0" applyBorder="0" applyAlignment="0" applyProtection="0"/>
    <xf numFmtId="0" fontId="6" fillId="10" borderId="0" applyNumberFormat="0" applyBorder="0" applyAlignment="0" applyProtection="0"/>
    <xf numFmtId="0" fontId="19" fillId="16" borderId="0" applyNumberFormat="0" applyBorder="0" applyAlignment="0" applyProtection="0"/>
    <xf numFmtId="0" fontId="6" fillId="12" borderId="0" applyNumberFormat="0" applyBorder="0" applyAlignment="0" applyProtection="0"/>
    <xf numFmtId="0" fontId="19" fillId="26" borderId="0" applyNumberFormat="0" applyBorder="0" applyAlignment="0" applyProtection="0"/>
    <xf numFmtId="0" fontId="6" fillId="14" borderId="0" applyNumberFormat="0" applyBorder="0" applyAlignment="0" applyProtection="0"/>
    <xf numFmtId="0" fontId="21" fillId="72" borderId="0" applyNumberFormat="0" applyBorder="0" applyAlignment="0" applyProtection="0"/>
    <xf numFmtId="0" fontId="92" fillId="60" borderId="0" applyNumberFormat="0" applyBorder="0" applyAlignment="0" applyProtection="0"/>
    <xf numFmtId="0" fontId="21" fillId="17" borderId="0" applyNumberFormat="0" applyBorder="0" applyAlignment="0" applyProtection="0"/>
    <xf numFmtId="0" fontId="92" fillId="62" borderId="0" applyNumberFormat="0" applyBorder="0" applyAlignment="0" applyProtection="0"/>
    <xf numFmtId="0" fontId="21" fillId="38" borderId="0" applyNumberFormat="0" applyBorder="0" applyAlignment="0" applyProtection="0"/>
    <xf numFmtId="0" fontId="92" fillId="64" borderId="0" applyNumberFormat="0" applyBorder="0" applyAlignment="0" applyProtection="0"/>
    <xf numFmtId="0" fontId="21" fillId="73" borderId="0" applyNumberFormat="0" applyBorder="0" applyAlignment="0" applyProtection="0"/>
    <xf numFmtId="0" fontId="92" fillId="66" borderId="0" applyNumberFormat="0" applyBorder="0" applyAlignment="0" applyProtection="0"/>
    <xf numFmtId="0" fontId="21" fillId="29" borderId="0" applyNumberFormat="0" applyBorder="0" applyAlignment="0" applyProtection="0"/>
    <xf numFmtId="0" fontId="92" fillId="68" borderId="0" applyNumberFormat="0" applyBorder="0" applyAlignment="0" applyProtection="0"/>
    <xf numFmtId="0" fontId="21" fillId="48" borderId="0" applyNumberFormat="0" applyBorder="0" applyAlignment="0" applyProtection="0"/>
    <xf numFmtId="0" fontId="92" fillId="70" borderId="0" applyNumberFormat="0" applyBorder="0" applyAlignment="0" applyProtection="0"/>
    <xf numFmtId="0" fontId="21" fillId="74" borderId="0" applyNumberFormat="0" applyBorder="0" applyAlignment="0" applyProtection="0"/>
    <xf numFmtId="0" fontId="92" fillId="59" borderId="0" applyNumberFormat="0" applyBorder="0" applyAlignment="0" applyProtection="0"/>
    <xf numFmtId="0" fontId="21" fillId="30" borderId="0" applyNumberFormat="0" applyBorder="0" applyAlignment="0" applyProtection="0"/>
    <xf numFmtId="0" fontId="92" fillId="61" borderId="0" applyNumberFormat="0" applyBorder="0" applyAlignment="0" applyProtection="0"/>
    <xf numFmtId="0" fontId="21" fillId="31" borderId="0" applyNumberFormat="0" applyBorder="0" applyAlignment="0" applyProtection="0"/>
    <xf numFmtId="0" fontId="92" fillId="63" borderId="0" applyNumberFormat="0" applyBorder="0" applyAlignment="0" applyProtection="0"/>
    <xf numFmtId="0" fontId="21" fillId="73" borderId="0" applyNumberFormat="0" applyBorder="0" applyAlignment="0" applyProtection="0"/>
    <xf numFmtId="0" fontId="92" fillId="65" borderId="0" applyNumberFormat="0" applyBorder="0" applyAlignment="0" applyProtection="0"/>
    <xf numFmtId="0" fontId="92" fillId="67" borderId="0" applyNumberFormat="0" applyBorder="0" applyAlignment="0" applyProtection="0"/>
    <xf numFmtId="0" fontId="21" fillId="25" borderId="0" applyNumberFormat="0" applyBorder="0" applyAlignment="0" applyProtection="0"/>
    <xf numFmtId="0" fontId="92" fillId="69" borderId="0" applyNumberFormat="0" applyBorder="0" applyAlignment="0" applyProtection="0"/>
    <xf numFmtId="0" fontId="23" fillId="23" borderId="0" applyNumberFormat="0" applyBorder="0" applyAlignment="0" applyProtection="0"/>
    <xf numFmtId="0" fontId="83" fillId="54" borderId="0" applyNumberFormat="0" applyBorder="0" applyAlignment="0" applyProtection="0"/>
    <xf numFmtId="0" fontId="121" fillId="19" borderId="8" applyNumberFormat="0" applyAlignment="0" applyProtection="0"/>
    <xf numFmtId="0" fontId="87" fillId="57" borderId="29" applyNumberFormat="0" applyAlignment="0" applyProtection="0"/>
    <xf numFmtId="0" fontId="89" fillId="58" borderId="32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82" fillId="53" borderId="0" applyNumberFormat="0" applyBorder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81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20" borderId="8" applyNumberFormat="0" applyAlignment="0" applyProtection="0"/>
    <xf numFmtId="0" fontId="85" fillId="56" borderId="29" applyNumberFormat="0" applyAlignment="0" applyProtection="0"/>
    <xf numFmtId="0" fontId="110" fillId="0" borderId="19" applyNumberFormat="0" applyFill="0" applyAlignment="0" applyProtection="0"/>
    <xf numFmtId="0" fontId="88" fillId="0" borderId="31" applyNumberFormat="0" applyFill="0" applyAlignment="0" applyProtection="0"/>
    <xf numFmtId="0" fontId="112" fillId="22" borderId="0" applyNumberFormat="0" applyBorder="0" applyAlignment="0" applyProtection="0"/>
    <xf numFmtId="0" fontId="84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8" borderId="20" applyNumberFormat="0" applyFont="0" applyAlignment="0" applyProtection="0"/>
    <xf numFmtId="0" fontId="57" fillId="19" borderId="21" applyNumberFormat="0" applyAlignment="0" applyProtection="0"/>
    <xf numFmtId="0" fontId="86" fillId="57" borderId="3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90" fillId="0" borderId="0" applyNumberFormat="0" applyFill="0" applyBorder="0" applyAlignment="0" applyProtection="0"/>
    <xf numFmtId="0" fontId="126" fillId="0" borderId="0"/>
    <xf numFmtId="0" fontId="10" fillId="0" borderId="0"/>
    <xf numFmtId="0" fontId="10" fillId="0" borderId="0"/>
    <xf numFmtId="0" fontId="10" fillId="0" borderId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" fillId="0" borderId="0"/>
    <xf numFmtId="184" fontId="8" fillId="0" borderId="0" applyFill="0"/>
    <xf numFmtId="184" fontId="8" fillId="0" borderId="0">
      <alignment horizontal="center"/>
    </xf>
    <xf numFmtId="0" fontId="8" fillId="0" borderId="0" applyFill="0">
      <alignment horizontal="center"/>
    </xf>
    <xf numFmtId="184" fontId="39" fillId="0" borderId="39" applyFill="0"/>
    <xf numFmtId="0" fontId="10" fillId="0" borderId="0" applyFont="0" applyAlignment="0"/>
    <xf numFmtId="0" fontId="128" fillId="0" borderId="0" applyFill="0">
      <alignment vertical="top"/>
    </xf>
    <xf numFmtId="0" fontId="39" fillId="0" borderId="0" applyFill="0">
      <alignment horizontal="left" vertical="top"/>
    </xf>
    <xf numFmtId="184" fontId="16" fillId="0" borderId="1" applyFill="0"/>
    <xf numFmtId="0" fontId="10" fillId="0" borderId="0" applyNumberFormat="0" applyFont="0" applyAlignment="0"/>
    <xf numFmtId="0" fontId="128" fillId="0" borderId="0" applyFill="0">
      <alignment wrapText="1"/>
    </xf>
    <xf numFmtId="0" fontId="39" fillId="0" borderId="0" applyFill="0">
      <alignment horizontal="left" vertical="top" wrapText="1"/>
    </xf>
    <xf numFmtId="184" fontId="129" fillId="0" borderId="0" applyFill="0"/>
    <xf numFmtId="0" fontId="130" fillId="0" borderId="0" applyNumberFormat="0" applyFont="0" applyAlignment="0">
      <alignment horizontal="center"/>
    </xf>
    <xf numFmtId="0" fontId="131" fillId="0" borderId="0" applyFill="0">
      <alignment vertical="top" wrapText="1"/>
    </xf>
    <xf numFmtId="0" fontId="16" fillId="0" borderId="0" applyFill="0">
      <alignment horizontal="left" vertical="top" wrapText="1"/>
    </xf>
    <xf numFmtId="184" fontId="10" fillId="0" borderId="0" applyFill="0"/>
    <xf numFmtId="0" fontId="130" fillId="0" borderId="0" applyNumberFormat="0" applyFont="0" applyAlignment="0">
      <alignment horizontal="center"/>
    </xf>
    <xf numFmtId="0" fontId="132" fillId="0" borderId="0" applyFill="0">
      <alignment vertical="center" wrapText="1"/>
    </xf>
    <xf numFmtId="0" fontId="15" fillId="0" borderId="0">
      <alignment horizontal="left" vertical="center" wrapText="1"/>
    </xf>
    <xf numFmtId="184" fontId="133" fillId="0" borderId="0" applyFill="0"/>
    <xf numFmtId="0" fontId="130" fillId="0" borderId="0" applyNumberFormat="0" applyFont="0" applyAlignment="0">
      <alignment horizontal="center"/>
    </xf>
    <xf numFmtId="0" fontId="134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84" fontId="135" fillId="0" borderId="0" applyFill="0"/>
    <xf numFmtId="0" fontId="130" fillId="0" borderId="0" applyNumberFormat="0" applyFont="0" applyAlignment="0">
      <alignment horizontal="center"/>
    </xf>
    <xf numFmtId="0" fontId="136" fillId="0" borderId="0" applyFill="0">
      <alignment horizontal="center" vertical="center" wrapText="1"/>
    </xf>
    <xf numFmtId="0" fontId="137" fillId="0" borderId="0" applyFill="0">
      <alignment horizontal="center" vertical="center" wrapText="1"/>
    </xf>
    <xf numFmtId="184" fontId="138" fillId="0" borderId="0" applyFill="0"/>
    <xf numFmtId="0" fontId="130" fillId="0" borderId="0" applyNumberFormat="0" applyFont="0" applyAlignment="0">
      <alignment horizontal="center"/>
    </xf>
    <xf numFmtId="0" fontId="139" fillId="0" borderId="0">
      <alignment horizontal="center" wrapText="1"/>
    </xf>
    <xf numFmtId="0" fontId="135" fillId="0" borderId="0" applyFill="0">
      <alignment horizontal="center"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8" fillId="15" borderId="0" applyFill="0"/>
    <xf numFmtId="0" fontId="140" fillId="0" borderId="0">
      <alignment horizontal="left" indent="7"/>
    </xf>
    <xf numFmtId="0" fontId="8" fillId="0" borderId="0" applyFill="0">
      <alignment horizontal="left" indent="7"/>
    </xf>
    <xf numFmtId="7" fontId="141" fillId="0" borderId="26" applyFill="0">
      <alignment horizontal="right"/>
    </xf>
    <xf numFmtId="0" fontId="16" fillId="0" borderId="0" applyNumberFormat="0">
      <alignment horizontal="right"/>
    </xf>
    <xf numFmtId="0" fontId="142" fillId="0" borderId="26" applyFont="0" applyFill="0"/>
    <xf numFmtId="0" fontId="16" fillId="0" borderId="26" applyFill="0"/>
    <xf numFmtId="39" fontId="141" fillId="0" borderId="0" applyFill="0"/>
    <xf numFmtId="0" fontId="10" fillId="0" borderId="0" applyNumberFormat="0" applyFont="0" applyBorder="0" applyAlignment="0"/>
    <xf numFmtId="0" fontId="131" fillId="0" borderId="0" applyFill="0">
      <alignment horizontal="left" indent="1"/>
    </xf>
    <xf numFmtId="0" fontId="16" fillId="0" borderId="0" applyFill="0">
      <alignment horizontal="left" indent="1"/>
    </xf>
    <xf numFmtId="39" fontId="133" fillId="0" borderId="0" applyFill="0"/>
    <xf numFmtId="0" fontId="10" fillId="0" borderId="0" applyNumberFormat="0" applyFont="0" applyFill="0" applyBorder="0" applyAlignment="0"/>
    <xf numFmtId="0" fontId="131" fillId="0" borderId="0" applyFill="0">
      <alignment horizontal="left" indent="2"/>
    </xf>
    <xf numFmtId="0" fontId="69" fillId="0" borderId="0" applyFill="0">
      <alignment horizontal="left" indent="2"/>
    </xf>
    <xf numFmtId="39" fontId="133" fillId="0" borderId="0" applyFill="0"/>
    <xf numFmtId="0" fontId="10" fillId="0" borderId="0" applyNumberFormat="0" applyFont="0" applyBorder="0" applyAlignment="0"/>
    <xf numFmtId="0" fontId="143" fillId="0" borderId="0">
      <alignment horizontal="left" indent="3"/>
    </xf>
    <xf numFmtId="0" fontId="144" fillId="0" borderId="0" applyFill="0">
      <alignment horizontal="left" indent="3"/>
    </xf>
    <xf numFmtId="39" fontId="133" fillId="0" borderId="0" applyFill="0"/>
    <xf numFmtId="0" fontId="10" fillId="0" borderId="0" applyNumberFormat="0" applyFont="0" applyBorder="0" applyAlignment="0"/>
    <xf numFmtId="0" fontId="134" fillId="0" borderId="0">
      <alignment horizontal="left" indent="4"/>
    </xf>
    <xf numFmtId="0" fontId="10" fillId="0" borderId="0" applyFill="0">
      <alignment horizontal="left" indent="4"/>
    </xf>
    <xf numFmtId="39" fontId="133" fillId="0" borderId="0" applyFill="0"/>
    <xf numFmtId="0" fontId="10" fillId="0" borderId="0" applyNumberFormat="0" applyFont="0" applyBorder="0" applyAlignment="0"/>
    <xf numFmtId="0" fontId="136" fillId="0" borderId="0">
      <alignment horizontal="left" indent="5"/>
    </xf>
    <xf numFmtId="0" fontId="137" fillId="0" borderId="0" applyFill="0">
      <alignment horizontal="left" indent="5"/>
    </xf>
    <xf numFmtId="39" fontId="138" fillId="0" borderId="0" applyFill="0"/>
    <xf numFmtId="0" fontId="10" fillId="0" borderId="0" applyNumberFormat="0" applyFont="0" applyFill="0" applyBorder="0" applyAlignment="0"/>
    <xf numFmtId="0" fontId="139" fillId="0" borderId="0" applyFill="0">
      <alignment horizontal="left" indent="6"/>
    </xf>
    <xf numFmtId="0" fontId="135" fillId="0" borderId="0" applyFill="0">
      <alignment horizontal="left" indent="6"/>
    </xf>
    <xf numFmtId="0" fontId="3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185" fontId="145" fillId="0" borderId="43" applyNumberFormat="0" applyProtection="0">
      <alignment horizontal="right" vertical="center"/>
    </xf>
    <xf numFmtId="185" fontId="146" fillId="0" borderId="44" applyNumberFormat="0" applyProtection="0">
      <alignment horizontal="right" vertical="center"/>
    </xf>
    <xf numFmtId="0" fontId="146" fillId="77" borderId="45" applyNumberFormat="0" applyAlignment="0" applyProtection="0">
      <alignment horizontal="left" vertical="center" indent="1"/>
    </xf>
    <xf numFmtId="0" fontId="147" fillId="0" borderId="46" applyNumberFormat="0" applyFill="0" applyBorder="0" applyAlignment="0" applyProtection="0"/>
    <xf numFmtId="0" fontId="148" fillId="78" borderId="45" applyNumberFormat="0" applyAlignment="0" applyProtection="0">
      <alignment horizontal="left" vertical="center" indent="1"/>
    </xf>
    <xf numFmtId="0" fontId="148" fillId="79" borderId="45" applyNumberFormat="0" applyAlignment="0" applyProtection="0">
      <alignment horizontal="left" vertical="center" indent="1"/>
    </xf>
    <xf numFmtId="0" fontId="148" fillId="80" borderId="45" applyNumberFormat="0" applyAlignment="0" applyProtection="0">
      <alignment horizontal="left" vertical="center" indent="1"/>
    </xf>
    <xf numFmtId="0" fontId="148" fillId="81" borderId="45" applyNumberFormat="0" applyAlignment="0" applyProtection="0">
      <alignment horizontal="left" vertical="center" indent="1"/>
    </xf>
    <xf numFmtId="0" fontId="148" fillId="82" borderId="44" applyNumberFormat="0" applyAlignment="0" applyProtection="0">
      <alignment horizontal="left" vertical="center" indent="1"/>
    </xf>
    <xf numFmtId="185" fontId="145" fillId="83" borderId="45" applyNumberFormat="0" applyAlignment="0" applyProtection="0">
      <alignment horizontal="left" vertical="center" indent="1"/>
    </xf>
    <xf numFmtId="0" fontId="146" fillId="77" borderId="44" applyNumberFormat="0" applyAlignment="0" applyProtection="0">
      <alignment horizontal="left" vertical="center" indent="1"/>
    </xf>
    <xf numFmtId="38" fontId="10" fillId="84" borderId="0" applyNumberFormat="0" applyFont="0" applyBorder="0" applyAlignment="0" applyProtection="0"/>
    <xf numFmtId="186" fontId="67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49" fillId="57" borderId="29" applyNumberFormat="0" applyAlignment="0" applyProtection="0"/>
    <xf numFmtId="168" fontId="28" fillId="37" borderId="0">
      <alignment horizontal="left"/>
    </xf>
    <xf numFmtId="168" fontId="30" fillId="37" borderId="0">
      <alignment horizontal="right"/>
    </xf>
    <xf numFmtId="168" fontId="31" fillId="34" borderId="0">
      <alignment horizontal="center"/>
    </xf>
    <xf numFmtId="168" fontId="30" fillId="37" borderId="0">
      <alignment horizontal="right"/>
    </xf>
    <xf numFmtId="168" fontId="32" fillId="34" borderId="0">
      <alignment horizontal="left"/>
    </xf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0" fillId="56" borderId="29" applyNumberFormat="0" applyAlignment="0" applyProtection="0"/>
    <xf numFmtId="168" fontId="28" fillId="37" borderId="0">
      <alignment horizontal="left"/>
    </xf>
    <xf numFmtId="168" fontId="51" fillId="34" borderId="0">
      <alignment horizontal="left"/>
    </xf>
    <xf numFmtId="168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71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168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" borderId="6" applyNumberFormat="0" applyFont="0" applyAlignment="0" applyProtection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" fillId="0" borderId="0"/>
    <xf numFmtId="0" fontId="35" fillId="18" borderId="20" applyNumberFormat="0" applyFont="0" applyAlignment="0" applyProtection="0"/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168" fontId="51" fillId="22" borderId="0">
      <alignment horizontal="center"/>
    </xf>
    <xf numFmtId="168" fontId="30" fillId="37" borderId="0">
      <alignment horizontal="center"/>
    </xf>
    <xf numFmtId="168" fontId="30" fillId="37" borderId="0">
      <alignment horizontal="centerContinuous"/>
    </xf>
    <xf numFmtId="168" fontId="70" fillId="34" borderId="0">
      <alignment horizontal="left"/>
    </xf>
    <xf numFmtId="168" fontId="28" fillId="37" borderId="0">
      <alignment horizontal="left"/>
    </xf>
    <xf numFmtId="168" fontId="28" fillId="37" borderId="0">
      <alignment horizontal="centerContinuous"/>
    </xf>
    <xf numFmtId="168" fontId="28" fillId="37" borderId="0">
      <alignment horizontal="right"/>
    </xf>
    <xf numFmtId="168" fontId="30" fillId="37" borderId="0">
      <alignment horizontal="right"/>
    </xf>
    <xf numFmtId="168" fontId="70" fillId="20" borderId="0">
      <alignment horizontal="center"/>
    </xf>
    <xf numFmtId="168" fontId="71" fillId="20" borderId="0">
      <alignment horizontal="center"/>
    </xf>
    <xf numFmtId="168" fontId="78" fillId="34" borderId="0">
      <alignment horizontal="center"/>
    </xf>
    <xf numFmtId="43" fontId="10" fillId="0" borderId="0" applyFont="0" applyFill="0" applyBorder="0" applyAlignment="0" applyProtection="0"/>
    <xf numFmtId="166" fontId="10" fillId="0" borderId="0"/>
    <xf numFmtId="44" fontId="10" fillId="0" borderId="0" applyFont="0" applyFill="0" applyBorder="0" applyAlignment="0" applyProtection="0"/>
    <xf numFmtId="0" fontId="15" fillId="0" borderId="0"/>
    <xf numFmtId="166" fontId="10" fillId="0" borderId="0"/>
    <xf numFmtId="166" fontId="151" fillId="0" borderId="0"/>
    <xf numFmtId="0" fontId="10" fillId="0" borderId="0"/>
    <xf numFmtId="37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7" fontId="18" fillId="0" borderId="0"/>
    <xf numFmtId="37" fontId="18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10" fillId="0" borderId="0" xfId="8" applyFont="1"/>
    <xf numFmtId="0" fontId="79" fillId="0" borderId="0" xfId="5126" applyFont="1" applyFill="1" applyBorder="1" applyAlignment="1">
      <alignment horizontal="left"/>
    </xf>
    <xf numFmtId="0" fontId="10" fillId="0" borderId="0" xfId="5126" applyFont="1" applyFill="1" applyBorder="1" applyAlignment="1">
      <alignment horizontal="left"/>
    </xf>
    <xf numFmtId="0" fontId="79" fillId="0" borderId="0" xfId="5126" applyFont="1" applyFill="1" applyBorder="1" applyAlignment="1">
      <alignment horizontal="right"/>
    </xf>
    <xf numFmtId="0" fontId="10" fillId="0" borderId="0" xfId="5126" applyFont="1" applyFill="1" applyBorder="1" applyAlignment="1">
      <alignment horizontal="right"/>
    </xf>
    <xf numFmtId="0" fontId="79" fillId="0" borderId="0" xfId="5126" applyFont="1" applyFill="1" applyBorder="1" applyAlignment="1">
      <alignment horizontal="left" vertical="top"/>
    </xf>
    <xf numFmtId="0" fontId="79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wrapText="1"/>
    </xf>
    <xf numFmtId="164" fontId="79" fillId="0" borderId="0" xfId="3950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center" wrapText="1"/>
    </xf>
    <xf numFmtId="0" fontId="10" fillId="0" borderId="0" xfId="5126" applyFont="1" applyFill="1" applyBorder="1" applyAlignment="1">
      <alignment horizontal="left" vertical="center" wrapText="1"/>
    </xf>
    <xf numFmtId="164" fontId="79" fillId="0" borderId="0" xfId="3950" applyNumberFormat="1" applyFont="1" applyFill="1" applyBorder="1" applyAlignment="1">
      <alignment horizontal="center" vertical="center" wrapText="1"/>
    </xf>
    <xf numFmtId="0" fontId="10" fillId="0" borderId="26" xfId="5126" applyFont="1" applyFill="1" applyBorder="1" applyAlignment="1">
      <alignment horizontal="center" wrapText="1"/>
    </xf>
    <xf numFmtId="164" fontId="79" fillId="0" borderId="2" xfId="3950" applyNumberFormat="1" applyFont="1" applyFill="1" applyBorder="1" applyAlignment="1">
      <alignment horizontal="right" wrapText="1"/>
    </xf>
    <xf numFmtId="164" fontId="79" fillId="0" borderId="27" xfId="3950" applyNumberFormat="1" applyFont="1" applyFill="1" applyBorder="1" applyAlignment="1">
      <alignment horizontal="right" wrapText="1"/>
    </xf>
    <xf numFmtId="0" fontId="72" fillId="0" borderId="0" xfId="5126" applyFont="1" applyFill="1" applyBorder="1" applyAlignment="1">
      <alignment horizontal="left" wrapText="1"/>
    </xf>
    <xf numFmtId="0" fontId="9" fillId="0" borderId="0" xfId="5126" applyFont="1" applyFill="1" applyBorder="1" applyAlignment="1">
      <alignment horizontal="left" wrapText="1"/>
    </xf>
    <xf numFmtId="0" fontId="10" fillId="0" borderId="0" xfId="0" applyFont="1" applyBorder="1"/>
    <xf numFmtId="10" fontId="79" fillId="0" borderId="0" xfId="1" applyNumberFormat="1" applyFont="1" applyFill="1" applyBorder="1" applyAlignment="1">
      <alignment horizontal="right" wrapText="1"/>
    </xf>
    <xf numFmtId="174" fontId="79" fillId="0" borderId="0" xfId="3950" applyNumberFormat="1" applyFont="1" applyFill="1" applyBorder="1" applyAlignment="1">
      <alignment horizontal="right" wrapText="1"/>
    </xf>
    <xf numFmtId="0" fontId="79" fillId="0" borderId="1" xfId="5126" applyFont="1" applyFill="1" applyBorder="1" applyAlignment="1">
      <alignment horizontal="left"/>
    </xf>
    <xf numFmtId="0" fontId="10" fillId="0" borderId="2" xfId="5126" applyFont="1" applyFill="1" applyBorder="1" applyAlignment="1">
      <alignment horizontal="center" wrapText="1"/>
    </xf>
    <xf numFmtId="183" fontId="79" fillId="0" borderId="0" xfId="1" applyNumberFormat="1" applyFont="1" applyFill="1" applyBorder="1" applyAlignment="1">
      <alignment horizontal="right" wrapText="1"/>
    </xf>
    <xf numFmtId="183" fontId="79" fillId="0" borderId="2" xfId="1" applyNumberFormat="1" applyFont="1" applyFill="1" applyBorder="1" applyAlignment="1">
      <alignment horizontal="right" wrapText="1"/>
    </xf>
    <xf numFmtId="183" fontId="79" fillId="0" borderId="0" xfId="1" applyNumberFormat="1" applyFont="1" applyFill="1" applyBorder="1" applyAlignment="1">
      <alignment horizontal="left" vertical="top"/>
    </xf>
    <xf numFmtId="183" fontId="79" fillId="0" borderId="27" xfId="1" applyNumberFormat="1" applyFont="1" applyFill="1" applyBorder="1" applyAlignment="1">
      <alignment horizontal="right" wrapText="1"/>
    </xf>
    <xf numFmtId="174" fontId="10" fillId="0" borderId="27" xfId="4" applyNumberFormat="1" applyFont="1" applyBorder="1" applyProtection="1"/>
    <xf numFmtId="0" fontId="10" fillId="0" borderId="0" xfId="5126" applyFont="1" applyFill="1" applyBorder="1" applyAlignment="1"/>
    <xf numFmtId="0" fontId="10" fillId="0" borderId="0" xfId="5126" applyFont="1" applyFill="1" applyBorder="1" applyAlignment="1">
      <alignment horizontal="center" vertical="center" wrapText="1"/>
    </xf>
    <xf numFmtId="10" fontId="79" fillId="0" borderId="0" xfId="12089" applyNumberFormat="1" applyFont="1" applyFill="1" applyBorder="1" applyAlignment="1">
      <alignment horizontal="right" wrapText="1"/>
    </xf>
    <xf numFmtId="9" fontId="79" fillId="0" borderId="0" xfId="12089" applyFont="1" applyFill="1" applyBorder="1" applyAlignment="1">
      <alignment horizontal="right" wrapText="1"/>
    </xf>
    <xf numFmtId="10" fontId="79" fillId="0" borderId="0" xfId="12089" applyNumberFormat="1" applyFont="1" applyFill="1" applyBorder="1" applyAlignment="1">
      <alignment horizontal="right"/>
    </xf>
    <xf numFmtId="9" fontId="79" fillId="0" borderId="0" xfId="6764" applyFont="1" applyFill="1" applyBorder="1" applyAlignment="1">
      <alignment horizontal="left" vertical="top"/>
    </xf>
    <xf numFmtId="10" fontId="79" fillId="0" borderId="0" xfId="12089" applyNumberFormat="1" applyFont="1" applyFill="1" applyBorder="1" applyAlignment="1">
      <alignment horizontal="left" vertical="top"/>
    </xf>
    <xf numFmtId="9" fontId="79" fillId="0" borderId="0" xfId="12089" applyFont="1" applyFill="1" applyBorder="1" applyAlignment="1">
      <alignment horizontal="left" vertical="top"/>
    </xf>
    <xf numFmtId="10" fontId="79" fillId="0" borderId="2" xfId="12089" applyNumberFormat="1" applyFont="1" applyFill="1" applyBorder="1" applyAlignment="1">
      <alignment horizontal="right" wrapText="1"/>
    </xf>
    <xf numFmtId="10" fontId="79" fillId="0" borderId="27" xfId="12089" applyNumberFormat="1" applyFont="1" applyFill="1" applyBorder="1" applyAlignment="1">
      <alignment horizontal="right" wrapText="1"/>
    </xf>
    <xf numFmtId="164" fontId="79" fillId="0" borderId="0" xfId="5126" applyNumberFormat="1" applyFont="1" applyFill="1" applyBorder="1" applyAlignment="1">
      <alignment horizontal="left"/>
    </xf>
    <xf numFmtId="43" fontId="79" fillId="0" borderId="0" xfId="3950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164" fontId="79" fillId="0" borderId="0" xfId="1" applyNumberFormat="1" applyFont="1" applyFill="1" applyBorder="1" applyAlignment="1">
      <alignment horizontal="right" wrapText="1"/>
    </xf>
    <xf numFmtId="49" fontId="10" fillId="0" borderId="0" xfId="5126" applyNumberFormat="1" applyFont="1" applyFill="1" applyBorder="1" applyAlignment="1">
      <alignment horizontal="center"/>
    </xf>
    <xf numFmtId="164" fontId="79" fillId="0" borderId="47" xfId="3950" applyNumberFormat="1" applyFont="1" applyFill="1" applyBorder="1" applyAlignment="1">
      <alignment horizontal="right" wrapText="1"/>
    </xf>
    <xf numFmtId="10" fontId="10" fillId="0" borderId="0" xfId="5126" applyNumberFormat="1" applyFont="1" applyFill="1" applyBorder="1" applyAlignment="1">
      <alignment horizontal="center" vertical="center" wrapText="1"/>
    </xf>
    <xf numFmtId="37" fontId="15" fillId="0" borderId="0" xfId="14643" applyFont="1"/>
    <xf numFmtId="0" fontId="16" fillId="0" borderId="0" xfId="4614" applyFont="1" applyAlignment="1" applyProtection="1">
      <alignment horizontal="left"/>
    </xf>
    <xf numFmtId="0" fontId="152" fillId="0" borderId="0" xfId="5126" applyFont="1" applyFill="1" applyBorder="1" applyAlignment="1">
      <alignment horizontal="right"/>
    </xf>
    <xf numFmtId="37" fontId="10" fillId="0" borderId="0" xfId="14643" applyFont="1"/>
    <xf numFmtId="0" fontId="16" fillId="0" borderId="0" xfId="4614" quotePrefix="1" applyFont="1" applyAlignment="1" applyProtection="1">
      <alignment horizontal="left"/>
    </xf>
    <xf numFmtId="0" fontId="16" fillId="0" borderId="0" xfId="4614" quotePrefix="1" applyFont="1" applyAlignment="1" applyProtection="1">
      <alignment horizontal="left"/>
      <protection locked="0"/>
    </xf>
    <xf numFmtId="0" fontId="16" fillId="0" borderId="0" xfId="5126" applyFont="1" applyFill="1" applyBorder="1" applyAlignment="1">
      <alignment horizontal="right"/>
    </xf>
    <xf numFmtId="37" fontId="16" fillId="0" borderId="0" xfId="14643" applyFont="1" applyAlignment="1"/>
    <xf numFmtId="37" fontId="15" fillId="0" borderId="0" xfId="14643" applyFont="1" applyBorder="1"/>
    <xf numFmtId="164" fontId="15" fillId="0" borderId="0" xfId="4" applyNumberFormat="1" applyFont="1" applyBorder="1" applyAlignment="1">
      <alignment horizontal="centerContinuous"/>
    </xf>
    <xf numFmtId="164" fontId="153" fillId="0" borderId="0" xfId="4" applyNumberFormat="1" applyFont="1" applyBorder="1" applyAlignment="1">
      <alignment horizontal="centerContinuous"/>
    </xf>
    <xf numFmtId="164" fontId="15" fillId="0" borderId="0" xfId="4" applyNumberFormat="1" applyFont="1" applyBorder="1"/>
    <xf numFmtId="187" fontId="15" fillId="0" borderId="0" xfId="14643" applyNumberFormat="1" applyFont="1"/>
    <xf numFmtId="188" fontId="15" fillId="0" borderId="0" xfId="2" applyNumberFormat="1" applyFont="1" applyBorder="1" applyAlignment="1">
      <alignment horizontal="left"/>
    </xf>
    <xf numFmtId="188" fontId="15" fillId="0" borderId="0" xfId="2" applyNumberFormat="1" applyFont="1" applyBorder="1" applyAlignment="1">
      <alignment horizontal="fill"/>
    </xf>
    <xf numFmtId="188" fontId="15" fillId="0" borderId="0" xfId="2" applyNumberFormat="1" applyFont="1" applyBorder="1"/>
    <xf numFmtId="189" fontId="15" fillId="0" borderId="0" xfId="1" applyNumberFormat="1" applyFont="1"/>
    <xf numFmtId="37" fontId="15" fillId="0" borderId="0" xfId="14643" applyFont="1" applyBorder="1" applyAlignment="1">
      <alignment horizontal="left"/>
    </xf>
    <xf numFmtId="164" fontId="15" fillId="0" borderId="0" xfId="4" applyNumberFormat="1" applyFont="1" applyBorder="1" applyProtection="1">
      <protection locked="0"/>
    </xf>
    <xf numFmtId="190" fontId="15" fillId="0" borderId="0" xfId="14643" applyNumberFormat="1" applyFont="1" applyProtection="1"/>
    <xf numFmtId="189" fontId="15" fillId="0" borderId="2" xfId="1" applyNumberFormat="1" applyFont="1" applyBorder="1" applyProtection="1"/>
    <xf numFmtId="191" fontId="15" fillId="0" borderId="0" xfId="4" applyNumberFormat="1" applyFont="1" applyProtection="1"/>
    <xf numFmtId="37" fontId="15" fillId="0" borderId="0" xfId="14643" quotePrefix="1" applyFont="1" applyBorder="1" applyAlignment="1">
      <alignment horizontal="left"/>
    </xf>
    <xf numFmtId="188" fontId="15" fillId="0" borderId="0" xfId="2" applyNumberFormat="1" applyFont="1" applyBorder="1" applyProtection="1"/>
    <xf numFmtId="189" fontId="15" fillId="0" borderId="0" xfId="1" applyNumberFormat="1" applyFont="1" applyBorder="1" applyProtection="1"/>
    <xf numFmtId="37" fontId="15" fillId="0" borderId="0" xfId="14644" quotePrefix="1" applyFont="1" applyAlignment="1">
      <alignment horizontal="left"/>
    </xf>
    <xf numFmtId="9" fontId="15" fillId="0" borderId="0" xfId="4" applyNumberFormat="1" applyFont="1" applyBorder="1" applyProtection="1"/>
    <xf numFmtId="187" fontId="10" fillId="0" borderId="0" xfId="14643" applyNumberFormat="1" applyFont="1"/>
    <xf numFmtId="10" fontId="15" fillId="0" borderId="0" xfId="1" applyNumberFormat="1" applyFont="1" applyBorder="1" applyProtection="1"/>
    <xf numFmtId="37" fontId="15" fillId="0" borderId="0" xfId="14644" quotePrefix="1" applyFont="1" applyBorder="1" applyAlignment="1">
      <alignment horizontal="left"/>
    </xf>
    <xf numFmtId="189" fontId="15" fillId="0" borderId="0" xfId="1" applyNumberFormat="1" applyFont="1" applyFill="1" applyBorder="1" applyProtection="1"/>
    <xf numFmtId="191" fontId="15" fillId="0" borderId="0" xfId="4" applyNumberFormat="1" applyFont="1" applyBorder="1" applyProtection="1"/>
    <xf numFmtId="189" fontId="15" fillId="0" borderId="27" xfId="1" applyNumberFormat="1" applyFont="1" applyBorder="1"/>
    <xf numFmtId="164" fontId="15" fillId="0" borderId="0" xfId="4" applyNumberFormat="1" applyFont="1" applyBorder="1" applyAlignment="1">
      <alignment horizontal="right"/>
    </xf>
    <xf numFmtId="187" fontId="15" fillId="0" borderId="0" xfId="14643" applyNumberFormat="1" applyFont="1" applyProtection="1"/>
    <xf numFmtId="37" fontId="153" fillId="0" borderId="0" xfId="14644" applyFont="1"/>
    <xf numFmtId="37" fontId="15" fillId="0" borderId="0" xfId="14644" applyFont="1" applyBorder="1" applyAlignment="1">
      <alignment horizontal="left"/>
    </xf>
    <xf numFmtId="190" fontId="15" fillId="0" borderId="0" xfId="14644" applyNumberFormat="1" applyFont="1" applyProtection="1"/>
    <xf numFmtId="37" fontId="15" fillId="0" borderId="0" xfId="14644" applyFont="1" applyBorder="1"/>
    <xf numFmtId="189" fontId="15" fillId="0" borderId="27" xfId="1" applyNumberFormat="1" applyFont="1" applyBorder="1" applyProtection="1"/>
    <xf numFmtId="37" fontId="144" fillId="0" borderId="0" xfId="14644" quotePrefix="1" applyFont="1" applyBorder="1" applyAlignment="1">
      <alignment horizontal="left"/>
    </xf>
    <xf numFmtId="49" fontId="10" fillId="0" borderId="0" xfId="5126" applyNumberFormat="1" applyFont="1" applyFill="1" applyBorder="1" applyAlignment="1"/>
    <xf numFmtId="10" fontId="10" fillId="0" borderId="0" xfId="5126" applyNumberFormat="1" applyFont="1" applyFill="1" applyBorder="1" applyAlignment="1"/>
    <xf numFmtId="164" fontId="10" fillId="0" borderId="0" xfId="4" applyNumberFormat="1" applyFont="1" applyFill="1" applyBorder="1"/>
    <xf numFmtId="0" fontId="10" fillId="0" borderId="0" xfId="4614" applyFont="1"/>
    <xf numFmtId="0" fontId="9" fillId="0" borderId="0" xfId="4614" applyFont="1"/>
    <xf numFmtId="43" fontId="79" fillId="0" borderId="0" xfId="1" applyNumberFormat="1" applyFont="1" applyFill="1" applyBorder="1" applyAlignment="1">
      <alignment horizontal="right" wrapText="1"/>
    </xf>
    <xf numFmtId="10" fontId="154" fillId="0" borderId="0" xfId="4614" applyNumberFormat="1" applyFont="1" applyFill="1" applyBorder="1"/>
    <xf numFmtId="0" fontId="10" fillId="0" borderId="0" xfId="5126" applyFont="1" applyFill="1" applyBorder="1" applyAlignment="1">
      <alignment horizontal="center"/>
    </xf>
    <xf numFmtId="0" fontId="10" fillId="0" borderId="0" xfId="8" applyFont="1" applyFill="1"/>
    <xf numFmtId="164" fontId="0" fillId="0" borderId="0" xfId="4" applyNumberFormat="1" applyFont="1"/>
    <xf numFmtId="164" fontId="0" fillId="0" borderId="0" xfId="4" applyNumberFormat="1" applyFont="1" applyBorder="1"/>
    <xf numFmtId="164" fontId="0" fillId="0" borderId="0" xfId="4" applyNumberFormat="1" applyFont="1" applyBorder="1" applyAlignment="1">
      <alignment horizontal="center"/>
    </xf>
    <xf numFmtId="0" fontId="155" fillId="0" borderId="0" xfId="0" applyFont="1" applyAlignment="1">
      <alignment horizontal="center"/>
    </xf>
    <xf numFmtId="164" fontId="155" fillId="0" borderId="0" xfId="4" applyNumberFormat="1" applyFont="1" applyAlignment="1">
      <alignment horizontal="center"/>
    </xf>
    <xf numFmtId="164" fontId="155" fillId="0" borderId="0" xfId="4" applyNumberFormat="1" applyFont="1" applyBorder="1" applyAlignment="1">
      <alignment horizontal="center"/>
    </xf>
    <xf numFmtId="164" fontId="0" fillId="0" borderId="0" xfId="4" quotePrefix="1" applyNumberFormat="1" applyFont="1" applyBorder="1" applyAlignment="1">
      <alignment horizontal="right"/>
    </xf>
    <xf numFmtId="164" fontId="0" fillId="0" borderId="51" xfId="4" applyNumberFormat="1" applyFont="1" applyBorder="1"/>
    <xf numFmtId="43" fontId="14" fillId="0" borderId="0" xfId="4" applyFont="1" applyAlignment="1">
      <alignment horizontal="left"/>
    </xf>
    <xf numFmtId="43" fontId="0" fillId="0" borderId="0" xfId="4" applyFont="1" applyAlignment="1">
      <alignment horizontal="left"/>
    </xf>
    <xf numFmtId="43" fontId="162" fillId="0" borderId="0" xfId="4" applyFont="1" applyAlignment="1">
      <alignment horizontal="left" wrapText="1"/>
    </xf>
    <xf numFmtId="164" fontId="162" fillId="0" borderId="0" xfId="4" applyNumberFormat="1" applyFont="1" applyAlignment="1">
      <alignment horizontal="center" wrapText="1"/>
    </xf>
    <xf numFmtId="164" fontId="0" fillId="0" borderId="2" xfId="4" applyNumberFormat="1" applyFont="1" applyBorder="1"/>
    <xf numFmtId="173" fontId="165" fillId="0" borderId="0" xfId="5126" applyNumberFormat="1" applyFont="1" applyFill="1" applyBorder="1" applyAlignment="1">
      <alignment horizontal="center" wrapText="1"/>
    </xf>
    <xf numFmtId="0" fontId="165" fillId="0" borderId="0" xfId="5126" applyFont="1" applyFill="1" applyBorder="1" applyAlignment="1">
      <alignment horizontal="left" vertical="top"/>
    </xf>
    <xf numFmtId="10" fontId="165" fillId="0" borderId="0" xfId="1" applyNumberFormat="1" applyFont="1" applyFill="1" applyBorder="1" applyAlignment="1">
      <alignment horizontal="right" wrapText="1"/>
    </xf>
    <xf numFmtId="164" fontId="165" fillId="0" borderId="0" xfId="3950" applyNumberFormat="1" applyFont="1" applyFill="1" applyBorder="1" applyAlignment="1">
      <alignment horizontal="right" wrapText="1"/>
    </xf>
    <xf numFmtId="192" fontId="165" fillId="0" borderId="0" xfId="3950" applyNumberFormat="1" applyFont="1" applyFill="1" applyBorder="1" applyAlignment="1">
      <alignment horizontal="right" wrapText="1"/>
    </xf>
    <xf numFmtId="10" fontId="165" fillId="0" borderId="27" xfId="12089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left" wrapText="1"/>
    </xf>
    <xf numFmtId="0" fontId="14" fillId="0" borderId="0" xfId="0" applyFont="1"/>
    <xf numFmtId="164" fontId="155" fillId="0" borderId="54" xfId="4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164" fontId="0" fillId="0" borderId="55" xfId="4" applyNumberFormat="1" applyFont="1" applyBorder="1"/>
    <xf numFmtId="164" fontId="155" fillId="0" borderId="55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51" xfId="0" applyNumberFormat="1" applyBorder="1"/>
    <xf numFmtId="164" fontId="0" fillId="0" borderId="59" xfId="0" applyNumberFormat="1" applyBorder="1"/>
    <xf numFmtId="164" fontId="0" fillId="0" borderId="0" xfId="0" applyNumberFormat="1"/>
    <xf numFmtId="0" fontId="166" fillId="0" borderId="0" xfId="0" applyFont="1"/>
    <xf numFmtId="0" fontId="167" fillId="0" borderId="0" xfId="0" applyFont="1"/>
    <xf numFmtId="43" fontId="161" fillId="0" borderId="0" xfId="4" applyFont="1"/>
    <xf numFmtId="43" fontId="0" fillId="0" borderId="0" xfId="4" applyFont="1"/>
    <xf numFmtId="43" fontId="0" fillId="0" borderId="0" xfId="0" applyNumberFormat="1"/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43" fontId="79" fillId="0" borderId="0" xfId="5126" applyNumberFormat="1" applyFont="1" applyFill="1" applyBorder="1" applyAlignment="1">
      <alignment horizontal="left" vertical="top"/>
    </xf>
    <xf numFmtId="175" fontId="10" fillId="0" borderId="0" xfId="5126" applyNumberFormat="1" applyFont="1" applyFill="1" applyBorder="1" applyAlignment="1">
      <alignment horizontal="left" wrapText="1"/>
    </xf>
    <xf numFmtId="9" fontId="79" fillId="0" borderId="0" xfId="6764" applyFont="1" applyFill="1" applyBorder="1" applyAlignment="1">
      <alignment horizontal="right" wrapText="1"/>
    </xf>
    <xf numFmtId="0" fontId="10" fillId="0" borderId="0" xfId="4614" applyFont="1" applyBorder="1"/>
    <xf numFmtId="193" fontId="79" fillId="0" borderId="27" xfId="6764" applyNumberFormat="1" applyFont="1" applyFill="1" applyBorder="1" applyAlignment="1">
      <alignment horizontal="right" wrapText="1"/>
    </xf>
    <xf numFmtId="10" fontId="79" fillId="0" borderId="0" xfId="6764" applyNumberFormat="1" applyFont="1" applyFill="1" applyBorder="1" applyAlignment="1">
      <alignment horizontal="right" wrapText="1"/>
    </xf>
    <xf numFmtId="164" fontId="79" fillId="0" borderId="0" xfId="6764" applyNumberFormat="1" applyFont="1" applyFill="1" applyBorder="1" applyAlignment="1">
      <alignment horizontal="right" wrapText="1"/>
    </xf>
    <xf numFmtId="0" fontId="3" fillId="0" borderId="0" xfId="14648"/>
    <xf numFmtId="10" fontId="79" fillId="0" borderId="0" xfId="14649" applyNumberFormat="1" applyFont="1" applyFill="1" applyBorder="1" applyAlignment="1">
      <alignment horizontal="center"/>
    </xf>
    <xf numFmtId="166" fontId="10" fillId="0" borderId="0" xfId="5126" applyNumberFormat="1" applyFont="1" applyFill="1" applyBorder="1" applyAlignment="1">
      <alignment horizontal="center"/>
    </xf>
    <xf numFmtId="164" fontId="79" fillId="0" borderId="0" xfId="14650" applyNumberFormat="1" applyFont="1" applyFill="1" applyBorder="1" applyAlignment="1">
      <alignment horizontal="center" vertical="center" wrapText="1"/>
    </xf>
    <xf numFmtId="164" fontId="79" fillId="0" borderId="0" xfId="14650" applyNumberFormat="1" applyFont="1" applyFill="1" applyBorder="1" applyAlignment="1">
      <alignment horizontal="center" vertical="center"/>
    </xf>
    <xf numFmtId="194" fontId="79" fillId="0" borderId="0" xfId="14650" applyNumberFormat="1" applyFont="1" applyFill="1" applyBorder="1" applyAlignment="1">
      <alignment horizontal="right"/>
    </xf>
    <xf numFmtId="0" fontId="10" fillId="0" borderId="0" xfId="11004" applyFont="1" applyBorder="1"/>
    <xf numFmtId="10" fontId="79" fillId="0" borderId="27" xfId="6764" applyNumberFormat="1" applyFont="1" applyFill="1" applyBorder="1" applyAlignment="1">
      <alignment horizontal="right" wrapText="1"/>
    </xf>
    <xf numFmtId="193" fontId="79" fillId="0" borderId="0" xfId="12089" applyNumberFormat="1" applyFont="1" applyFill="1" applyBorder="1" applyAlignment="1">
      <alignment horizontal="right" wrapText="1"/>
    </xf>
    <xf numFmtId="17" fontId="10" fillId="0" borderId="0" xfId="5126" applyNumberFormat="1" applyFont="1" applyFill="1" applyBorder="1" applyAlignment="1">
      <alignment horizontal="left" wrapText="1"/>
    </xf>
    <xf numFmtId="14" fontId="10" fillId="0" borderId="0" xfId="5126" applyNumberFormat="1" applyFont="1" applyFill="1" applyBorder="1" applyAlignment="1">
      <alignment horizontal="center"/>
    </xf>
    <xf numFmtId="15" fontId="10" fillId="0" borderId="0" xfId="5126" applyNumberFormat="1" applyFont="1" applyFill="1" applyBorder="1" applyAlignment="1">
      <alignment horizontal="center"/>
    </xf>
    <xf numFmtId="193" fontId="79" fillId="0" borderId="0" xfId="14649" applyNumberFormat="1" applyFont="1" applyFill="1" applyBorder="1" applyAlignment="1">
      <alignment horizontal="center"/>
    </xf>
    <xf numFmtId="0" fontId="156" fillId="85" borderId="0" xfId="14648" applyFont="1" applyFill="1"/>
    <xf numFmtId="0" fontId="157" fillId="0" borderId="0" xfId="14648" applyFont="1" applyFill="1"/>
    <xf numFmtId="0" fontId="158" fillId="0" borderId="0" xfId="14648" applyFont="1" applyFill="1"/>
    <xf numFmtId="0" fontId="159" fillId="0" borderId="0" xfId="14648" applyFont="1"/>
    <xf numFmtId="0" fontId="160" fillId="0" borderId="0" xfId="14648" applyFont="1" applyFill="1"/>
    <xf numFmtId="0" fontId="3" fillId="0" borderId="0" xfId="14648" applyFont="1"/>
    <xf numFmtId="17" fontId="161" fillId="86" borderId="0" xfId="14648" applyNumberFormat="1" applyFont="1" applyFill="1" applyAlignment="1">
      <alignment horizontal="center" wrapText="1"/>
    </xf>
    <xf numFmtId="17" fontId="162" fillId="0" borderId="0" xfId="14648" applyNumberFormat="1" applyFont="1" applyAlignment="1">
      <alignment horizontal="center" wrapText="1"/>
    </xf>
    <xf numFmtId="195" fontId="0" fillId="0" borderId="0" xfId="14649" applyNumberFormat="1" applyFont="1"/>
    <xf numFmtId="0" fontId="3" fillId="0" borderId="0" xfId="14648" applyAlignment="1">
      <alignment vertical="top"/>
    </xf>
    <xf numFmtId="195" fontId="162" fillId="0" borderId="0" xfId="14649" applyNumberFormat="1" applyFont="1"/>
    <xf numFmtId="0" fontId="3" fillId="0" borderId="0" xfId="14648" applyAlignment="1">
      <alignment horizontal="left" indent="2"/>
    </xf>
    <xf numFmtId="195" fontId="163" fillId="0" borderId="0" xfId="14649" applyNumberFormat="1" applyFont="1"/>
    <xf numFmtId="164" fontId="0" fillId="0" borderId="0" xfId="14650" applyNumberFormat="1" applyFont="1"/>
    <xf numFmtId="164" fontId="162" fillId="0" borderId="0" xfId="14650" applyNumberFormat="1" applyFont="1"/>
    <xf numFmtId="164" fontId="163" fillId="0" borderId="0" xfId="14650" applyNumberFormat="1" applyFont="1"/>
    <xf numFmtId="49" fontId="10" fillId="0" borderId="0" xfId="5126" applyNumberFormat="1" applyFont="1" applyFill="1" applyBorder="1" applyAlignment="1">
      <alignment horizontal="center"/>
    </xf>
    <xf numFmtId="0" fontId="158" fillId="0" borderId="0" xfId="14652" applyFont="1"/>
    <xf numFmtId="0" fontId="168" fillId="0" borderId="0" xfId="14652" applyFont="1" applyFill="1"/>
    <xf numFmtId="0" fontId="170" fillId="0" borderId="0" xfId="14652" applyFont="1" applyFill="1" applyAlignment="1">
      <alignment horizontal="center"/>
    </xf>
    <xf numFmtId="0" fontId="160" fillId="0" borderId="0" xfId="14652" applyFont="1" applyAlignment="1">
      <alignment horizontal="center" wrapText="1"/>
    </xf>
    <xf numFmtId="0" fontId="171" fillId="0" borderId="0" xfId="14652" applyFont="1" applyAlignment="1">
      <alignment horizontal="center" wrapText="1"/>
    </xf>
    <xf numFmtId="0" fontId="172" fillId="0" borderId="0" xfId="14652" applyFont="1" applyAlignment="1">
      <alignment horizontal="center" wrapText="1"/>
    </xf>
    <xf numFmtId="0" fontId="161" fillId="0" borderId="0" xfId="14652" applyFont="1" applyAlignment="1">
      <alignment horizontal="center" wrapText="1"/>
    </xf>
    <xf numFmtId="0" fontId="172" fillId="0" borderId="0" xfId="14652" applyFont="1" applyAlignment="1">
      <alignment horizontal="left"/>
    </xf>
    <xf numFmtId="0" fontId="172" fillId="0" borderId="0" xfId="14652" applyFont="1" applyAlignment="1">
      <alignment horizontal="left" indent="1"/>
    </xf>
    <xf numFmtId="188" fontId="160" fillId="0" borderId="0" xfId="14653" applyNumberFormat="1" applyFont="1"/>
    <xf numFmtId="164" fontId="160" fillId="0" borderId="0" xfId="14654" applyNumberFormat="1" applyFont="1"/>
    <xf numFmtId="10" fontId="160" fillId="0" borderId="0" xfId="14655" applyNumberFormat="1" applyFont="1"/>
    <xf numFmtId="0" fontId="160" fillId="0" borderId="0" xfId="14652" applyFont="1"/>
    <xf numFmtId="188" fontId="160" fillId="0" borderId="0" xfId="14652" applyNumberFormat="1" applyFont="1"/>
    <xf numFmtId="0" fontId="172" fillId="87" borderId="0" xfId="14652" applyFont="1" applyFill="1" applyAlignment="1">
      <alignment horizontal="left" indent="1"/>
    </xf>
    <xf numFmtId="164" fontId="160" fillId="87" borderId="0" xfId="14654" applyNumberFormat="1" applyFont="1" applyFill="1"/>
    <xf numFmtId="10" fontId="160" fillId="87" borderId="0" xfId="14655" applyNumberFormat="1" applyFont="1" applyFill="1"/>
    <xf numFmtId="0" fontId="172" fillId="0" borderId="0" xfId="14652" applyFont="1" applyFill="1" applyAlignment="1">
      <alignment horizontal="left" indent="1"/>
    </xf>
    <xf numFmtId="164" fontId="160" fillId="0" borderId="0" xfId="14654" applyNumberFormat="1" applyFont="1" applyFill="1"/>
    <xf numFmtId="10" fontId="160" fillId="0" borderId="0" xfId="14655" applyNumberFormat="1" applyFont="1" applyFill="1"/>
    <xf numFmtId="0" fontId="160" fillId="0" borderId="0" xfId="14652" applyFont="1" applyFill="1"/>
    <xf numFmtId="164" fontId="160" fillId="88" borderId="0" xfId="14654" applyNumberFormat="1" applyFont="1" applyFill="1"/>
    <xf numFmtId="164" fontId="160" fillId="89" borderId="0" xfId="14654" applyNumberFormat="1" applyFont="1" applyFill="1"/>
    <xf numFmtId="164" fontId="173" fillId="0" borderId="0" xfId="14654" applyNumberFormat="1" applyFont="1"/>
    <xf numFmtId="0" fontId="172" fillId="0" borderId="0" xfId="14652" applyFont="1"/>
    <xf numFmtId="188" fontId="174" fillId="0" borderId="0" xfId="14653" applyNumberFormat="1" applyFont="1"/>
    <xf numFmtId="0" fontId="169" fillId="87" borderId="0" xfId="14652" applyFont="1" applyFill="1" applyAlignment="1">
      <alignment horizontal="center" wrapText="1"/>
    </xf>
    <xf numFmtId="9" fontId="160" fillId="0" borderId="0" xfId="14655" applyNumberFormat="1" applyFont="1"/>
    <xf numFmtId="9" fontId="160" fillId="87" borderId="0" xfId="14655" applyNumberFormat="1" applyFont="1" applyFill="1"/>
    <xf numFmtId="9" fontId="160" fillId="0" borderId="0" xfId="14655" applyNumberFormat="1" applyFont="1" applyFill="1"/>
    <xf numFmtId="49" fontId="10" fillId="0" borderId="0" xfId="5126" applyNumberFormat="1" applyFont="1" applyFill="1" applyBorder="1" applyAlignment="1">
      <alignment horizontal="center"/>
    </xf>
    <xf numFmtId="0" fontId="4" fillId="0" borderId="0" xfId="14645" applyFill="1"/>
    <xf numFmtId="0" fontId="10" fillId="0" borderId="0" xfId="0" applyFont="1" applyFill="1"/>
    <xf numFmtId="43" fontId="1" fillId="0" borderId="0" xfId="4" applyFont="1" applyFill="1" applyAlignment="1">
      <alignment horizontal="left"/>
    </xf>
    <xf numFmtId="164" fontId="10" fillId="0" borderId="0" xfId="4" applyNumberFormat="1" applyFont="1" applyFill="1"/>
    <xf numFmtId="164" fontId="1" fillId="0" borderId="0" xfId="4" applyNumberFormat="1" applyFont="1" applyFill="1" applyBorder="1"/>
    <xf numFmtId="49" fontId="10" fillId="0" borderId="0" xfId="5126" applyNumberFormat="1" applyFont="1" applyFill="1" applyBorder="1" applyAlignment="1">
      <alignment horizontal="center"/>
    </xf>
    <xf numFmtId="49" fontId="10" fillId="0" borderId="0" xfId="5126" applyNumberFormat="1" applyFont="1" applyFill="1" applyBorder="1" applyAlignment="1">
      <alignment horizontal="center"/>
    </xf>
    <xf numFmtId="0" fontId="10" fillId="0" borderId="0" xfId="5126" applyFont="1" applyFill="1" applyBorder="1" applyAlignment="1">
      <alignment horizontal="center"/>
    </xf>
    <xf numFmtId="0" fontId="79" fillId="0" borderId="26" xfId="5126" applyFont="1" applyFill="1" applyBorder="1" applyAlignment="1">
      <alignment horizontal="center"/>
    </xf>
    <xf numFmtId="37" fontId="15" fillId="0" borderId="0" xfId="14643" applyFont="1" applyAlignment="1">
      <alignment horizontal="center"/>
    </xf>
    <xf numFmtId="37" fontId="153" fillId="0" borderId="0" xfId="14643" quotePrefix="1" applyFont="1" applyAlignment="1">
      <alignment horizontal="center"/>
    </xf>
    <xf numFmtId="0" fontId="156" fillId="85" borderId="0" xfId="14652" applyFont="1" applyFill="1" applyAlignment="1">
      <alignment horizontal="center"/>
    </xf>
    <xf numFmtId="0" fontId="169" fillId="87" borderId="0" xfId="14652" applyFont="1" applyFill="1" applyAlignment="1">
      <alignment horizontal="center" wrapText="1"/>
    </xf>
    <xf numFmtId="164" fontId="0" fillId="0" borderId="48" xfId="4" applyNumberFormat="1" applyFont="1" applyBorder="1" applyAlignment="1">
      <alignment horizontal="center"/>
    </xf>
    <xf numFmtId="164" fontId="0" fillId="0" borderId="49" xfId="4" applyNumberFormat="1" applyFont="1" applyBorder="1" applyAlignment="1">
      <alignment horizontal="center"/>
    </xf>
    <xf numFmtId="164" fontId="0" fillId="0" borderId="50" xfId="4" applyNumberFormat="1" applyFont="1" applyBorder="1" applyAlignment="1">
      <alignment horizontal="center"/>
    </xf>
    <xf numFmtId="164" fontId="0" fillId="0" borderId="56" xfId="4" applyNumberFormat="1" applyFont="1" applyBorder="1" applyAlignment="1">
      <alignment horizontal="center"/>
    </xf>
    <xf numFmtId="164" fontId="0" fillId="0" borderId="57" xfId="4" applyNumberFormat="1" applyFont="1" applyBorder="1" applyAlignment="1">
      <alignment horizontal="center"/>
    </xf>
    <xf numFmtId="164" fontId="0" fillId="0" borderId="58" xfId="4" applyNumberFormat="1" applyFont="1" applyBorder="1" applyAlignment="1">
      <alignment horizontal="center"/>
    </xf>
    <xf numFmtId="164" fontId="0" fillId="0" borderId="52" xfId="4" applyNumberFormat="1" applyFont="1" applyBorder="1" applyAlignment="1">
      <alignment horizontal="center"/>
    </xf>
    <xf numFmtId="164" fontId="0" fillId="0" borderId="53" xfId="4" applyNumberFormat="1" applyFont="1" applyBorder="1" applyAlignment="1">
      <alignment horizontal="center"/>
    </xf>
    <xf numFmtId="0" fontId="79" fillId="0" borderId="26" xfId="5126" applyFont="1" applyFill="1" applyBorder="1" applyAlignment="1">
      <alignment horizontal="center" wrapText="1"/>
    </xf>
  </cellXfs>
  <cellStyles count="14656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6"/>
    <cellStyle name="Comma 118" xfId="14650"/>
    <cellStyle name="Comma 119" xfId="14654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7"/>
    <cellStyle name="Currency 177" xfId="14651"/>
    <cellStyle name="Currency 178" xfId="1465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5"/>
    <cellStyle name="Normal 85" xfId="14648"/>
    <cellStyle name="Normal 86" xfId="146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Composite Tax Rates" xfId="14644"/>
    <cellStyle name="Normal_KU RR Exhibits 12mosAPR 2008 SETTLEMENT JAN09 (Working File)" xfId="14643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9"/>
    <cellStyle name="Percent 19" xfId="14655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tabSelected="1" topLeftCell="A19" zoomScale="85" zoomScaleNormal="85" workbookViewId="0">
      <selection activeCell="B47" sqref="B47"/>
    </sheetView>
  </sheetViews>
  <sheetFormatPr defaultRowHeight="12.75" x14ac:dyDescent="0.2"/>
  <cols>
    <col min="1" max="1" width="6.85546875" style="6" customWidth="1"/>
    <col min="2" max="2" width="77.7109375" style="6" customWidth="1"/>
    <col min="3" max="3" width="15.5703125" style="6" customWidth="1"/>
    <col min="4" max="4" width="22.140625" style="6" customWidth="1"/>
    <col min="5" max="5" width="26" style="6" customWidth="1"/>
    <col min="6" max="8" width="16.7109375" style="6" customWidth="1"/>
    <col min="9" max="16384" width="9.140625" style="6"/>
  </cols>
  <sheetData>
    <row r="1" spans="1:8" ht="20.100000000000001" customHeight="1" x14ac:dyDescent="0.2">
      <c r="G1" s="4"/>
      <c r="H1" s="4" t="s">
        <v>333</v>
      </c>
    </row>
    <row r="2" spans="1:8" ht="20.100000000000001" customHeight="1" x14ac:dyDescent="0.2">
      <c r="G2" s="4"/>
      <c r="H2" s="4" t="s">
        <v>287</v>
      </c>
    </row>
    <row r="3" spans="1:8" s="2" customFormat="1" ht="20.100000000000001" customHeight="1" x14ac:dyDescent="0.2">
      <c r="A3" s="206" t="s">
        <v>0</v>
      </c>
      <c r="B3" s="206"/>
      <c r="C3" s="206"/>
      <c r="D3" s="206"/>
      <c r="E3" s="206"/>
      <c r="F3" s="206"/>
      <c r="G3" s="206"/>
      <c r="H3" s="206"/>
    </row>
    <row r="4" spans="1:8" s="2" customFormat="1" ht="20.100000000000001" customHeight="1" x14ac:dyDescent="0.2">
      <c r="A4" s="206" t="s">
        <v>332</v>
      </c>
      <c r="B4" s="206"/>
      <c r="C4" s="206"/>
      <c r="D4" s="206"/>
      <c r="E4" s="206"/>
      <c r="F4" s="206"/>
      <c r="G4" s="206"/>
      <c r="H4" s="206"/>
    </row>
    <row r="5" spans="1:8" s="2" customFormat="1" ht="20.100000000000001" customHeight="1" x14ac:dyDescent="0.2">
      <c r="A5" s="207" t="s">
        <v>9</v>
      </c>
      <c r="B5" s="207"/>
      <c r="C5" s="207"/>
      <c r="D5" s="207"/>
      <c r="E5" s="207"/>
      <c r="F5" s="207"/>
      <c r="G5" s="207"/>
      <c r="H5" s="207"/>
    </row>
    <row r="6" spans="1:8" s="2" customFormat="1" ht="20.100000000000001" customHeight="1" x14ac:dyDescent="0.2">
      <c r="D6" s="4"/>
      <c r="E6" s="4"/>
    </row>
    <row r="7" spans="1:8" s="2" customFormat="1" ht="20.100000000000001" customHeight="1" x14ac:dyDescent="0.2"/>
    <row r="8" spans="1:8" ht="71.25" customHeight="1" x14ac:dyDescent="0.2">
      <c r="A8" s="14" t="s">
        <v>5</v>
      </c>
      <c r="B8" s="14" t="s">
        <v>2</v>
      </c>
      <c r="C8" s="14" t="s">
        <v>10</v>
      </c>
      <c r="D8" s="14" t="s">
        <v>191</v>
      </c>
      <c r="E8" s="14" t="s">
        <v>115</v>
      </c>
      <c r="F8" s="14" t="s">
        <v>116</v>
      </c>
      <c r="G8" s="14" t="s">
        <v>325</v>
      </c>
      <c r="H8" s="14" t="s">
        <v>324</v>
      </c>
    </row>
    <row r="9" spans="1:8" ht="18.95" customHeight="1" x14ac:dyDescent="0.2">
      <c r="A9" s="7"/>
      <c r="B9" s="12"/>
      <c r="C9" s="12"/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</row>
    <row r="10" spans="1:8" ht="18.95" customHeight="1" x14ac:dyDescent="0.2">
      <c r="A10" s="7"/>
      <c r="B10" s="8"/>
      <c r="C10" s="8"/>
      <c r="D10" s="9"/>
      <c r="E10" s="9"/>
      <c r="F10" s="9"/>
      <c r="G10" s="9"/>
      <c r="H10" s="9"/>
    </row>
    <row r="11" spans="1:8" ht="18.95" customHeight="1" x14ac:dyDescent="0.2">
      <c r="A11" s="10">
        <v>1</v>
      </c>
      <c r="B11" s="8" t="s">
        <v>53</v>
      </c>
      <c r="C11" s="11" t="s">
        <v>188</v>
      </c>
      <c r="D11" s="9">
        <f>'SCH J-1 (ORDER)'!J22</f>
        <v>3607984535.7600722</v>
      </c>
      <c r="E11" s="9">
        <f>'Cost of Capital (PG2)'!J20</f>
        <v>3696723410.4801311</v>
      </c>
      <c r="F11" s="9">
        <f>E11-D11</f>
        <v>88738874.720058918</v>
      </c>
      <c r="G11" s="9"/>
      <c r="H11" s="9"/>
    </row>
    <row r="12" spans="1:8" ht="18.95" customHeight="1" x14ac:dyDescent="0.2">
      <c r="A12" s="10"/>
      <c r="B12" s="8"/>
      <c r="C12" s="11"/>
      <c r="D12" s="9"/>
      <c r="E12" s="9"/>
      <c r="F12" s="9"/>
      <c r="G12" s="9"/>
      <c r="H12" s="9"/>
    </row>
    <row r="13" spans="1:8" ht="18.95" customHeight="1" x14ac:dyDescent="0.2">
      <c r="A13" s="10">
        <v>2</v>
      </c>
      <c r="B13" s="8" t="s">
        <v>109</v>
      </c>
      <c r="C13" s="11" t="s">
        <v>188</v>
      </c>
      <c r="D13" s="20">
        <f>'SCH J-1 (ORDER)'!O22</f>
        <v>0.10252198219662211</v>
      </c>
      <c r="E13" s="20">
        <f>'Cost of Capital (PG2)'!O20</f>
        <v>8.9186012065431738E-2</v>
      </c>
      <c r="F13" s="20">
        <f>E13-D13</f>
        <v>-1.3335970131190367E-2</v>
      </c>
      <c r="G13" s="20"/>
      <c r="H13" s="20"/>
    </row>
    <row r="14" spans="1:8" ht="18.95" customHeight="1" x14ac:dyDescent="0.2">
      <c r="A14" s="10"/>
      <c r="B14" s="8"/>
      <c r="C14" s="11"/>
      <c r="D14" s="9"/>
      <c r="E14" s="9"/>
      <c r="F14" s="9"/>
      <c r="G14" s="9"/>
      <c r="H14" s="9"/>
    </row>
    <row r="15" spans="1:8" ht="18.95" customHeight="1" x14ac:dyDescent="0.2">
      <c r="A15" s="10">
        <v>3</v>
      </c>
      <c r="B15" s="19" t="s">
        <v>139</v>
      </c>
      <c r="C15" s="11"/>
      <c r="D15" s="9">
        <f>D11*D13</f>
        <v>369897726.340882</v>
      </c>
      <c r="E15" s="9">
        <f>E11*E13</f>
        <v>329696018.68964493</v>
      </c>
      <c r="F15" s="9">
        <f>E15-D15</f>
        <v>-40201707.651237071</v>
      </c>
      <c r="G15" s="9"/>
      <c r="H15" s="9"/>
    </row>
    <row r="16" spans="1:8" ht="18.95" customHeight="1" x14ac:dyDescent="0.2">
      <c r="A16" s="10"/>
      <c r="B16" s="19"/>
      <c r="C16" s="11"/>
      <c r="D16" s="9"/>
      <c r="E16" s="9"/>
      <c r="F16" s="9"/>
      <c r="G16" s="9"/>
      <c r="H16" s="9"/>
    </row>
    <row r="17" spans="1:8" ht="18.95" customHeight="1" x14ac:dyDescent="0.2">
      <c r="A17" s="10">
        <v>4</v>
      </c>
      <c r="B17" s="19" t="s">
        <v>117</v>
      </c>
      <c r="C17" s="11"/>
      <c r="D17" s="9"/>
      <c r="E17" s="9"/>
      <c r="F17" s="40">
        <f>16/12</f>
        <v>1.3333333333333333</v>
      </c>
      <c r="G17" s="40"/>
      <c r="H17" s="40"/>
    </row>
    <row r="18" spans="1:8" ht="18.95" customHeight="1" x14ac:dyDescent="0.2">
      <c r="A18" s="10"/>
      <c r="B18" s="19"/>
      <c r="C18" s="11"/>
      <c r="D18" s="9"/>
      <c r="E18" s="9"/>
      <c r="F18" s="9"/>
      <c r="G18" s="9"/>
      <c r="H18" s="9"/>
    </row>
    <row r="19" spans="1:8" ht="18.95" customHeight="1" x14ac:dyDescent="0.2">
      <c r="A19" s="10">
        <v>5</v>
      </c>
      <c r="B19" s="19" t="s">
        <v>138</v>
      </c>
      <c r="C19" s="11"/>
      <c r="D19" s="21"/>
      <c r="E19" s="21"/>
      <c r="F19" s="9">
        <f>F15*F17</f>
        <v>-53602276.868316092</v>
      </c>
      <c r="G19" s="9"/>
      <c r="H19" s="9"/>
    </row>
    <row r="20" spans="1:8" ht="18.95" customHeight="1" x14ac:dyDescent="0.2">
      <c r="B20" s="19"/>
      <c r="C20" s="11"/>
    </row>
    <row r="21" spans="1:8" ht="18.95" customHeight="1" x14ac:dyDescent="0.2">
      <c r="A21" s="10">
        <v>6</v>
      </c>
      <c r="B21" s="19" t="s">
        <v>194</v>
      </c>
      <c r="C21" s="11"/>
      <c r="D21" s="9"/>
      <c r="E21" s="9">
        <f>-'Excess DIT'!D35</f>
        <v>-11459996.700417886</v>
      </c>
      <c r="F21" s="9"/>
      <c r="G21" s="9"/>
      <c r="H21" s="9"/>
    </row>
    <row r="22" spans="1:8" ht="18.95" customHeight="1" x14ac:dyDescent="0.2">
      <c r="A22" s="10"/>
      <c r="B22" s="19"/>
      <c r="C22" s="11"/>
      <c r="D22" s="9"/>
      <c r="E22" s="9"/>
      <c r="F22" s="9"/>
      <c r="G22" s="9"/>
      <c r="H22" s="9"/>
    </row>
    <row r="23" spans="1:8" ht="18.95" customHeight="1" x14ac:dyDescent="0.2">
      <c r="A23" s="10">
        <v>7</v>
      </c>
      <c r="B23" s="19" t="s">
        <v>192</v>
      </c>
      <c r="C23" s="11"/>
      <c r="D23" s="9"/>
      <c r="E23" s="9">
        <f>-'Excess DIT'!D36</f>
        <v>-850809.87865411106</v>
      </c>
      <c r="F23" s="9"/>
      <c r="G23" s="9"/>
      <c r="H23" s="9"/>
    </row>
    <row r="24" spans="1:8" ht="18.95" customHeight="1" x14ac:dyDescent="0.2">
      <c r="A24" s="10"/>
      <c r="B24" s="19"/>
      <c r="C24" s="11"/>
      <c r="D24" s="9"/>
      <c r="E24" s="9"/>
      <c r="F24" s="9"/>
      <c r="G24" s="9"/>
      <c r="H24" s="9"/>
    </row>
    <row r="25" spans="1:8" ht="18.95" customHeight="1" x14ac:dyDescent="0.2">
      <c r="A25" s="10">
        <v>8</v>
      </c>
      <c r="B25" s="19" t="s">
        <v>137</v>
      </c>
      <c r="C25" s="11"/>
      <c r="D25" s="9"/>
      <c r="E25" s="9">
        <f>SUM(E21:E23)</f>
        <v>-12310806.579071997</v>
      </c>
      <c r="F25" s="9"/>
      <c r="G25" s="9"/>
      <c r="H25" s="9"/>
    </row>
    <row r="26" spans="1:8" ht="18.95" customHeight="1" x14ac:dyDescent="0.2">
      <c r="B26" s="19"/>
      <c r="C26" s="11"/>
    </row>
    <row r="27" spans="1:8" ht="18.95" customHeight="1" x14ac:dyDescent="0.2">
      <c r="A27" s="10">
        <v>9</v>
      </c>
      <c r="B27" s="19" t="str">
        <f>CONCATENATE("GROSS-UP FACTOR USING ",TEXT('Effective Tax Rate (PG7)'!$F$23,"0.00%")," EFFECTIVE TAX RATE")</f>
        <v>GROSS-UP FACTOR USING 25.74% EFFECTIVE TAX RATE</v>
      </c>
      <c r="D27" s="42"/>
      <c r="E27" s="92">
        <f>1/(1-'Effective Tax Rate (PG7)'!F23)</f>
        <v>1.3466199838405604</v>
      </c>
      <c r="F27" s="42"/>
      <c r="G27" s="42"/>
      <c r="H27" s="42"/>
    </row>
    <row r="28" spans="1:8" ht="18.95" customHeight="1" x14ac:dyDescent="0.2">
      <c r="A28" s="10"/>
      <c r="B28" s="8"/>
    </row>
    <row r="29" spans="1:8" ht="18.95" customHeight="1" x14ac:dyDescent="0.2">
      <c r="A29" s="10">
        <v>10</v>
      </c>
      <c r="B29" s="8" t="s">
        <v>140</v>
      </c>
      <c r="D29" s="20"/>
      <c r="E29" s="20"/>
      <c r="F29" s="9">
        <f>E25*E27</f>
        <v>-16577978.156574197</v>
      </c>
      <c r="G29" s="9"/>
      <c r="H29" s="9"/>
    </row>
    <row r="30" spans="1:8" ht="18.95" customHeight="1" x14ac:dyDescent="0.2">
      <c r="B30" s="19"/>
      <c r="C30" s="11"/>
      <c r="H30" s="132"/>
    </row>
    <row r="31" spans="1:8" ht="18.95" customHeight="1" x14ac:dyDescent="0.2">
      <c r="A31" s="109">
        <v>11</v>
      </c>
      <c r="B31" s="18" t="s">
        <v>141</v>
      </c>
      <c r="C31" s="110"/>
      <c r="D31" s="111"/>
      <c r="E31" s="111"/>
      <c r="F31" s="112">
        <f>F19+F29</f>
        <v>-70180255.024890289</v>
      </c>
      <c r="G31" s="112">
        <f>F31*'TY TARIFF BILLING'!K7</f>
        <v>-27370299.459707212</v>
      </c>
      <c r="H31" s="112">
        <f>F31-G31</f>
        <v>-42809955.565183073</v>
      </c>
    </row>
    <row r="32" spans="1:8" ht="18.95" customHeight="1" x14ac:dyDescent="0.2">
      <c r="C32" s="11"/>
    </row>
    <row r="33" spans="1:8" ht="18.95" customHeight="1" x14ac:dyDescent="0.2">
      <c r="A33" s="10">
        <v>12</v>
      </c>
      <c r="B33" s="8" t="s">
        <v>189</v>
      </c>
      <c r="D33" s="20"/>
      <c r="E33" s="20"/>
      <c r="F33" s="9">
        <f>'TY KWH-RS vs Non-RS'!B$7/12*13</f>
        <v>19857410574.649944</v>
      </c>
      <c r="G33" s="9">
        <f>'TY KWH-RS vs Non-RS'!B$5/12*13</f>
        <v>6599267393.0774231</v>
      </c>
      <c r="H33" s="9">
        <f>'TY KWH-RS vs Non-RS'!B$6/12*13</f>
        <v>13258143181.572523</v>
      </c>
    </row>
    <row r="34" spans="1:8" ht="18.95" customHeight="1" x14ac:dyDescent="0.2">
      <c r="C34" s="11"/>
    </row>
    <row r="35" spans="1:8" ht="18.95" customHeight="1" x14ac:dyDescent="0.2">
      <c r="A35" s="10">
        <v>13</v>
      </c>
      <c r="B35" s="8" t="s">
        <v>146</v>
      </c>
      <c r="D35" s="20"/>
      <c r="E35" s="20"/>
      <c r="F35" s="113"/>
      <c r="G35" s="113">
        <f t="shared" ref="G35:H35" si="0">G31/G33</f>
        <v>-4.1474754437770519E-3</v>
      </c>
      <c r="H35" s="113">
        <f t="shared" si="0"/>
        <v>-3.2289555919628758E-3</v>
      </c>
    </row>
    <row r="36" spans="1:8" ht="18.95" customHeight="1" x14ac:dyDescent="0.2">
      <c r="A36" s="10"/>
      <c r="B36" s="8"/>
      <c r="D36" s="20"/>
      <c r="E36" s="20"/>
      <c r="F36" s="113"/>
      <c r="G36" s="113"/>
      <c r="H36" s="113"/>
    </row>
    <row r="37" spans="1:8" s="110" customFormat="1" ht="18.95" customHeight="1" x14ac:dyDescent="0.2">
      <c r="A37" s="109"/>
      <c r="B37" s="18"/>
      <c r="D37" s="111"/>
      <c r="E37" s="111"/>
      <c r="F37" s="112"/>
      <c r="G37" s="113"/>
      <c r="H37" s="113"/>
    </row>
    <row r="38" spans="1:8" ht="18.95" customHeight="1" x14ac:dyDescent="0.2">
      <c r="A38" s="10"/>
      <c r="B38" s="8"/>
      <c r="D38" s="20"/>
      <c r="E38" s="20"/>
      <c r="F38" s="113"/>
      <c r="G38" s="113"/>
      <c r="H38" s="113"/>
    </row>
    <row r="39" spans="1:8" s="110" customFormat="1" ht="18.95" customHeight="1" x14ac:dyDescent="0.2">
      <c r="A39" s="109"/>
      <c r="B39" s="18"/>
      <c r="D39" s="111"/>
      <c r="E39" s="111"/>
      <c r="F39" s="112"/>
      <c r="G39" s="113"/>
      <c r="H39" s="113"/>
    </row>
    <row r="40" spans="1:8" ht="18.95" customHeight="1" x14ac:dyDescent="0.2">
      <c r="C40" s="11"/>
    </row>
    <row r="41" spans="1:8" ht="18.95" customHeight="1" x14ac:dyDescent="0.2">
      <c r="B41" s="8" t="s">
        <v>275</v>
      </c>
      <c r="C41" s="11"/>
    </row>
    <row r="42" spans="1:8" ht="18.95" customHeight="1" x14ac:dyDescent="0.2">
      <c r="A42" s="109">
        <v>14</v>
      </c>
      <c r="B42" s="18" t="s">
        <v>206</v>
      </c>
      <c r="C42" s="11"/>
      <c r="F42" s="112">
        <f>F31/16</f>
        <v>-4386265.939055643</v>
      </c>
      <c r="G42" s="112">
        <f t="shared" ref="G42:H42" si="1">G31/16</f>
        <v>-1710643.7162317007</v>
      </c>
      <c r="H42" s="112">
        <f t="shared" si="1"/>
        <v>-2675622.2228239421</v>
      </c>
    </row>
    <row r="43" spans="1:8" ht="18.95" customHeight="1" x14ac:dyDescent="0.2">
      <c r="C43" s="11"/>
    </row>
    <row r="44" spans="1:8" ht="18.95" customHeight="1" x14ac:dyDescent="0.2">
      <c r="A44" s="10">
        <v>15</v>
      </c>
      <c r="B44" s="8" t="s">
        <v>207</v>
      </c>
      <c r="C44" s="11"/>
      <c r="F44" s="9">
        <f>'TY KWH-RS vs Non-RS'!B$7/12</f>
        <v>1527493121.1269188</v>
      </c>
      <c r="G44" s="9">
        <f>'TY KWH-RS vs Non-RS'!B$5/12</f>
        <v>507635953.31364793</v>
      </c>
      <c r="H44" s="9">
        <f>'TY KWH-RS vs Non-RS'!B$6/12</f>
        <v>1019857167.813271</v>
      </c>
    </row>
    <row r="45" spans="1:8" ht="18.95" customHeight="1" x14ac:dyDescent="0.2">
      <c r="C45" s="11"/>
    </row>
    <row r="46" spans="1:8" ht="18.95" customHeight="1" x14ac:dyDescent="0.2">
      <c r="A46" s="10">
        <v>16</v>
      </c>
      <c r="B46" s="8" t="s">
        <v>334</v>
      </c>
      <c r="C46" s="11"/>
      <c r="F46" s="113">
        <f>F42/F44</f>
        <v>-2.8715454612454456E-3</v>
      </c>
      <c r="G46" s="113">
        <f t="shared" ref="G46:H46" si="2">G42/G44</f>
        <v>-3.3698237980688546E-3</v>
      </c>
      <c r="H46" s="113">
        <f t="shared" si="2"/>
        <v>-2.6235264184698366E-3</v>
      </c>
    </row>
    <row r="47" spans="1:8" ht="18.95" customHeight="1" x14ac:dyDescent="0.2">
      <c r="C47" s="19"/>
      <c r="D47" s="9"/>
      <c r="E47" s="9"/>
      <c r="F47" s="11"/>
      <c r="G47" s="11"/>
      <c r="H47" s="11"/>
    </row>
    <row r="48" spans="1:8" ht="18.95" customHeight="1" x14ac:dyDescent="0.2">
      <c r="C48" s="19"/>
      <c r="D48" s="9"/>
      <c r="E48" s="9"/>
      <c r="F48" s="11"/>
      <c r="G48" s="11"/>
      <c r="H48" s="11"/>
    </row>
    <row r="49" spans="6:8" ht="18.95" customHeight="1" x14ac:dyDescent="0.2">
      <c r="F49" s="11"/>
      <c r="G49" s="11"/>
      <c r="H49" s="11"/>
    </row>
    <row r="50" spans="6:8" ht="18.95" customHeight="1" x14ac:dyDescent="0.2"/>
    <row r="51" spans="6:8" ht="18.95" customHeight="1" x14ac:dyDescent="0.2"/>
    <row r="52" spans="6:8" ht="18.95" customHeight="1" x14ac:dyDescent="0.2"/>
    <row r="53" spans="6:8" ht="18.95" customHeight="1" x14ac:dyDescent="0.2"/>
    <row r="54" spans="6:8" ht="18.95" customHeight="1" x14ac:dyDescent="0.2"/>
    <row r="55" spans="6:8" ht="18.95" customHeight="1" x14ac:dyDescent="0.2"/>
    <row r="56" spans="6:8" ht="18.95" customHeight="1" x14ac:dyDescent="0.2"/>
    <row r="57" spans="6:8" ht="18.95" customHeight="1" x14ac:dyDescent="0.2"/>
    <row r="58" spans="6:8" ht="18.95" customHeight="1" x14ac:dyDescent="0.2"/>
    <row r="59" spans="6:8" ht="18.95" customHeight="1" x14ac:dyDescent="0.2"/>
    <row r="60" spans="6:8" ht="18.95" customHeight="1" x14ac:dyDescent="0.2"/>
    <row r="61" spans="6:8" ht="18.95" customHeight="1" x14ac:dyDescent="0.2"/>
    <row r="62" spans="6:8" ht="18.95" customHeight="1" x14ac:dyDescent="0.2"/>
    <row r="63" spans="6:8" ht="18.95" customHeight="1" x14ac:dyDescent="0.2"/>
    <row r="64" spans="6:8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</sheetData>
  <mergeCells count="3">
    <mergeCell ref="A3:H3"/>
    <mergeCell ref="A4:H4"/>
    <mergeCell ref="A5:H5"/>
  </mergeCells>
  <printOptions horizontalCentered="1"/>
  <pageMargins left="0.75" right="0.75" top="0.75" bottom="0.75" header="0.3" footer="0.3"/>
  <pageSetup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workbookViewId="0">
      <selection activeCell="A13" sqref="A13"/>
    </sheetView>
  </sheetViews>
  <sheetFormatPr defaultRowHeight="12.75" x14ac:dyDescent="0.2"/>
  <cols>
    <col min="1" max="1" width="9.7109375" customWidth="1"/>
    <col min="2" max="2" width="27.7109375" customWidth="1"/>
    <col min="3" max="7" width="16.28515625" customWidth="1"/>
  </cols>
  <sheetData>
    <row r="1" spans="1:7" ht="15" x14ac:dyDescent="0.25">
      <c r="A1" s="116" t="s">
        <v>118</v>
      </c>
      <c r="C1" s="96"/>
      <c r="D1" s="96"/>
      <c r="E1" s="96"/>
      <c r="F1" s="96"/>
      <c r="G1" s="96"/>
    </row>
    <row r="2" spans="1:7" x14ac:dyDescent="0.2">
      <c r="A2" t="s">
        <v>119</v>
      </c>
      <c r="C2" s="96"/>
      <c r="D2" s="96"/>
      <c r="E2" s="96"/>
      <c r="F2" s="96"/>
      <c r="G2" s="96"/>
    </row>
    <row r="3" spans="1:7" ht="13.5" thickBot="1" x14ac:dyDescent="0.25">
      <c r="C3" s="96"/>
      <c r="D3" s="96"/>
      <c r="E3" s="96"/>
      <c r="F3" s="96"/>
      <c r="G3" s="96"/>
    </row>
    <row r="4" spans="1:7" ht="13.5" thickBot="1" x14ac:dyDescent="0.25">
      <c r="C4" s="213" t="s">
        <v>120</v>
      </c>
      <c r="D4" s="214"/>
      <c r="E4" s="214"/>
      <c r="F4" s="214"/>
      <c r="G4" s="215"/>
    </row>
    <row r="5" spans="1:7" x14ac:dyDescent="0.2">
      <c r="C5" s="98"/>
      <c r="D5" s="219" t="s">
        <v>195</v>
      </c>
      <c r="E5" s="220"/>
      <c r="F5" s="219" t="s">
        <v>196</v>
      </c>
      <c r="G5" s="220"/>
    </row>
    <row r="6" spans="1:7" ht="15" x14ac:dyDescent="0.25">
      <c r="A6" s="99"/>
      <c r="B6" s="99"/>
      <c r="C6" s="100" t="s">
        <v>122</v>
      </c>
      <c r="D6" s="117" t="s">
        <v>123</v>
      </c>
      <c r="E6" s="100" t="s">
        <v>124</v>
      </c>
      <c r="F6" s="117" t="s">
        <v>125</v>
      </c>
      <c r="G6" s="100" t="s">
        <v>197</v>
      </c>
    </row>
    <row r="7" spans="1:7" x14ac:dyDescent="0.2">
      <c r="B7" s="118" t="s">
        <v>126</v>
      </c>
      <c r="C7" s="96">
        <f>SUM(D7:G7)</f>
        <v>-454519875</v>
      </c>
      <c r="D7" s="119">
        <f>-463117331-G7-F7</f>
        <v>-354831907.27999997</v>
      </c>
      <c r="E7" s="96">
        <v>8597456</v>
      </c>
      <c r="F7" s="119">
        <v>-107594802</v>
      </c>
      <c r="G7" s="96">
        <v>-690621.72</v>
      </c>
    </row>
    <row r="8" spans="1:7" x14ac:dyDescent="0.2">
      <c r="B8" s="118" t="s">
        <v>127</v>
      </c>
      <c r="C8" s="96">
        <f t="shared" ref="C8:G9" si="0">+C7+C14</f>
        <v>-445124392.93718392</v>
      </c>
      <c r="D8" s="119">
        <f t="shared" si="0"/>
        <v>-345424733.89168793</v>
      </c>
      <c r="E8" s="96">
        <f t="shared" si="0"/>
        <v>8419736.0628160648</v>
      </c>
      <c r="F8" s="119">
        <f t="shared" si="0"/>
        <v>-107428773.38831204</v>
      </c>
      <c r="G8" s="96">
        <f t="shared" si="0"/>
        <v>-690621.72</v>
      </c>
    </row>
    <row r="9" spans="1:7" x14ac:dyDescent="0.2">
      <c r="B9" s="118" t="s">
        <v>129</v>
      </c>
      <c r="C9" s="96">
        <f t="shared" si="0"/>
        <v>-441463901.83821523</v>
      </c>
      <c r="D9" s="119">
        <f t="shared" si="0"/>
        <v>-341757848.34069574</v>
      </c>
      <c r="E9" s="96">
        <f t="shared" si="0"/>
        <v>8350496.1617847299</v>
      </c>
      <c r="F9" s="119">
        <f t="shared" si="0"/>
        <v>-107365927.93930426</v>
      </c>
      <c r="G9" s="96">
        <f t="shared" si="0"/>
        <v>-690621.72</v>
      </c>
    </row>
    <row r="10" spans="1:7" ht="13.5" thickBot="1" x14ac:dyDescent="0.25"/>
    <row r="11" spans="1:7" ht="13.5" thickBot="1" x14ac:dyDescent="0.25">
      <c r="B11" s="98"/>
      <c r="C11" s="213" t="s">
        <v>121</v>
      </c>
      <c r="D11" s="214"/>
      <c r="E11" s="214"/>
      <c r="F11" s="214"/>
      <c r="G11" s="215"/>
    </row>
    <row r="12" spans="1:7" x14ac:dyDescent="0.2">
      <c r="B12" s="98"/>
      <c r="C12" s="98"/>
      <c r="D12" s="216" t="s">
        <v>195</v>
      </c>
      <c r="E12" s="217"/>
      <c r="F12" s="216" t="s">
        <v>196</v>
      </c>
      <c r="G12" s="218"/>
    </row>
    <row r="13" spans="1:7" ht="15" x14ac:dyDescent="0.25">
      <c r="B13" s="101"/>
      <c r="C13" s="100" t="s">
        <v>122</v>
      </c>
      <c r="D13" s="120" t="s">
        <v>123</v>
      </c>
      <c r="E13" s="101" t="s">
        <v>124</v>
      </c>
      <c r="F13" s="120" t="s">
        <v>125</v>
      </c>
      <c r="G13" s="101" t="s">
        <v>197</v>
      </c>
    </row>
    <row r="14" spans="1:7" x14ac:dyDescent="0.2">
      <c r="B14" s="102" t="s">
        <v>128</v>
      </c>
      <c r="C14" s="96">
        <f>SUM(D14:G14)</f>
        <v>9395482.0628160648</v>
      </c>
      <c r="D14" s="119">
        <f>9573202-F14</f>
        <v>9407173.3883120418</v>
      </c>
      <c r="E14" s="97">
        <f>SUM(D14,F14,G14)/SUM($D$7,$F$7,$G$7)*$E$7</f>
        <v>-177719.93718393578</v>
      </c>
      <c r="F14" s="119">
        <v>166028.61168795824</v>
      </c>
      <c r="G14" s="97">
        <v>0</v>
      </c>
    </row>
    <row r="15" spans="1:7" x14ac:dyDescent="0.2">
      <c r="B15" s="102" t="s">
        <v>198</v>
      </c>
      <c r="C15" s="96">
        <f>SUM(D15:G15)</f>
        <v>3660491.0989686651</v>
      </c>
      <c r="D15" s="119">
        <f>11189193/12*4-F15</f>
        <v>3666885.5509922155</v>
      </c>
      <c r="E15" s="97">
        <f>SUM(D15,F15,G15)/SUM($D$7,$F$7,$G$7)*$E$7</f>
        <v>-69239.901031334972</v>
      </c>
      <c r="F15" s="119">
        <f>188536.347023353/12*4</f>
        <v>62845.449007784337</v>
      </c>
      <c r="G15" s="97">
        <v>0</v>
      </c>
    </row>
    <row r="16" spans="1:7" ht="13.5" thickBot="1" x14ac:dyDescent="0.25">
      <c r="B16" s="121" t="s">
        <v>199</v>
      </c>
      <c r="C16" s="122">
        <f>SUM(C14:C15)</f>
        <v>13055973.161784731</v>
      </c>
      <c r="D16" s="123">
        <f t="shared" ref="D16:G16" si="1">SUM(D14:D15)</f>
        <v>13074058.939304257</v>
      </c>
      <c r="E16" s="122">
        <f t="shared" si="1"/>
        <v>-246959.83821527075</v>
      </c>
      <c r="F16" s="123">
        <f t="shared" si="1"/>
        <v>228874.06069574258</v>
      </c>
      <c r="G16" s="122">
        <f t="shared" si="1"/>
        <v>0</v>
      </c>
    </row>
    <row r="17" spans="2:5" x14ac:dyDescent="0.2">
      <c r="C17" s="124">
        <f>+C16-C22</f>
        <v>0</v>
      </c>
    </row>
    <row r="18" spans="2:5" x14ac:dyDescent="0.2">
      <c r="C18" s="124"/>
    </row>
    <row r="19" spans="2:5" ht="15" x14ac:dyDescent="0.25">
      <c r="B19" s="125" t="s">
        <v>331</v>
      </c>
    </row>
    <row r="20" spans="2:5" ht="15" x14ac:dyDescent="0.25">
      <c r="B20" s="126" t="s">
        <v>130</v>
      </c>
    </row>
    <row r="21" spans="2:5" ht="15" x14ac:dyDescent="0.25">
      <c r="C21" s="100" t="s">
        <v>122</v>
      </c>
      <c r="D21" s="100" t="s">
        <v>123</v>
      </c>
      <c r="E21" s="100" t="s">
        <v>125</v>
      </c>
    </row>
    <row r="22" spans="2:5" x14ac:dyDescent="0.2">
      <c r="B22" t="s">
        <v>131</v>
      </c>
      <c r="C22" s="96">
        <f>SUM(D22:E22)</f>
        <v>13055973.161784729</v>
      </c>
      <c r="D22" s="96">
        <f>SUM(D$14:E$15)</f>
        <v>12827099.101088986</v>
      </c>
      <c r="E22" s="96">
        <f>SUM(F$14:F$15)</f>
        <v>228874.06069574258</v>
      </c>
    </row>
    <row r="23" spans="2:5" x14ac:dyDescent="0.2">
      <c r="B23" t="s">
        <v>132</v>
      </c>
      <c r="C23" s="96">
        <f>SUM(D23:E23)</f>
        <v>1160096.9137777782</v>
      </c>
      <c r="D23" s="96">
        <v>952305.91377777816</v>
      </c>
      <c r="E23" s="96">
        <v>207791</v>
      </c>
    </row>
    <row r="24" spans="2:5" ht="13.5" thickBot="1" x14ac:dyDescent="0.25">
      <c r="B24" t="s">
        <v>133</v>
      </c>
      <c r="C24" s="103">
        <f>SUM(C22:C23)</f>
        <v>14216070.075562507</v>
      </c>
      <c r="D24" s="103">
        <f t="shared" ref="D24:E24" si="2">SUM(D22:D23)</f>
        <v>13779405.014866764</v>
      </c>
      <c r="E24" s="103">
        <f t="shared" si="2"/>
        <v>436665.06069574261</v>
      </c>
    </row>
    <row r="27" spans="2:5" ht="17.25" x14ac:dyDescent="0.4">
      <c r="B27" s="127" t="s">
        <v>200</v>
      </c>
    </row>
    <row r="28" spans="2:5" x14ac:dyDescent="0.2">
      <c r="B28" s="128" t="s">
        <v>201</v>
      </c>
      <c r="C28" s="124">
        <f>+SUM(D7:E7)</f>
        <v>-346234451.27999997</v>
      </c>
      <c r="D28">
        <f>D33</f>
        <v>0.89342076568543571</v>
      </c>
      <c r="E28" s="124">
        <f>C28*D28</f>
        <v>-309333048.56925428</v>
      </c>
    </row>
    <row r="29" spans="2:5" x14ac:dyDescent="0.2">
      <c r="B29" s="128" t="s">
        <v>202</v>
      </c>
      <c r="C29" s="124">
        <f>+SUM(F7:G7)</f>
        <v>-108285423.72</v>
      </c>
    </row>
    <row r="30" spans="2:5" ht="13.5" thickBot="1" x14ac:dyDescent="0.25">
      <c r="B30" s="128"/>
      <c r="C30" s="103">
        <f>SUM(C28:C29)</f>
        <v>-454519875</v>
      </c>
    </row>
    <row r="31" spans="2:5" x14ac:dyDescent="0.2">
      <c r="C31" s="124">
        <f>+C30-C7</f>
        <v>0</v>
      </c>
    </row>
    <row r="33" spans="1:6" ht="15" x14ac:dyDescent="0.25">
      <c r="A33" s="200"/>
      <c r="B33" s="128" t="s">
        <v>136</v>
      </c>
      <c r="C33" s="200"/>
      <c r="D33">
        <v>0.89342076568543571</v>
      </c>
    </row>
    <row r="34" spans="1:6" ht="15" x14ac:dyDescent="0.25">
      <c r="A34" s="200"/>
      <c r="B34" s="128"/>
      <c r="C34" s="200"/>
      <c r="D34" s="200"/>
    </row>
    <row r="35" spans="1:6" ht="15" x14ac:dyDescent="0.25">
      <c r="A35" s="128" t="s">
        <v>135</v>
      </c>
      <c r="B35" s="128" t="s">
        <v>131</v>
      </c>
      <c r="C35" s="200"/>
      <c r="D35" s="96">
        <f>D22*D33</f>
        <v>11459996.700417886</v>
      </c>
    </row>
    <row r="36" spans="1:6" ht="15" x14ac:dyDescent="0.25">
      <c r="A36" s="128" t="s">
        <v>135</v>
      </c>
      <c r="B36" s="128" t="s">
        <v>132</v>
      </c>
      <c r="C36" s="200"/>
      <c r="D36" s="96">
        <f>D23*D33</f>
        <v>850809.87865411106</v>
      </c>
      <c r="E36" s="129"/>
    </row>
    <row r="37" spans="1:6" ht="15.75" thickBot="1" x14ac:dyDescent="0.3">
      <c r="A37" s="128" t="s">
        <v>135</v>
      </c>
      <c r="B37" s="128" t="s">
        <v>133</v>
      </c>
      <c r="C37" s="200"/>
      <c r="D37" s="103">
        <f>SUM(D35:D36)</f>
        <v>12310806.579071997</v>
      </c>
    </row>
    <row r="40" spans="1:6" ht="15" x14ac:dyDescent="0.25">
      <c r="B40" s="104" t="s">
        <v>118</v>
      </c>
      <c r="C40" s="96"/>
      <c r="D40" s="96"/>
      <c r="E40" s="96"/>
      <c r="F40" s="96"/>
    </row>
    <row r="41" spans="1:6" x14ac:dyDescent="0.2">
      <c r="B41" s="105" t="s">
        <v>147</v>
      </c>
      <c r="C41" s="96"/>
      <c r="D41" s="96"/>
      <c r="E41" s="96"/>
      <c r="F41" s="96"/>
    </row>
    <row r="42" spans="1:6" x14ac:dyDescent="0.2">
      <c r="B42" s="105"/>
      <c r="C42" s="96"/>
      <c r="D42" s="96"/>
      <c r="E42" s="96"/>
      <c r="F42" s="96"/>
    </row>
    <row r="43" spans="1:6" ht="51.75" x14ac:dyDescent="0.4">
      <c r="B43" s="106" t="s">
        <v>148</v>
      </c>
      <c r="C43" s="107" t="s">
        <v>149</v>
      </c>
      <c r="D43" s="107" t="s">
        <v>150</v>
      </c>
      <c r="E43" s="107" t="s">
        <v>151</v>
      </c>
      <c r="F43" s="107" t="s">
        <v>152</v>
      </c>
    </row>
    <row r="44" spans="1:6" x14ac:dyDescent="0.2">
      <c r="B44" s="105"/>
      <c r="C44" s="96"/>
      <c r="D44" s="96"/>
      <c r="E44" s="96"/>
      <c r="F44" s="96"/>
    </row>
    <row r="45" spans="1:6" x14ac:dyDescent="0.2">
      <c r="B45" s="105" t="s">
        <v>153</v>
      </c>
      <c r="C45" s="96">
        <v>-567175.02</v>
      </c>
      <c r="D45" s="96">
        <v>-220631.07</v>
      </c>
      <c r="E45" s="96">
        <v>-145990.82999999999</v>
      </c>
      <c r="F45" s="97">
        <f>+E45-D45</f>
        <v>74640.24000000002</v>
      </c>
    </row>
    <row r="46" spans="1:6" x14ac:dyDescent="0.2">
      <c r="B46" s="105" t="s">
        <v>154</v>
      </c>
      <c r="C46" s="96">
        <v>-14786163.199999999</v>
      </c>
      <c r="D46" s="96">
        <v>-5751817.4800000004</v>
      </c>
      <c r="E46" s="96">
        <v>-3805958.4</v>
      </c>
      <c r="F46" s="97">
        <f t="shared" ref="F46:F78" si="3">+E46-D46</f>
        <v>1945859.0800000005</v>
      </c>
    </row>
    <row r="47" spans="1:6" x14ac:dyDescent="0.2">
      <c r="B47" s="105" t="s">
        <v>155</v>
      </c>
      <c r="C47" s="96">
        <v>-8826062.7799999993</v>
      </c>
      <c r="D47" s="96">
        <v>-3433338.42</v>
      </c>
      <c r="E47" s="96">
        <v>-2271828.56</v>
      </c>
      <c r="F47" s="97">
        <f t="shared" si="3"/>
        <v>1161509.8599999999</v>
      </c>
    </row>
    <row r="48" spans="1:6" x14ac:dyDescent="0.2">
      <c r="B48" s="105" t="s">
        <v>156</v>
      </c>
      <c r="C48" s="96">
        <v>1478120.07</v>
      </c>
      <c r="D48" s="96">
        <v>574988.68000000005</v>
      </c>
      <c r="E48" s="96">
        <v>380468.1</v>
      </c>
      <c r="F48" s="97">
        <f t="shared" si="3"/>
        <v>-194520.58000000007</v>
      </c>
    </row>
    <row r="49" spans="2:6" x14ac:dyDescent="0.2">
      <c r="B49" s="105" t="s">
        <v>157</v>
      </c>
      <c r="C49" s="96">
        <v>842194.15</v>
      </c>
      <c r="D49" s="96">
        <v>327613.65000000002</v>
      </c>
      <c r="E49" s="96">
        <v>216780.79</v>
      </c>
      <c r="F49" s="97">
        <f t="shared" si="3"/>
        <v>-110832.86000000002</v>
      </c>
    </row>
    <row r="50" spans="2:6" x14ac:dyDescent="0.2">
      <c r="B50" s="105" t="s">
        <v>158</v>
      </c>
      <c r="C50" s="96">
        <v>-28421223.169999987</v>
      </c>
      <c r="D50" s="96">
        <v>-11055855.82</v>
      </c>
      <c r="E50" s="96">
        <v>-7315622.8600000069</v>
      </c>
      <c r="F50" s="97">
        <f t="shared" si="3"/>
        <v>3740232.9599999934</v>
      </c>
    </row>
    <row r="51" spans="2:6" x14ac:dyDescent="0.2">
      <c r="B51" s="105" t="s">
        <v>159</v>
      </c>
      <c r="C51" s="96">
        <v>-162196.49</v>
      </c>
      <c r="D51" s="96">
        <v>-63094.42</v>
      </c>
      <c r="E51" s="96">
        <v>-41749.370000000003</v>
      </c>
      <c r="F51" s="97">
        <f t="shared" si="3"/>
        <v>21345.049999999996</v>
      </c>
    </row>
    <row r="52" spans="2:6" x14ac:dyDescent="0.2">
      <c r="B52" s="105" t="s">
        <v>160</v>
      </c>
      <c r="C52" s="96">
        <v>2433539.0299999998</v>
      </c>
      <c r="D52" s="96">
        <v>946646.67</v>
      </c>
      <c r="E52" s="96">
        <v>626392.94999999995</v>
      </c>
      <c r="F52" s="97">
        <f t="shared" si="3"/>
        <v>-320253.72000000009</v>
      </c>
    </row>
    <row r="53" spans="2:6" x14ac:dyDescent="0.2">
      <c r="B53" s="105" t="s">
        <v>161</v>
      </c>
      <c r="C53" s="96">
        <v>29150.37</v>
      </c>
      <c r="D53" s="96">
        <v>11339.49</v>
      </c>
      <c r="E53" s="96">
        <v>7503.31</v>
      </c>
      <c r="F53" s="97">
        <f t="shared" si="3"/>
        <v>-3836.1799999999994</v>
      </c>
    </row>
    <row r="54" spans="2:6" x14ac:dyDescent="0.2">
      <c r="B54" s="105" t="s">
        <v>162</v>
      </c>
      <c r="C54" s="96">
        <v>-482956.7</v>
      </c>
      <c r="D54" s="96">
        <v>-187870.16999999998</v>
      </c>
      <c r="E54" s="96">
        <v>-124313.06</v>
      </c>
      <c r="F54" s="97">
        <f t="shared" si="3"/>
        <v>63557.109999999986</v>
      </c>
    </row>
    <row r="55" spans="2:6" x14ac:dyDescent="0.2">
      <c r="B55" s="105" t="s">
        <v>163</v>
      </c>
      <c r="C55" s="96">
        <v>-131236.79999999999</v>
      </c>
      <c r="D55" s="96">
        <v>-51051.13</v>
      </c>
      <c r="E55" s="96">
        <v>-33780.36</v>
      </c>
      <c r="F55" s="97">
        <f t="shared" si="3"/>
        <v>17270.769999999997</v>
      </c>
    </row>
    <row r="56" spans="2:6" x14ac:dyDescent="0.2">
      <c r="B56" s="105" t="s">
        <v>164</v>
      </c>
      <c r="C56" s="96">
        <v>1118000</v>
      </c>
      <c r="D56" s="96">
        <v>434902</v>
      </c>
      <c r="E56" s="96">
        <v>287773.2</v>
      </c>
      <c r="F56" s="97">
        <f t="shared" si="3"/>
        <v>-147128.79999999999</v>
      </c>
    </row>
    <row r="57" spans="2:6" x14ac:dyDescent="0.2">
      <c r="B57" s="105" t="s">
        <v>165</v>
      </c>
      <c r="C57" s="96">
        <v>2965000</v>
      </c>
      <c r="D57" s="96">
        <v>1153385</v>
      </c>
      <c r="E57" s="96">
        <v>763191</v>
      </c>
      <c r="F57" s="97">
        <f t="shared" si="3"/>
        <v>-390194</v>
      </c>
    </row>
    <row r="58" spans="2:6" x14ac:dyDescent="0.2">
      <c r="B58" s="105" t="s">
        <v>166</v>
      </c>
      <c r="C58" s="96">
        <v>48306251.609999999</v>
      </c>
      <c r="D58" s="96">
        <v>18791131.879999999</v>
      </c>
      <c r="E58" s="96">
        <v>12434029.17</v>
      </c>
      <c r="F58" s="97">
        <f t="shared" si="3"/>
        <v>-6357102.709999999</v>
      </c>
    </row>
    <row r="59" spans="2:6" x14ac:dyDescent="0.2">
      <c r="B59" s="105" t="s">
        <v>167</v>
      </c>
      <c r="C59" s="96">
        <v>6891417</v>
      </c>
      <c r="D59" s="96">
        <v>2680761.21</v>
      </c>
      <c r="E59" s="96">
        <v>1773850.74</v>
      </c>
      <c r="F59" s="97">
        <f t="shared" si="3"/>
        <v>-906910.47</v>
      </c>
    </row>
    <row r="60" spans="2:6" s="201" customFormat="1" ht="15" x14ac:dyDescent="0.25">
      <c r="B60" s="202" t="s">
        <v>168</v>
      </c>
      <c r="C60" s="203">
        <v>-121135645.58</v>
      </c>
      <c r="D60" s="203">
        <v>-47121766.140000001</v>
      </c>
      <c r="E60" s="203">
        <v>-31180315.169999998</v>
      </c>
      <c r="F60" s="204">
        <f t="shared" si="3"/>
        <v>15941450.970000003</v>
      </c>
    </row>
    <row r="61" spans="2:6" x14ac:dyDescent="0.2">
      <c r="B61" s="105" t="s">
        <v>169</v>
      </c>
      <c r="C61" s="96">
        <v>-1878580.87</v>
      </c>
      <c r="D61" s="96">
        <v>-730767.93</v>
      </c>
      <c r="E61" s="96">
        <v>-483546.71</v>
      </c>
      <c r="F61" s="97">
        <f t="shared" si="3"/>
        <v>247221.22000000003</v>
      </c>
    </row>
    <row r="62" spans="2:6" x14ac:dyDescent="0.2">
      <c r="B62" s="105" t="s">
        <v>170</v>
      </c>
      <c r="C62" s="96">
        <v>-1166592.1499999985</v>
      </c>
      <c r="D62" s="96">
        <v>-453804.31000000052</v>
      </c>
      <c r="E62" s="96">
        <v>-300280.8200000003</v>
      </c>
      <c r="F62" s="97">
        <f t="shared" si="3"/>
        <v>153523.49000000022</v>
      </c>
    </row>
    <row r="63" spans="2:6" x14ac:dyDescent="0.2">
      <c r="B63" s="105" t="s">
        <v>171</v>
      </c>
      <c r="C63" s="96">
        <v>-5673388.5300000003</v>
      </c>
      <c r="D63" s="96">
        <v>-2206948.15</v>
      </c>
      <c r="E63" s="96">
        <v>-1460330.2</v>
      </c>
      <c r="F63" s="97">
        <f t="shared" si="3"/>
        <v>746617.95</v>
      </c>
    </row>
    <row r="64" spans="2:6" x14ac:dyDescent="0.2">
      <c r="B64" s="105" t="s">
        <v>172</v>
      </c>
      <c r="C64" s="96">
        <v>6219</v>
      </c>
      <c r="D64" s="96">
        <v>2419.19</v>
      </c>
      <c r="E64" s="96">
        <v>1600.77</v>
      </c>
      <c r="F64" s="97">
        <f t="shared" si="3"/>
        <v>-818.42000000000007</v>
      </c>
    </row>
    <row r="65" spans="2:6" x14ac:dyDescent="0.2">
      <c r="B65" s="105" t="s">
        <v>173</v>
      </c>
      <c r="C65" s="96">
        <v>634533.49</v>
      </c>
      <c r="D65" s="96">
        <v>246833.53</v>
      </c>
      <c r="E65" s="96">
        <v>163328.92000000001</v>
      </c>
      <c r="F65" s="97">
        <f t="shared" si="3"/>
        <v>-83504.609999999986</v>
      </c>
    </row>
    <row r="66" spans="2:6" x14ac:dyDescent="0.2">
      <c r="B66" s="105" t="s">
        <v>174</v>
      </c>
      <c r="C66" s="96">
        <v>-1642701.19</v>
      </c>
      <c r="D66" s="96">
        <v>-639010.78</v>
      </c>
      <c r="E66" s="96">
        <v>-422831.29</v>
      </c>
      <c r="F66" s="97">
        <f t="shared" si="3"/>
        <v>216179.49000000005</v>
      </c>
    </row>
    <row r="67" spans="2:6" x14ac:dyDescent="0.2">
      <c r="B67" s="105" t="s">
        <v>175</v>
      </c>
      <c r="C67" s="96">
        <v>8338.02</v>
      </c>
      <c r="D67" s="96">
        <v>3243.5</v>
      </c>
      <c r="E67" s="96">
        <v>2146.1999999999998</v>
      </c>
      <c r="F67" s="97">
        <f t="shared" si="3"/>
        <v>-1097.3000000000002</v>
      </c>
    </row>
    <row r="68" spans="2:6" x14ac:dyDescent="0.2">
      <c r="B68" s="105" t="s">
        <v>176</v>
      </c>
      <c r="C68" s="96">
        <v>148278</v>
      </c>
      <c r="D68" s="96">
        <v>57680.13</v>
      </c>
      <c r="E68" s="96">
        <v>38166.76</v>
      </c>
      <c r="F68" s="97">
        <f t="shared" si="3"/>
        <v>-19513.369999999995</v>
      </c>
    </row>
    <row r="69" spans="2:6" x14ac:dyDescent="0.2">
      <c r="B69" s="105" t="s">
        <v>177</v>
      </c>
      <c r="C69" s="96">
        <v>1220137.8400000001</v>
      </c>
      <c r="D69" s="96">
        <v>474633.62</v>
      </c>
      <c r="E69" s="96">
        <v>314063.48</v>
      </c>
      <c r="F69" s="97">
        <f t="shared" si="3"/>
        <v>-160570.14000000001</v>
      </c>
    </row>
    <row r="70" spans="2:6" x14ac:dyDescent="0.2">
      <c r="B70" s="105" t="s">
        <v>178</v>
      </c>
      <c r="C70" s="96">
        <v>2882884.51</v>
      </c>
      <c r="D70" s="96">
        <v>1121442.08</v>
      </c>
      <c r="E70" s="96">
        <v>742054.48</v>
      </c>
      <c r="F70" s="97">
        <f t="shared" si="3"/>
        <v>-379387.60000000009</v>
      </c>
    </row>
    <row r="71" spans="2:6" x14ac:dyDescent="0.2">
      <c r="B71" s="105" t="s">
        <v>179</v>
      </c>
      <c r="C71" s="96">
        <v>313709.26</v>
      </c>
      <c r="D71" s="96">
        <v>122032.92</v>
      </c>
      <c r="E71" s="96">
        <v>80748.759999999995</v>
      </c>
      <c r="F71" s="97">
        <f t="shared" si="3"/>
        <v>-41284.160000000003</v>
      </c>
    </row>
    <row r="72" spans="2:6" x14ac:dyDescent="0.2">
      <c r="B72" s="105" t="s">
        <v>180</v>
      </c>
      <c r="C72" s="96">
        <v>-3111003.08</v>
      </c>
      <c r="D72" s="96">
        <v>-1210180.19</v>
      </c>
      <c r="E72" s="96">
        <v>-800772.19</v>
      </c>
      <c r="F72" s="97">
        <f t="shared" si="3"/>
        <v>409408</v>
      </c>
    </row>
    <row r="73" spans="2:6" x14ac:dyDescent="0.2">
      <c r="B73" s="105" t="s">
        <v>181</v>
      </c>
      <c r="C73" s="96">
        <v>-1286608.99</v>
      </c>
      <c r="D73" s="96">
        <v>-500490.9</v>
      </c>
      <c r="E73" s="96">
        <v>-331173.15999999997</v>
      </c>
      <c r="F73" s="97">
        <f t="shared" si="3"/>
        <v>169317.74000000005</v>
      </c>
    </row>
    <row r="74" spans="2:6" x14ac:dyDescent="0.2">
      <c r="B74" s="105" t="s">
        <v>182</v>
      </c>
      <c r="C74" s="96">
        <v>1760599</v>
      </c>
      <c r="D74" s="96">
        <v>616209.65</v>
      </c>
      <c r="E74" s="96">
        <v>369725.79</v>
      </c>
      <c r="F74" s="97">
        <f t="shared" si="3"/>
        <v>-246483.86000000004</v>
      </c>
    </row>
    <row r="75" spans="2:6" x14ac:dyDescent="0.2">
      <c r="B75" s="105" t="s">
        <v>183</v>
      </c>
      <c r="C75" s="96">
        <v>-940337</v>
      </c>
      <c r="D75" s="96">
        <v>-365791.08</v>
      </c>
      <c r="E75" s="96">
        <v>-242042.74</v>
      </c>
      <c r="F75" s="97">
        <f t="shared" si="3"/>
        <v>123748.34000000003</v>
      </c>
    </row>
    <row r="76" spans="2:6" x14ac:dyDescent="0.2">
      <c r="B76" s="105" t="s">
        <v>184</v>
      </c>
      <c r="C76" s="96">
        <v>856000</v>
      </c>
      <c r="D76" s="96">
        <v>332984</v>
      </c>
      <c r="E76" s="96">
        <v>220334.4</v>
      </c>
      <c r="F76" s="97">
        <f t="shared" si="3"/>
        <v>-112649.60000000001</v>
      </c>
    </row>
    <row r="77" spans="2:6" x14ac:dyDescent="0.2">
      <c r="B77" s="105" t="s">
        <v>185</v>
      </c>
      <c r="C77" s="96">
        <v>4953372.97</v>
      </c>
      <c r="D77" s="96">
        <v>1926862.09</v>
      </c>
      <c r="E77" s="96">
        <v>1274998.2</v>
      </c>
      <c r="F77" s="97">
        <f t="shared" si="3"/>
        <v>-651863.89000000013</v>
      </c>
    </row>
    <row r="78" spans="2:6" x14ac:dyDescent="0.2">
      <c r="B78" s="105" t="s">
        <v>186</v>
      </c>
      <c r="C78" s="108">
        <v>3421394.34</v>
      </c>
      <c r="D78" s="108">
        <v>1330922.4099999999</v>
      </c>
      <c r="E78" s="108">
        <v>880666.9</v>
      </c>
      <c r="F78" s="108">
        <f t="shared" si="3"/>
        <v>-450255.50999999989</v>
      </c>
    </row>
    <row r="79" spans="2:6" x14ac:dyDescent="0.2">
      <c r="B79" s="105"/>
      <c r="C79" s="96">
        <f>SUM(C45:C78)</f>
        <v>-109942732.88999999</v>
      </c>
      <c r="D79" s="96">
        <f>SUM(D45:D78)</f>
        <v>-42836386.290000007</v>
      </c>
      <c r="E79" s="96">
        <f>SUM(E45:E78)</f>
        <v>-28382711.800000004</v>
      </c>
      <c r="F79" s="96">
        <f>SUM(F45:F78)</f>
        <v>14453674.489999998</v>
      </c>
    </row>
  </sheetData>
  <mergeCells count="6">
    <mergeCell ref="C11:G11"/>
    <mergeCell ref="D12:E12"/>
    <mergeCell ref="F12:G12"/>
    <mergeCell ref="C4:G4"/>
    <mergeCell ref="D5:E5"/>
    <mergeCell ref="F5:G5"/>
  </mergeCells>
  <pageMargins left="0.7" right="0.7" top="0.75" bottom="0.75" header="0.3" footer="0.3"/>
  <pageSetup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topLeftCell="C1" zoomScaleNormal="100" workbookViewId="0">
      <selection activeCell="N15" sqref="N15"/>
    </sheetView>
  </sheetViews>
  <sheetFormatPr defaultRowHeight="12.75" x14ac:dyDescent="0.2"/>
  <cols>
    <col min="1" max="1" width="6.85546875" style="6" customWidth="1"/>
    <col min="2" max="2" width="24.28515625" style="6" customWidth="1"/>
    <col min="3" max="3" width="15.140625" style="6" customWidth="1"/>
    <col min="4" max="4" width="17.7109375" style="6" customWidth="1"/>
    <col min="5" max="5" width="13.85546875" style="6" customWidth="1"/>
    <col min="6" max="6" width="17.85546875" style="6" customWidth="1"/>
    <col min="7" max="7" width="16.140625" style="6" customWidth="1"/>
    <col min="8" max="8" width="16.42578125" style="6" customWidth="1"/>
    <col min="9" max="9" width="19.5703125" style="6" customWidth="1"/>
    <col min="10" max="10" width="17.140625" style="6" customWidth="1"/>
    <col min="11" max="11" width="12.5703125" style="6" customWidth="1"/>
    <col min="12" max="12" width="10.85546875" style="6" customWidth="1"/>
    <col min="13" max="13" width="12.85546875" style="6" customWidth="1"/>
    <col min="14" max="14" width="16.140625" style="6" customWidth="1"/>
    <col min="15" max="15" width="15.28515625" style="6" customWidth="1"/>
    <col min="16" max="16" width="11.5703125" style="6" bestFit="1" customWidth="1"/>
    <col min="17" max="17" width="12.140625" style="6" customWidth="1"/>
    <col min="18" max="16384" width="9.140625" style="6"/>
  </cols>
  <sheetData>
    <row r="1" spans="1:17" s="2" customFormat="1" ht="20.100000000000001" customHeight="1" x14ac:dyDescent="0.2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9"/>
    </row>
    <row r="2" spans="1:17" s="2" customFormat="1" ht="20.100000000000001" customHeight="1" x14ac:dyDescent="0.2">
      <c r="A2" s="206" t="s">
        <v>89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9"/>
    </row>
    <row r="3" spans="1:17" s="2" customFormat="1" ht="20.100000000000001" customHeight="1" x14ac:dyDescent="0.2">
      <c r="A3" s="207" t="s">
        <v>27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9"/>
    </row>
    <row r="4" spans="1:17" s="2" customFormat="1" ht="20.100000000000001" customHeight="1" x14ac:dyDescent="0.2">
      <c r="A4" s="207" t="s">
        <v>64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9"/>
    </row>
    <row r="5" spans="1:17" s="2" customFormat="1" ht="20.100000000000001" customHeight="1" x14ac:dyDescent="0.2">
      <c r="A5" s="207" t="s">
        <v>90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9"/>
    </row>
    <row r="6" spans="1:17" s="2" customFormat="1" ht="20.100000000000001" customHeight="1" x14ac:dyDescent="0.2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7" s="2" customFormat="1" ht="20.100000000000001" customHeight="1" x14ac:dyDescent="0.2">
      <c r="A7" s="3" t="s">
        <v>28</v>
      </c>
      <c r="M7" s="4"/>
    </row>
    <row r="8" spans="1:17" s="2" customFormat="1" ht="20.100000000000001" customHeight="1" x14ac:dyDescent="0.2">
      <c r="A8" s="3" t="s">
        <v>65</v>
      </c>
      <c r="M8" s="4" t="s">
        <v>66</v>
      </c>
    </row>
    <row r="9" spans="1:17" s="2" customFormat="1" ht="20.100000000000001" customHeight="1" x14ac:dyDescent="0.2">
      <c r="A9" s="95" t="s">
        <v>1</v>
      </c>
      <c r="M9" s="4" t="s">
        <v>67</v>
      </c>
    </row>
    <row r="10" spans="1:17" s="2" customFormat="1" ht="20.100000000000001" customHeight="1" x14ac:dyDescent="0.2">
      <c r="A10" s="3" t="s">
        <v>4</v>
      </c>
      <c r="M10" s="5" t="s">
        <v>62</v>
      </c>
    </row>
    <row r="11" spans="1:17" s="2" customFormat="1" ht="20.100000000000001" customHeight="1" x14ac:dyDescent="0.2"/>
    <row r="12" spans="1:17" ht="66" customHeight="1" x14ac:dyDescent="0.2">
      <c r="A12" s="14" t="s">
        <v>5</v>
      </c>
      <c r="B12" s="14" t="s">
        <v>29</v>
      </c>
      <c r="C12" s="14" t="s">
        <v>30</v>
      </c>
      <c r="D12" s="14" t="s">
        <v>68</v>
      </c>
      <c r="E12" s="14" t="s">
        <v>31</v>
      </c>
      <c r="F12" s="14" t="s">
        <v>32</v>
      </c>
      <c r="G12" s="14" t="s">
        <v>49</v>
      </c>
      <c r="H12" s="14" t="s">
        <v>54</v>
      </c>
      <c r="I12" s="14" t="s">
        <v>55</v>
      </c>
      <c r="J12" s="14" t="s">
        <v>50</v>
      </c>
      <c r="K12" s="14" t="s">
        <v>33</v>
      </c>
      <c r="L12" s="14" t="s">
        <v>34</v>
      </c>
      <c r="M12" s="14" t="s">
        <v>35</v>
      </c>
      <c r="N12" s="14" t="s">
        <v>70</v>
      </c>
      <c r="O12" s="14" t="s">
        <v>71</v>
      </c>
    </row>
    <row r="13" spans="1:17" ht="18.95" customHeight="1" x14ac:dyDescent="0.2">
      <c r="A13" s="7"/>
      <c r="B13" s="30" t="s">
        <v>36</v>
      </c>
      <c r="C13" s="30" t="s">
        <v>37</v>
      </c>
      <c r="D13" s="30" t="s">
        <v>38</v>
      </c>
      <c r="E13" s="30" t="s">
        <v>39</v>
      </c>
      <c r="F13" s="30" t="s">
        <v>40</v>
      </c>
      <c r="G13" s="30" t="s">
        <v>41</v>
      </c>
      <c r="H13" s="30" t="s">
        <v>51</v>
      </c>
      <c r="I13" s="30" t="s">
        <v>52</v>
      </c>
      <c r="J13" s="30" t="s">
        <v>56</v>
      </c>
      <c r="K13" s="30" t="s">
        <v>57</v>
      </c>
      <c r="L13" s="30" t="s">
        <v>58</v>
      </c>
      <c r="M13" s="30" t="s">
        <v>59</v>
      </c>
      <c r="N13" s="45">
        <f>'SCH H-1 (ORDER)'!E24+'SCH H-1 (ORDER)'!E30</f>
        <v>0.38563639899999996</v>
      </c>
      <c r="O13" s="45" t="s">
        <v>72</v>
      </c>
    </row>
    <row r="14" spans="1:17" ht="18.95" customHeight="1" x14ac:dyDescent="0.2">
      <c r="A14" s="7"/>
      <c r="B14" s="12"/>
      <c r="C14" s="12"/>
      <c r="D14" s="13" t="s">
        <v>6</v>
      </c>
      <c r="E14" s="13" t="s">
        <v>6</v>
      </c>
      <c r="F14" s="13" t="s">
        <v>6</v>
      </c>
      <c r="G14" s="13"/>
      <c r="H14" s="13" t="s">
        <v>6</v>
      </c>
      <c r="I14" s="13" t="s">
        <v>6</v>
      </c>
      <c r="J14" s="13" t="s">
        <v>6</v>
      </c>
      <c r="K14" s="13"/>
      <c r="L14" s="13" t="s">
        <v>42</v>
      </c>
      <c r="M14" s="13" t="s">
        <v>42</v>
      </c>
      <c r="N14" s="13" t="s">
        <v>42</v>
      </c>
      <c r="O14" s="13" t="s">
        <v>42</v>
      </c>
    </row>
    <row r="15" spans="1:17" ht="18.95" customHeight="1" x14ac:dyDescent="0.2">
      <c r="A15" s="10"/>
      <c r="B15" s="8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Q15" s="2"/>
    </row>
    <row r="16" spans="1:17" ht="18.95" customHeight="1" x14ac:dyDescent="0.2">
      <c r="A16" s="10">
        <v>1</v>
      </c>
      <c r="B16" s="8" t="s">
        <v>43</v>
      </c>
      <c r="C16" s="11" t="s">
        <v>44</v>
      </c>
      <c r="D16" s="9">
        <v>129187210.62411569</v>
      </c>
      <c r="E16" s="9">
        <f>J40</f>
        <v>-30146.840487458645</v>
      </c>
      <c r="F16" s="9">
        <f>SUM(D16:E16)</f>
        <v>129157063.78362823</v>
      </c>
      <c r="G16" s="31">
        <v>0.89280000000000004</v>
      </c>
      <c r="H16" s="9">
        <f>F16*G16</f>
        <v>115311426.54602328</v>
      </c>
      <c r="I16" s="9">
        <f>J64</f>
        <v>-26243509.738680318</v>
      </c>
      <c r="J16" s="9">
        <f>SUM(H16:I16)</f>
        <v>89067916.807342961</v>
      </c>
      <c r="K16" s="31">
        <f>H16/H$22</f>
        <v>2.468633552182883E-2</v>
      </c>
      <c r="L16" s="31">
        <v>7.4212675614836578E-3</v>
      </c>
      <c r="M16" s="31">
        <f>K16*L16</f>
        <v>1.8320390102005005E-4</v>
      </c>
      <c r="N16" s="31"/>
      <c r="O16" s="31">
        <f>SUM(M16:N16)</f>
        <v>1.8320390102005005E-4</v>
      </c>
      <c r="P16" s="31"/>
      <c r="Q16" s="9"/>
    </row>
    <row r="17" spans="1:17" ht="18.95" customHeight="1" x14ac:dyDescent="0.2">
      <c r="A17" s="10"/>
      <c r="B17" s="8"/>
      <c r="C17" s="11"/>
      <c r="D17" s="9"/>
      <c r="E17" s="9"/>
      <c r="F17" s="9"/>
      <c r="G17" s="31"/>
      <c r="H17" s="9"/>
      <c r="I17" s="9"/>
      <c r="J17" s="9"/>
      <c r="K17" s="31"/>
      <c r="L17" s="32"/>
      <c r="M17" s="32"/>
      <c r="N17" s="32"/>
      <c r="O17" s="32"/>
      <c r="P17" s="31"/>
      <c r="Q17" s="9"/>
    </row>
    <row r="18" spans="1:17" ht="18.95" customHeight="1" x14ac:dyDescent="0.2">
      <c r="A18" s="10">
        <v>2</v>
      </c>
      <c r="B18" s="8" t="s">
        <v>45</v>
      </c>
      <c r="C18" s="11" t="s">
        <v>46</v>
      </c>
      <c r="D18" s="9">
        <v>2315890751.4050875</v>
      </c>
      <c r="E18" s="9">
        <f>J42</f>
        <v>-540431.12109703722</v>
      </c>
      <c r="F18" s="9">
        <f>SUM(D18:E18)</f>
        <v>2315350320.2839904</v>
      </c>
      <c r="G18" s="31">
        <f>G$16</f>
        <v>0.89280000000000004</v>
      </c>
      <c r="H18" s="9">
        <f>F18*G18</f>
        <v>2067144765.9495468</v>
      </c>
      <c r="I18" s="9">
        <f>J66</f>
        <v>-470457572.34480989</v>
      </c>
      <c r="J18" s="9">
        <f>SUM(H18:I18)</f>
        <v>1596687193.6047368</v>
      </c>
      <c r="K18" s="31">
        <f>H18/H$22</f>
        <v>0.44254269323479034</v>
      </c>
      <c r="L18" s="33">
        <v>4.1173858867490545E-2</v>
      </c>
      <c r="M18" s="31">
        <f>K18*L18</f>
        <v>1.822119039408842E-2</v>
      </c>
      <c r="N18" s="31"/>
      <c r="O18" s="31">
        <f>SUM(M18:N18)</f>
        <v>1.822119039408842E-2</v>
      </c>
      <c r="P18" s="31"/>
      <c r="Q18" s="9"/>
    </row>
    <row r="19" spans="1:17" ht="18.95" customHeight="1" x14ac:dyDescent="0.2">
      <c r="A19" s="10"/>
      <c r="B19" s="8"/>
      <c r="C19" s="11"/>
      <c r="D19" s="34"/>
      <c r="E19" s="34"/>
      <c r="F19" s="34"/>
      <c r="G19" s="35"/>
      <c r="H19" s="34"/>
      <c r="I19" s="34"/>
      <c r="J19" s="34"/>
      <c r="K19" s="35"/>
      <c r="L19" s="36"/>
      <c r="M19" s="35"/>
      <c r="N19" s="35"/>
      <c r="O19" s="35"/>
      <c r="P19" s="35"/>
      <c r="Q19" s="34"/>
    </row>
    <row r="20" spans="1:17" ht="18.95" customHeight="1" x14ac:dyDescent="0.2">
      <c r="A20" s="10">
        <v>3</v>
      </c>
      <c r="B20" s="8" t="s">
        <v>47</v>
      </c>
      <c r="C20" s="11"/>
      <c r="D20" s="15">
        <v>2788572733.5827875</v>
      </c>
      <c r="E20" s="15">
        <f>J44</f>
        <v>-1154801.3384155042</v>
      </c>
      <c r="F20" s="15">
        <f>SUM(D20:E20)</f>
        <v>2787417932.2443719</v>
      </c>
      <c r="G20" s="31">
        <f>G$16</f>
        <v>0.89280000000000004</v>
      </c>
      <c r="H20" s="15">
        <f>F20*G20</f>
        <v>2488606729.9077754</v>
      </c>
      <c r="I20" s="15">
        <f>J68</f>
        <v>-566377304.5597831</v>
      </c>
      <c r="J20" s="15">
        <f>SUM(H20:I20)</f>
        <v>1922229425.3479924</v>
      </c>
      <c r="K20" s="37">
        <f>H20/H$22</f>
        <v>0.53277097124338091</v>
      </c>
      <c r="L20" s="31">
        <v>9.7000000000000003E-2</v>
      </c>
      <c r="M20" s="37">
        <f>K20*L20</f>
        <v>5.1678784210607953E-2</v>
      </c>
      <c r="N20" s="37">
        <f>M20*(N13/(1-N13))</f>
        <v>3.2438803690905682E-2</v>
      </c>
      <c r="O20" s="37">
        <f>SUM(M20:N20)</f>
        <v>8.4117587901513635E-2</v>
      </c>
      <c r="P20" s="31"/>
      <c r="Q20" s="9"/>
    </row>
    <row r="21" spans="1:17" ht="18.95" customHeight="1" x14ac:dyDescent="0.2">
      <c r="A21" s="10"/>
      <c r="B21" s="8"/>
      <c r="C21" s="11"/>
      <c r="D21" s="9"/>
      <c r="E21" s="9"/>
      <c r="F21" s="9"/>
      <c r="G21" s="32"/>
      <c r="H21" s="9"/>
      <c r="I21" s="9"/>
      <c r="J21" s="9"/>
      <c r="K21" s="32"/>
      <c r="L21" s="32"/>
      <c r="M21" s="31"/>
      <c r="N21" s="31"/>
      <c r="O21" s="31"/>
      <c r="P21" s="32"/>
      <c r="Q21" s="9"/>
    </row>
    <row r="22" spans="1:17" ht="18.95" customHeight="1" thickBot="1" x14ac:dyDescent="0.25">
      <c r="A22" s="10">
        <v>4</v>
      </c>
      <c r="B22" s="8" t="s">
        <v>48</v>
      </c>
      <c r="C22" s="11"/>
      <c r="D22" s="16">
        <f>SUM(D16:D20)</f>
        <v>5233650695.61199</v>
      </c>
      <c r="E22" s="16">
        <f>SUM(E16:E20)</f>
        <v>-1725379.3</v>
      </c>
      <c r="F22" s="16">
        <f>SUM(F16:F20)</f>
        <v>5231925316.3119907</v>
      </c>
      <c r="G22" s="31"/>
      <c r="H22" s="16">
        <f>SUM(H16:H20)</f>
        <v>4671062922.4033451</v>
      </c>
      <c r="I22" s="16">
        <f>SUM(I16:I20)</f>
        <v>-1063078386.6432734</v>
      </c>
      <c r="J22" s="16">
        <f>SUM(J16:J20)</f>
        <v>3607984535.7600722</v>
      </c>
      <c r="K22" s="38">
        <f>SUM(K16:K20)</f>
        <v>1</v>
      </c>
      <c r="L22" s="32"/>
      <c r="M22" s="38">
        <f t="shared" ref="M22:O22" si="0">SUM(M16:M20)</f>
        <v>7.0083178505716423E-2</v>
      </c>
      <c r="N22" s="38">
        <f t="shared" si="0"/>
        <v>3.2438803690905682E-2</v>
      </c>
      <c r="O22" s="38">
        <f t="shared" si="0"/>
        <v>0.10252198219662211</v>
      </c>
      <c r="P22" s="31"/>
      <c r="Q22" s="9"/>
    </row>
    <row r="23" spans="1:17" ht="18.95" customHeight="1" thickTop="1" x14ac:dyDescent="0.2">
      <c r="A23" s="10"/>
      <c r="B23" s="8"/>
      <c r="C23" s="11"/>
      <c r="D23" s="21"/>
      <c r="E23" s="21"/>
      <c r="F23" s="21"/>
      <c r="G23" s="21"/>
      <c r="H23" s="9"/>
      <c r="I23" s="9"/>
      <c r="J23" s="9"/>
      <c r="K23" s="21"/>
      <c r="L23" s="21"/>
      <c r="M23" s="21"/>
      <c r="N23" s="21"/>
      <c r="Q23" s="39"/>
    </row>
    <row r="24" spans="1:17" ht="18.95" customHeight="1" x14ac:dyDescent="0.2">
      <c r="A24" s="10"/>
      <c r="B24" s="8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</row>
    <row r="25" spans="1:17" s="2" customFormat="1" ht="20.100000000000001" customHeight="1" x14ac:dyDescent="0.2">
      <c r="A25" s="206" t="s">
        <v>0</v>
      </c>
      <c r="B25" s="206"/>
      <c r="C25" s="206"/>
      <c r="D25" s="206"/>
      <c r="E25" s="206"/>
      <c r="F25" s="206"/>
      <c r="G25" s="206"/>
      <c r="H25" s="206"/>
      <c r="I25" s="206"/>
      <c r="J25" s="206"/>
      <c r="K25" s="87"/>
      <c r="L25" s="87"/>
      <c r="M25" s="87"/>
      <c r="N25" s="88"/>
    </row>
    <row r="26" spans="1:17" s="2" customFormat="1" ht="20.100000000000001" customHeight="1" x14ac:dyDescent="0.25">
      <c r="A26" s="206" t="s">
        <v>89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87"/>
      <c r="L26" s="87"/>
      <c r="M26" s="93"/>
      <c r="N26" s="88"/>
    </row>
    <row r="27" spans="1:17" s="2" customFormat="1" ht="20.100000000000001" customHeight="1" x14ac:dyDescent="0.2">
      <c r="A27" s="206" t="s">
        <v>91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87"/>
      <c r="L27" s="87"/>
      <c r="M27" s="87"/>
      <c r="N27" s="88"/>
      <c r="O27" s="87"/>
    </row>
    <row r="28" spans="1:17" s="2" customFormat="1" ht="20.100000000000001" customHeight="1" x14ac:dyDescent="0.2">
      <c r="A28" s="206" t="s">
        <v>64</v>
      </c>
      <c r="B28" s="206"/>
      <c r="C28" s="206"/>
      <c r="D28" s="206"/>
      <c r="E28" s="206"/>
      <c r="F28" s="206"/>
      <c r="G28" s="206"/>
      <c r="H28" s="206"/>
      <c r="I28" s="206"/>
      <c r="J28" s="206"/>
      <c r="K28" s="87"/>
      <c r="L28" s="87"/>
      <c r="M28" s="87"/>
      <c r="N28" s="29"/>
    </row>
    <row r="29" spans="1:17" s="2" customFormat="1" ht="20.100000000000001" customHeight="1" x14ac:dyDescent="0.2">
      <c r="A29" s="206" t="s">
        <v>90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87"/>
      <c r="L29" s="87"/>
      <c r="M29" s="87"/>
      <c r="N29" s="29"/>
    </row>
    <row r="30" spans="1:17" s="2" customFormat="1" ht="20.100000000000001" customHeight="1" x14ac:dyDescent="0.2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</row>
    <row r="31" spans="1:17" s="2" customFormat="1" ht="20.100000000000001" customHeight="1" x14ac:dyDescent="0.2">
      <c r="A31" s="3" t="s">
        <v>28</v>
      </c>
      <c r="M31" s="4"/>
    </row>
    <row r="32" spans="1:17" s="2" customFormat="1" ht="20.100000000000001" customHeight="1" x14ac:dyDescent="0.2">
      <c r="A32" s="3" t="s">
        <v>65</v>
      </c>
      <c r="J32" s="4" t="s">
        <v>66</v>
      </c>
    </row>
    <row r="33" spans="1:17" s="2" customFormat="1" ht="20.100000000000001" customHeight="1" x14ac:dyDescent="0.2">
      <c r="A33" s="95" t="s">
        <v>1</v>
      </c>
      <c r="J33" s="4" t="s">
        <v>92</v>
      </c>
    </row>
    <row r="34" spans="1:17" s="2" customFormat="1" ht="20.100000000000001" customHeight="1" x14ac:dyDescent="0.2">
      <c r="A34" s="3" t="s">
        <v>4</v>
      </c>
      <c r="J34" s="5" t="s">
        <v>62</v>
      </c>
    </row>
    <row r="35" spans="1:17" s="2" customFormat="1" ht="20.100000000000001" customHeight="1" x14ac:dyDescent="0.2"/>
    <row r="36" spans="1:17" ht="48" customHeight="1" x14ac:dyDescent="0.2">
      <c r="A36" s="14" t="s">
        <v>5</v>
      </c>
      <c r="B36" s="14" t="s">
        <v>29</v>
      </c>
      <c r="C36" s="14" t="s">
        <v>30</v>
      </c>
      <c r="D36" s="14" t="s">
        <v>68</v>
      </c>
      <c r="E36" s="14" t="s">
        <v>33</v>
      </c>
      <c r="F36" s="14" t="s">
        <v>93</v>
      </c>
      <c r="G36" s="14" t="s">
        <v>94</v>
      </c>
      <c r="H36" s="14" t="s">
        <v>95</v>
      </c>
      <c r="I36" s="14" t="s">
        <v>96</v>
      </c>
      <c r="J36" s="14" t="s">
        <v>31</v>
      </c>
      <c r="K36" s="11"/>
      <c r="L36" s="11"/>
      <c r="M36" s="11"/>
      <c r="N36" s="11"/>
    </row>
    <row r="37" spans="1:17" ht="18.95" customHeight="1" x14ac:dyDescent="0.2">
      <c r="A37" s="7"/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97</v>
      </c>
      <c r="G37" s="30" t="s">
        <v>41</v>
      </c>
      <c r="H37" s="30" t="s">
        <v>98</v>
      </c>
      <c r="I37" s="30" t="s">
        <v>52</v>
      </c>
      <c r="J37" s="30" t="s">
        <v>99</v>
      </c>
      <c r="K37" s="30"/>
      <c r="L37" s="30"/>
      <c r="M37" s="30"/>
      <c r="N37" s="30"/>
    </row>
    <row r="38" spans="1:17" ht="18.95" customHeight="1" x14ac:dyDescent="0.2">
      <c r="A38" s="7"/>
      <c r="B38" s="12"/>
      <c r="C38" s="12"/>
      <c r="D38" s="13" t="s">
        <v>6</v>
      </c>
      <c r="E38" s="13"/>
      <c r="F38" s="13" t="s">
        <v>6</v>
      </c>
      <c r="G38" s="13" t="s">
        <v>6</v>
      </c>
      <c r="H38" s="13" t="s">
        <v>6</v>
      </c>
      <c r="I38" s="13" t="s">
        <v>6</v>
      </c>
      <c r="J38" s="13" t="s">
        <v>6</v>
      </c>
      <c r="K38" s="13"/>
      <c r="L38" s="13"/>
      <c r="M38" s="13"/>
      <c r="N38" s="13"/>
    </row>
    <row r="39" spans="1:17" ht="18.95" customHeight="1" x14ac:dyDescent="0.2">
      <c r="A39" s="10"/>
      <c r="B39" s="8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Q39" s="2"/>
    </row>
    <row r="40" spans="1:17" ht="18.95" customHeight="1" x14ac:dyDescent="0.2">
      <c r="A40" s="10">
        <v>1</v>
      </c>
      <c r="B40" s="8" t="s">
        <v>43</v>
      </c>
      <c r="C40" s="11" t="s">
        <v>44</v>
      </c>
      <c r="D40" s="9">
        <f>D16</f>
        <v>129187210.62411569</v>
      </c>
      <c r="E40" s="31">
        <f>D40/D$46</f>
        <v>2.4683957363151716E-2</v>
      </c>
      <c r="F40" s="9">
        <v>0</v>
      </c>
      <c r="G40" s="9">
        <f>S40</f>
        <v>0</v>
      </c>
      <c r="H40" s="9">
        <f>H$46*$E40</f>
        <v>-6170.989340787929</v>
      </c>
      <c r="I40" s="9">
        <f>I$46*$E40</f>
        <v>-23975.851146670717</v>
      </c>
      <c r="J40" s="9">
        <f>SUM(F40:I40)</f>
        <v>-30146.840487458645</v>
      </c>
      <c r="K40" s="31"/>
      <c r="L40" s="31"/>
      <c r="M40" s="31"/>
      <c r="N40" s="9"/>
      <c r="P40" s="31"/>
      <c r="Q40" s="9"/>
    </row>
    <row r="41" spans="1:17" ht="18.95" customHeight="1" x14ac:dyDescent="0.2">
      <c r="A41" s="10"/>
      <c r="B41" s="8"/>
      <c r="C41" s="11"/>
      <c r="D41" s="9"/>
      <c r="E41" s="31"/>
      <c r="F41" s="9"/>
      <c r="G41" s="9"/>
      <c r="H41" s="9"/>
      <c r="I41" s="9"/>
      <c r="J41" s="9"/>
      <c r="K41" s="31"/>
      <c r="L41" s="32"/>
      <c r="M41" s="32"/>
      <c r="N41" s="9"/>
      <c r="P41" s="31"/>
      <c r="Q41" s="9"/>
    </row>
    <row r="42" spans="1:17" ht="18.95" customHeight="1" x14ac:dyDescent="0.2">
      <c r="A42" s="10">
        <v>2</v>
      </c>
      <c r="B42" s="8" t="s">
        <v>45</v>
      </c>
      <c r="C42" s="11" t="s">
        <v>46</v>
      </c>
      <c r="D42" s="9">
        <f>D18</f>
        <v>2315890751.4050875</v>
      </c>
      <c r="E42" s="31">
        <f>D42/D$46</f>
        <v>0.44250006087467436</v>
      </c>
      <c r="F42" s="9">
        <v>0</v>
      </c>
      <c r="G42" s="39">
        <f>S42</f>
        <v>0</v>
      </c>
      <c r="H42" s="9">
        <f>H$46*$E42</f>
        <v>-110625.01521866859</v>
      </c>
      <c r="I42" s="9">
        <f>I$46*$E42</f>
        <v>-429806.1058783686</v>
      </c>
      <c r="J42" s="9">
        <f>SUM(F42:I42)</f>
        <v>-540431.12109703722</v>
      </c>
      <c r="K42" s="31"/>
      <c r="L42" s="33"/>
      <c r="M42" s="31"/>
      <c r="P42" s="31"/>
      <c r="Q42" s="9"/>
    </row>
    <row r="43" spans="1:17" ht="18.95" customHeight="1" x14ac:dyDescent="0.2">
      <c r="A43" s="10"/>
      <c r="B43" s="8"/>
      <c r="C43" s="11"/>
      <c r="D43" s="34"/>
      <c r="E43" s="35"/>
      <c r="F43" s="34"/>
      <c r="G43" s="34"/>
      <c r="H43" s="34"/>
      <c r="I43" s="34"/>
      <c r="J43" s="34"/>
      <c r="K43" s="35"/>
      <c r="L43" s="36"/>
      <c r="M43" s="35"/>
      <c r="N43" s="34"/>
      <c r="P43" s="35"/>
      <c r="Q43" s="34"/>
    </row>
    <row r="44" spans="1:17" ht="18.95" customHeight="1" x14ac:dyDescent="0.2">
      <c r="A44" s="10">
        <v>3</v>
      </c>
      <c r="B44" s="8" t="s">
        <v>47</v>
      </c>
      <c r="C44" s="11"/>
      <c r="D44" s="15">
        <f>D20</f>
        <v>2788572733.5827875</v>
      </c>
      <c r="E44" s="37">
        <f>D44/D$46</f>
        <v>0.53281598176217404</v>
      </c>
      <c r="F44" s="15">
        <f>F46</f>
        <v>0</v>
      </c>
      <c r="G44" s="15">
        <f>G46</f>
        <v>-504066.19999999995</v>
      </c>
      <c r="H44" s="15">
        <f>H$46*$E44</f>
        <v>-133203.99544054351</v>
      </c>
      <c r="I44" s="15">
        <f>I$46*$E44</f>
        <v>-517531.14297496068</v>
      </c>
      <c r="J44" s="15">
        <f>SUM(F44:I44)</f>
        <v>-1154801.3384155042</v>
      </c>
      <c r="K44" s="31"/>
      <c r="L44" s="31"/>
      <c r="M44" s="31"/>
      <c r="N44" s="9"/>
      <c r="P44" s="31"/>
      <c r="Q44" s="9"/>
    </row>
    <row r="45" spans="1:17" ht="18.95" customHeight="1" x14ac:dyDescent="0.2">
      <c r="A45" s="10"/>
      <c r="B45" s="8"/>
      <c r="C45" s="11"/>
      <c r="D45" s="9"/>
      <c r="E45" s="32"/>
      <c r="F45" s="9"/>
      <c r="G45" s="9"/>
      <c r="H45" s="9"/>
      <c r="I45" s="9"/>
      <c r="J45" s="9"/>
      <c r="K45" s="32"/>
      <c r="L45" s="32"/>
      <c r="M45" s="31"/>
      <c r="N45" s="9"/>
      <c r="P45" s="32"/>
      <c r="Q45" s="9"/>
    </row>
    <row r="46" spans="1:17" ht="18.95" customHeight="1" thickBot="1" x14ac:dyDescent="0.25">
      <c r="A46" s="10">
        <v>4</v>
      </c>
      <c r="B46" s="8" t="s">
        <v>48</v>
      </c>
      <c r="C46" s="11"/>
      <c r="D46" s="16">
        <f>SUM(D40:D44)</f>
        <v>5233650695.61199</v>
      </c>
      <c r="E46" s="38">
        <f>SUM(E40:E44)</f>
        <v>1</v>
      </c>
      <c r="F46" s="16">
        <v>0</v>
      </c>
      <c r="G46" s="16">
        <f>-(1295.8*0.389)*1000</f>
        <v>-504066.19999999995</v>
      </c>
      <c r="H46" s="16">
        <v>-250000</v>
      </c>
      <c r="I46" s="16">
        <v>-971313.09999999986</v>
      </c>
      <c r="J46" s="16">
        <f>SUM(J40:J44)</f>
        <v>-1725379.3</v>
      </c>
      <c r="K46" s="31"/>
      <c r="L46" s="32"/>
      <c r="M46" s="31"/>
      <c r="N46" s="9"/>
      <c r="P46" s="31"/>
      <c r="Q46" s="9"/>
    </row>
    <row r="47" spans="1:17" ht="18.95" customHeight="1" thickTop="1" x14ac:dyDescent="0.2">
      <c r="A47" s="10"/>
      <c r="B47" s="8"/>
      <c r="C47" s="11"/>
      <c r="D47" s="21"/>
      <c r="E47" s="21"/>
      <c r="F47" s="21"/>
      <c r="G47" s="21"/>
      <c r="H47" s="9"/>
      <c r="I47" s="9"/>
      <c r="J47" s="9"/>
      <c r="K47" s="21"/>
      <c r="L47" s="21"/>
      <c r="M47" s="21"/>
      <c r="N47" s="21"/>
      <c r="Q47" s="39"/>
    </row>
    <row r="48" spans="1:17" ht="18.95" customHeight="1" x14ac:dyDescent="0.2"/>
    <row r="49" spans="1:17" s="2" customFormat="1" ht="20.100000000000001" customHeight="1" x14ac:dyDescent="0.2">
      <c r="A49" s="206" t="str">
        <f>A25</f>
        <v>KENTUCKY UTILITIES COMPANY</v>
      </c>
      <c r="B49" s="206"/>
      <c r="C49" s="206"/>
      <c r="D49" s="206"/>
      <c r="E49" s="206"/>
      <c r="F49" s="206"/>
      <c r="G49" s="206"/>
      <c r="H49" s="206"/>
      <c r="I49" s="206"/>
      <c r="J49" s="206"/>
      <c r="K49" s="87"/>
      <c r="L49" s="87"/>
      <c r="M49" s="87"/>
      <c r="N49" s="29"/>
    </row>
    <row r="50" spans="1:17" s="2" customFormat="1" ht="20.100000000000001" customHeight="1" x14ac:dyDescent="0.2">
      <c r="A50" s="206" t="str">
        <f>A26</f>
        <v>CASE NO. 2016-00370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87"/>
      <c r="L50" s="87"/>
      <c r="M50" s="87"/>
      <c r="N50" s="29"/>
    </row>
    <row r="51" spans="1:17" s="2" customFormat="1" ht="20.100000000000001" customHeight="1" x14ac:dyDescent="0.2">
      <c r="A51" s="206" t="s">
        <v>100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87"/>
      <c r="L51" s="87"/>
      <c r="M51" s="87"/>
      <c r="N51" s="29"/>
    </row>
    <row r="52" spans="1:17" s="2" customFormat="1" ht="20.100000000000001" customHeight="1" x14ac:dyDescent="0.2">
      <c r="A52" s="206" t="s">
        <v>64</v>
      </c>
      <c r="B52" s="206"/>
      <c r="C52" s="206"/>
      <c r="D52" s="206"/>
      <c r="E52" s="206"/>
      <c r="F52" s="206"/>
      <c r="G52" s="206"/>
      <c r="H52" s="206"/>
      <c r="I52" s="206"/>
      <c r="J52" s="206"/>
      <c r="K52" s="87"/>
      <c r="L52" s="87"/>
      <c r="M52" s="87"/>
      <c r="N52" s="29"/>
    </row>
    <row r="53" spans="1:17" s="2" customFormat="1" ht="20.100000000000001" customHeight="1" x14ac:dyDescent="0.2">
      <c r="A53" s="206" t="str">
        <f>A29</f>
        <v>FROM JULY 1, 2017 TO JUNE 30, 2018</v>
      </c>
      <c r="B53" s="206"/>
      <c r="C53" s="206"/>
      <c r="D53" s="206"/>
      <c r="E53" s="206"/>
      <c r="F53" s="206"/>
      <c r="G53" s="206"/>
      <c r="H53" s="206"/>
      <c r="I53" s="206"/>
      <c r="J53" s="206"/>
      <c r="K53" s="87"/>
      <c r="L53" s="87"/>
      <c r="M53" s="87"/>
      <c r="N53" s="29"/>
    </row>
    <row r="54" spans="1:17" s="2" customFormat="1" ht="20.100000000000001" customHeight="1" x14ac:dyDescent="0.2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7" s="2" customFormat="1" ht="20.100000000000001" customHeight="1" x14ac:dyDescent="0.2">
      <c r="A55" s="3" t="s">
        <v>28</v>
      </c>
      <c r="M55" s="4"/>
    </row>
    <row r="56" spans="1:17" s="2" customFormat="1" ht="20.100000000000001" customHeight="1" x14ac:dyDescent="0.2">
      <c r="A56" s="3" t="s">
        <v>65</v>
      </c>
      <c r="J56" s="4" t="s">
        <v>66</v>
      </c>
    </row>
    <row r="57" spans="1:17" s="2" customFormat="1" ht="20.100000000000001" customHeight="1" x14ac:dyDescent="0.2">
      <c r="A57" s="95" t="s">
        <v>1</v>
      </c>
      <c r="J57" s="4" t="s">
        <v>101</v>
      </c>
    </row>
    <row r="58" spans="1:17" s="2" customFormat="1" ht="20.100000000000001" customHeight="1" x14ac:dyDescent="0.2">
      <c r="A58" s="3" t="s">
        <v>4</v>
      </c>
      <c r="J58" s="5" t="s">
        <v>62</v>
      </c>
    </row>
    <row r="59" spans="1:17" s="2" customFormat="1" ht="20.100000000000001" customHeight="1" x14ac:dyDescent="0.2"/>
    <row r="60" spans="1:17" ht="48" customHeight="1" x14ac:dyDescent="0.2">
      <c r="A60" s="14" t="s">
        <v>5</v>
      </c>
      <c r="B60" s="14" t="s">
        <v>29</v>
      </c>
      <c r="C60" s="14" t="s">
        <v>30</v>
      </c>
      <c r="D60" s="14" t="s">
        <v>54</v>
      </c>
      <c r="E60" s="14" t="s">
        <v>33</v>
      </c>
      <c r="F60" s="14" t="s">
        <v>102</v>
      </c>
      <c r="G60" s="14" t="s">
        <v>103</v>
      </c>
      <c r="H60" s="14" t="s">
        <v>104</v>
      </c>
      <c r="I60" s="14"/>
      <c r="J60" s="14" t="s">
        <v>55</v>
      </c>
      <c r="K60" s="11"/>
      <c r="L60" s="11"/>
      <c r="M60" s="11"/>
      <c r="N60" s="11"/>
    </row>
    <row r="61" spans="1:17" ht="18.95" customHeight="1" x14ac:dyDescent="0.2">
      <c r="A61" s="7"/>
      <c r="B61" s="30" t="s">
        <v>36</v>
      </c>
      <c r="C61" s="30" t="s">
        <v>37</v>
      </c>
      <c r="D61" s="30" t="s">
        <v>105</v>
      </c>
      <c r="E61" s="30" t="s">
        <v>39</v>
      </c>
      <c r="F61" s="30" t="s">
        <v>97</v>
      </c>
      <c r="G61" s="30" t="s">
        <v>41</v>
      </c>
      <c r="H61" s="30" t="s">
        <v>98</v>
      </c>
      <c r="I61" s="30"/>
      <c r="J61" s="30" t="s">
        <v>106</v>
      </c>
      <c r="K61" s="30"/>
      <c r="L61" s="30"/>
      <c r="M61" s="30"/>
      <c r="N61" s="30"/>
    </row>
    <row r="62" spans="1:17" ht="18.95" customHeight="1" x14ac:dyDescent="0.2">
      <c r="A62" s="7"/>
      <c r="B62" s="12"/>
      <c r="D62" s="13" t="s">
        <v>6</v>
      </c>
      <c r="E62" s="13"/>
      <c r="F62" s="13" t="s">
        <v>6</v>
      </c>
      <c r="G62" s="13" t="s">
        <v>6</v>
      </c>
      <c r="H62" s="13" t="s">
        <v>6</v>
      </c>
      <c r="I62" s="13"/>
      <c r="J62" s="13" t="s">
        <v>6</v>
      </c>
      <c r="K62" s="13"/>
      <c r="L62" s="13"/>
      <c r="M62" s="13"/>
      <c r="N62" s="13"/>
    </row>
    <row r="63" spans="1:17" ht="18.95" customHeight="1" x14ac:dyDescent="0.2">
      <c r="A63" s="10"/>
      <c r="B63" s="8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Q63" s="2"/>
    </row>
    <row r="64" spans="1:17" ht="18.95" customHeight="1" x14ac:dyDescent="0.2">
      <c r="A64" s="10">
        <v>1</v>
      </c>
      <c r="B64" s="8" t="s">
        <v>43</v>
      </c>
      <c r="C64" s="11"/>
      <c r="D64" s="9">
        <f>H16</f>
        <v>115311426.54602328</v>
      </c>
      <c r="E64" s="31">
        <f>D64/D$70</f>
        <v>2.468633552182883E-2</v>
      </c>
      <c r="F64" s="9">
        <f>F$70*$E64</f>
        <v>-25309255.802826487</v>
      </c>
      <c r="G64" s="9">
        <f>G$70*$E64</f>
        <v>-173515.03126406219</v>
      </c>
      <c r="H64" s="9">
        <f>H$70*$E64</f>
        <v>-760738.9045897685</v>
      </c>
      <c r="I64" s="9"/>
      <c r="J64" s="9">
        <f>SUM(F64:I64)</f>
        <v>-26243509.738680318</v>
      </c>
      <c r="K64" s="31"/>
      <c r="L64" s="31"/>
      <c r="M64" s="31"/>
      <c r="N64" s="9"/>
      <c r="P64" s="31"/>
      <c r="Q64" s="9"/>
    </row>
    <row r="65" spans="1:17" ht="18.95" customHeight="1" x14ac:dyDescent="0.2">
      <c r="A65" s="10"/>
      <c r="B65" s="8"/>
      <c r="C65" s="11"/>
      <c r="D65" s="9"/>
      <c r="E65" s="31"/>
      <c r="F65" s="9"/>
      <c r="G65" s="9"/>
      <c r="H65" s="9"/>
      <c r="I65" s="9"/>
      <c r="J65" s="9"/>
      <c r="K65" s="31"/>
      <c r="L65" s="32"/>
      <c r="M65" s="32"/>
      <c r="N65" s="9"/>
      <c r="P65" s="31"/>
      <c r="Q65" s="9"/>
    </row>
    <row r="66" spans="1:17" ht="18.95" customHeight="1" x14ac:dyDescent="0.2">
      <c r="A66" s="10">
        <v>2</v>
      </c>
      <c r="B66" s="8" t="s">
        <v>45</v>
      </c>
      <c r="C66" s="11"/>
      <c r="D66" s="9">
        <f>H18</f>
        <v>2067144765.9495468</v>
      </c>
      <c r="E66" s="31">
        <f>D66/D$70</f>
        <v>0.44254269323479034</v>
      </c>
      <c r="F66" s="9">
        <f>F$70*$E66</f>
        <v>-453709551.86309975</v>
      </c>
      <c r="G66" s="9">
        <f>G$70*$E66</f>
        <v>-3110538.9937043306</v>
      </c>
      <c r="H66" s="9">
        <f>H$70*$E66</f>
        <v>-13637481.488005787</v>
      </c>
      <c r="I66" s="9"/>
      <c r="J66" s="9">
        <f>SUM(F66:I66)</f>
        <v>-470457572.34480989</v>
      </c>
      <c r="K66" s="31"/>
      <c r="L66" s="33"/>
      <c r="M66" s="31"/>
      <c r="P66" s="31"/>
      <c r="Q66" s="9"/>
    </row>
    <row r="67" spans="1:17" ht="18.95" customHeight="1" x14ac:dyDescent="0.2">
      <c r="A67" s="10"/>
      <c r="B67" s="8"/>
      <c r="C67" s="11"/>
      <c r="D67" s="34"/>
      <c r="E67" s="35"/>
      <c r="F67" s="34"/>
      <c r="G67" s="34"/>
      <c r="H67" s="34"/>
      <c r="I67" s="34"/>
      <c r="J67" s="34"/>
      <c r="K67" s="35"/>
      <c r="L67" s="36"/>
      <c r="M67" s="35"/>
      <c r="N67" s="34"/>
      <c r="P67" s="35"/>
      <c r="Q67" s="34"/>
    </row>
    <row r="68" spans="1:17" ht="18.95" customHeight="1" x14ac:dyDescent="0.2">
      <c r="A68" s="10">
        <v>3</v>
      </c>
      <c r="B68" s="8" t="s">
        <v>47</v>
      </c>
      <c r="C68" s="11"/>
      <c r="D68" s="15">
        <f>H20</f>
        <v>2488606729.9077754</v>
      </c>
      <c r="E68" s="37">
        <f>D68/D$70</f>
        <v>0.53277097124338091</v>
      </c>
      <c r="F68" s="15">
        <f>F$70*$E68</f>
        <v>-546214596.4756825</v>
      </c>
      <c r="G68" s="15">
        <f>G$70*$E68</f>
        <v>-3744734.4766960992</v>
      </c>
      <c r="H68" s="15">
        <f>H$70*$E68</f>
        <v>-16417973.607404448</v>
      </c>
      <c r="I68" s="15"/>
      <c r="J68" s="15">
        <f>SUM(F68:I68)</f>
        <v>-566377304.5597831</v>
      </c>
      <c r="K68" s="31"/>
      <c r="L68" s="31"/>
      <c r="M68" s="31"/>
      <c r="N68" s="9"/>
      <c r="P68" s="31"/>
      <c r="Q68" s="9"/>
    </row>
    <row r="69" spans="1:17" ht="18.95" customHeight="1" x14ac:dyDescent="0.2">
      <c r="A69" s="10"/>
      <c r="B69" s="8"/>
      <c r="C69" s="11"/>
      <c r="D69" s="9"/>
      <c r="E69" s="32"/>
      <c r="F69" s="9"/>
      <c r="G69" s="9"/>
      <c r="H69" s="9"/>
      <c r="I69" s="9"/>
      <c r="J69" s="9"/>
      <c r="K69" s="32"/>
      <c r="L69" s="32"/>
      <c r="M69" s="31"/>
      <c r="N69" s="9"/>
      <c r="P69" s="32"/>
      <c r="Q69" s="9"/>
    </row>
    <row r="70" spans="1:17" ht="18.95" customHeight="1" thickBot="1" x14ac:dyDescent="0.25">
      <c r="A70" s="10">
        <v>4</v>
      </c>
      <c r="B70" s="8" t="s">
        <v>48</v>
      </c>
      <c r="C70" s="30"/>
      <c r="D70" s="16">
        <f>SUM(D64:D68)</f>
        <v>4671062922.4033451</v>
      </c>
      <c r="E70" s="38">
        <f>SUM(E64:E68)</f>
        <v>1</v>
      </c>
      <c r="F70" s="16">
        <v>-1025233404.1416087</v>
      </c>
      <c r="G70" s="16">
        <v>-7028788.5016644914</v>
      </c>
      <c r="H70" s="16">
        <f>H74+H73</f>
        <v>-30816194</v>
      </c>
      <c r="I70" s="16"/>
      <c r="J70" s="16">
        <f>SUM(J64:J68)</f>
        <v>-1063078386.6432734</v>
      </c>
      <c r="K70" s="31"/>
      <c r="L70" s="32"/>
      <c r="M70" s="31"/>
      <c r="N70" s="9"/>
      <c r="P70" s="31"/>
      <c r="Q70" s="9"/>
    </row>
    <row r="71" spans="1:17" ht="18.95" customHeight="1" thickTop="1" x14ac:dyDescent="0.2">
      <c r="A71" s="10"/>
      <c r="B71" s="8"/>
      <c r="C71" s="11"/>
      <c r="D71" s="21"/>
      <c r="E71" s="21"/>
      <c r="F71" s="21"/>
      <c r="G71" s="21"/>
      <c r="H71" s="9"/>
      <c r="I71" s="9"/>
      <c r="J71" s="9"/>
      <c r="K71" s="21"/>
      <c r="L71" s="21"/>
      <c r="M71" s="21"/>
      <c r="N71" s="21"/>
      <c r="Q71" s="39"/>
    </row>
    <row r="72" spans="1:17" ht="18.95" customHeight="1" x14ac:dyDescent="0.2"/>
    <row r="73" spans="1:17" ht="18.95" customHeight="1" x14ac:dyDescent="0.2">
      <c r="H73" s="89">
        <f>-(26241000-733698-1834000)</f>
        <v>-23673302</v>
      </c>
      <c r="I73" s="2" t="s">
        <v>107</v>
      </c>
    </row>
    <row r="74" spans="1:17" ht="18.95" customHeight="1" x14ac:dyDescent="0.2">
      <c r="H74" s="89">
        <v>-7142892</v>
      </c>
      <c r="I74" s="2" t="s">
        <v>108</v>
      </c>
    </row>
    <row r="75" spans="1:17" ht="18.95" customHeight="1" x14ac:dyDescent="0.2"/>
    <row r="76" spans="1:17" ht="18.95" customHeight="1" x14ac:dyDescent="0.2"/>
    <row r="77" spans="1:17" ht="18.95" customHeight="1" x14ac:dyDescent="0.2"/>
    <row r="78" spans="1:17" ht="18.95" customHeight="1" x14ac:dyDescent="0.2"/>
    <row r="79" spans="1:17" ht="18.95" customHeight="1" x14ac:dyDescent="0.2"/>
    <row r="80" spans="1:17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</sheetData>
  <mergeCells count="15">
    <mergeCell ref="A51:J51"/>
    <mergeCell ref="A52:J52"/>
    <mergeCell ref="A53:J53"/>
    <mergeCell ref="A26:J26"/>
    <mergeCell ref="A27:J27"/>
    <mergeCell ref="A28:J28"/>
    <mergeCell ref="A29:J29"/>
    <mergeCell ref="A49:J49"/>
    <mergeCell ref="A50:J50"/>
    <mergeCell ref="A25:J25"/>
    <mergeCell ref="A1:M1"/>
    <mergeCell ref="A2:M2"/>
    <mergeCell ref="A3:M3"/>
    <mergeCell ref="A4:M4"/>
    <mergeCell ref="A5:M5"/>
  </mergeCells>
  <pageMargins left="0.95" right="0.5" top="0.75" bottom="0.75" header="0.3" footer="0.3"/>
  <pageSetup scale="53" fitToHeight="0" orientation="landscape" r:id="rId1"/>
  <rowBreaks count="2" manualBreakCount="2">
    <brk id="24" max="16383" man="1"/>
    <brk id="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E30" sqref="E30"/>
    </sheetView>
  </sheetViews>
  <sheetFormatPr defaultRowHeight="12.75" x14ac:dyDescent="0.2"/>
  <cols>
    <col min="1" max="1" width="6.85546875" style="6" customWidth="1"/>
    <col min="2" max="2" width="59.42578125" style="6" customWidth="1"/>
    <col min="3" max="3" width="14.42578125" style="6" customWidth="1"/>
    <col min="4" max="4" width="18.85546875" style="6" customWidth="1"/>
    <col min="5" max="5" width="15.7109375" style="6" customWidth="1"/>
    <col min="6" max="6" width="1.85546875" style="6" customWidth="1"/>
    <col min="7" max="16384" width="9.140625" style="6"/>
  </cols>
  <sheetData>
    <row r="1" spans="1:5" s="2" customFormat="1" ht="20.100000000000001" customHeight="1" x14ac:dyDescent="0.2">
      <c r="A1" s="206" t="s">
        <v>0</v>
      </c>
      <c r="B1" s="207"/>
      <c r="C1" s="207"/>
      <c r="D1" s="207"/>
      <c r="E1" s="207"/>
    </row>
    <row r="2" spans="1:5" s="2" customFormat="1" ht="20.100000000000001" customHeight="1" x14ac:dyDescent="0.2">
      <c r="A2" s="206" t="s">
        <v>89</v>
      </c>
      <c r="B2" s="207"/>
      <c r="C2" s="207"/>
      <c r="D2" s="207"/>
      <c r="E2" s="207"/>
    </row>
    <row r="3" spans="1:5" s="2" customFormat="1" ht="20.100000000000001" customHeight="1" x14ac:dyDescent="0.2">
      <c r="A3" s="207" t="s">
        <v>11</v>
      </c>
      <c r="B3" s="207"/>
      <c r="C3" s="207"/>
      <c r="D3" s="207"/>
      <c r="E3" s="207"/>
    </row>
    <row r="4" spans="1:5" s="2" customFormat="1" ht="20.100000000000001" customHeight="1" x14ac:dyDescent="0.2">
      <c r="A4" s="206" t="s">
        <v>60</v>
      </c>
      <c r="B4" s="207"/>
      <c r="C4" s="207"/>
      <c r="D4" s="207"/>
      <c r="E4" s="207"/>
    </row>
    <row r="5" spans="1:5" s="2" customFormat="1" ht="20.100000000000001" customHeight="1" x14ac:dyDescent="0.2">
      <c r="A5" s="206" t="s">
        <v>110</v>
      </c>
      <c r="B5" s="207"/>
      <c r="C5" s="207"/>
      <c r="D5" s="207"/>
      <c r="E5" s="207"/>
    </row>
    <row r="6" spans="1:5" s="2" customFormat="1" ht="20.100000000000001" customHeight="1" x14ac:dyDescent="0.2">
      <c r="A6" s="43"/>
      <c r="B6" s="43"/>
      <c r="C6" s="43"/>
      <c r="D6" s="43"/>
      <c r="E6" s="43"/>
    </row>
    <row r="7" spans="1:5" s="2" customFormat="1" ht="20.100000000000001" customHeight="1" x14ac:dyDescent="0.2">
      <c r="A7" s="3" t="s">
        <v>7</v>
      </c>
      <c r="E7" s="4" t="s">
        <v>12</v>
      </c>
    </row>
    <row r="8" spans="1:5" s="2" customFormat="1" ht="20.100000000000001" customHeight="1" x14ac:dyDescent="0.2">
      <c r="A8" s="1" t="s">
        <v>1</v>
      </c>
      <c r="E8" s="4" t="s">
        <v>8</v>
      </c>
    </row>
    <row r="9" spans="1:5" s="2" customFormat="1" ht="20.100000000000001" customHeight="1" x14ac:dyDescent="0.2">
      <c r="A9" s="3" t="s">
        <v>26</v>
      </c>
      <c r="D9" s="3"/>
      <c r="E9" s="5" t="s">
        <v>61</v>
      </c>
    </row>
    <row r="10" spans="1:5" s="2" customFormat="1" ht="18.95" customHeight="1" x14ac:dyDescent="0.2"/>
    <row r="11" spans="1:5" s="2" customFormat="1" ht="30" customHeight="1" x14ac:dyDescent="0.2">
      <c r="A11" s="22"/>
      <c r="B11" s="22"/>
      <c r="C11" s="22"/>
      <c r="D11" s="221" t="s">
        <v>13</v>
      </c>
      <c r="E11" s="221"/>
    </row>
    <row r="12" spans="1:5" ht="24" customHeight="1" x14ac:dyDescent="0.2">
      <c r="A12" s="23" t="s">
        <v>5</v>
      </c>
      <c r="B12" s="23" t="s">
        <v>2</v>
      </c>
      <c r="C12" s="23"/>
      <c r="D12" s="23" t="s">
        <v>3</v>
      </c>
      <c r="E12" s="23" t="s">
        <v>14</v>
      </c>
    </row>
    <row r="13" spans="1:5" ht="18.95" customHeight="1" x14ac:dyDescent="0.2">
      <c r="A13" s="7"/>
      <c r="B13" s="12"/>
      <c r="C13" s="13"/>
      <c r="D13" s="13"/>
      <c r="E13" s="13"/>
    </row>
    <row r="14" spans="1:5" ht="18.95" customHeight="1" x14ac:dyDescent="0.2">
      <c r="A14" s="7">
        <v>1</v>
      </c>
      <c r="B14" s="8" t="s">
        <v>15</v>
      </c>
      <c r="C14" s="9"/>
      <c r="D14" s="24">
        <v>1</v>
      </c>
      <c r="E14" s="24">
        <v>1</v>
      </c>
    </row>
    <row r="15" spans="1:5" ht="18.95" customHeight="1" x14ac:dyDescent="0.2">
      <c r="A15" s="10"/>
      <c r="B15" s="8"/>
      <c r="C15" s="9"/>
      <c r="D15" s="24"/>
      <c r="E15" s="24"/>
    </row>
    <row r="16" spans="1:5" ht="18.95" customHeight="1" x14ac:dyDescent="0.2">
      <c r="A16" s="10">
        <v>2</v>
      </c>
      <c r="B16" s="8" t="s">
        <v>16</v>
      </c>
      <c r="C16" s="9"/>
      <c r="D16" s="24">
        <v>3.2000000000000002E-3</v>
      </c>
      <c r="E16" s="24">
        <f>D16</f>
        <v>3.2000000000000002E-3</v>
      </c>
    </row>
    <row r="17" spans="1:5" ht="18.95" customHeight="1" x14ac:dyDescent="0.2">
      <c r="A17" s="10"/>
      <c r="B17" s="8"/>
      <c r="C17" s="9"/>
      <c r="D17" s="24"/>
      <c r="E17" s="24"/>
    </row>
    <row r="18" spans="1:5" ht="18.95" customHeight="1" x14ac:dyDescent="0.2">
      <c r="A18" s="10">
        <v>3</v>
      </c>
      <c r="B18" s="8" t="s">
        <v>17</v>
      </c>
      <c r="D18" s="24">
        <v>1.941E-3</v>
      </c>
      <c r="E18" s="24">
        <f>D18</f>
        <v>1.941E-3</v>
      </c>
    </row>
    <row r="19" spans="1:5" ht="18.95" customHeight="1" x14ac:dyDescent="0.2">
      <c r="A19" s="10"/>
      <c r="B19" s="18"/>
      <c r="C19" s="9"/>
      <c r="D19" s="24"/>
      <c r="E19" s="24"/>
    </row>
    <row r="20" spans="1:5" ht="18.95" customHeight="1" x14ac:dyDescent="0.2">
      <c r="A20" s="10">
        <v>4</v>
      </c>
      <c r="B20" s="8" t="s">
        <v>18</v>
      </c>
      <c r="D20" s="25">
        <v>3.4967999999999999E-2</v>
      </c>
      <c r="E20" s="25"/>
    </row>
    <row r="21" spans="1:5" ht="18.95" customHeight="1" x14ac:dyDescent="0.2">
      <c r="A21" s="10"/>
      <c r="B21" s="17"/>
      <c r="D21" s="24"/>
      <c r="E21" s="24"/>
    </row>
    <row r="22" spans="1:5" ht="18.95" customHeight="1" x14ac:dyDescent="0.2">
      <c r="A22" s="10">
        <v>5</v>
      </c>
      <c r="B22" s="8" t="s">
        <v>19</v>
      </c>
      <c r="C22" s="9"/>
      <c r="D22" s="24">
        <f>D14-D16-D18-D20</f>
        <v>0.95989100000000005</v>
      </c>
      <c r="E22" s="24">
        <f>E14-E16-E18-E20</f>
        <v>0.99485900000000005</v>
      </c>
    </row>
    <row r="23" spans="1:5" ht="18.95" customHeight="1" x14ac:dyDescent="0.2">
      <c r="A23" s="10"/>
      <c r="B23" s="90"/>
      <c r="C23" s="9"/>
      <c r="D23" s="24"/>
      <c r="E23" s="24"/>
    </row>
    <row r="24" spans="1:5" ht="18.95" customHeight="1" x14ac:dyDescent="0.2">
      <c r="A24" s="10">
        <v>6</v>
      </c>
      <c r="B24" s="90" t="s">
        <v>20</v>
      </c>
      <c r="C24" s="20">
        <v>0.06</v>
      </c>
      <c r="D24" s="24">
        <f>D22*C24</f>
        <v>5.7593459999999999E-2</v>
      </c>
      <c r="E24" s="24">
        <f>D24</f>
        <v>5.7593459999999999E-2</v>
      </c>
    </row>
    <row r="25" spans="1:5" ht="18.95" customHeight="1" x14ac:dyDescent="0.2">
      <c r="A25" s="10"/>
      <c r="B25" s="90"/>
      <c r="C25" s="9"/>
      <c r="D25" s="24"/>
      <c r="E25" s="24"/>
    </row>
    <row r="26" spans="1:5" ht="18.95" customHeight="1" x14ac:dyDescent="0.2">
      <c r="A26" s="10">
        <v>7</v>
      </c>
      <c r="B26" s="8" t="s">
        <v>21</v>
      </c>
      <c r="C26" s="9"/>
      <c r="D26" s="24"/>
      <c r="E26" s="25">
        <v>0</v>
      </c>
    </row>
    <row r="27" spans="1:5" ht="18.95" customHeight="1" x14ac:dyDescent="0.2">
      <c r="A27" s="10"/>
      <c r="B27" s="90"/>
      <c r="C27" s="9"/>
      <c r="D27" s="24"/>
      <c r="E27" s="24"/>
    </row>
    <row r="28" spans="1:5" ht="18.95" customHeight="1" x14ac:dyDescent="0.2">
      <c r="A28" s="10">
        <v>8</v>
      </c>
      <c r="B28" s="8" t="s">
        <v>22</v>
      </c>
      <c r="D28" s="24"/>
      <c r="E28" s="24">
        <f>E22-E24-E26</f>
        <v>0.93726554000000006</v>
      </c>
    </row>
    <row r="29" spans="1:5" ht="18.95" customHeight="1" x14ac:dyDescent="0.2">
      <c r="A29" s="10"/>
      <c r="B29" s="91"/>
      <c r="C29" s="9"/>
      <c r="D29" s="24"/>
      <c r="E29" s="24"/>
    </row>
    <row r="30" spans="1:5" ht="18.95" customHeight="1" x14ac:dyDescent="0.2">
      <c r="A30" s="10">
        <v>9</v>
      </c>
      <c r="B30" s="90" t="s">
        <v>23</v>
      </c>
      <c r="C30" s="20">
        <v>0.35</v>
      </c>
      <c r="D30" s="26"/>
      <c r="E30" s="25">
        <f>E28*C30</f>
        <v>0.32804293899999998</v>
      </c>
    </row>
    <row r="31" spans="1:5" ht="18.95" customHeight="1" x14ac:dyDescent="0.2">
      <c r="A31" s="10"/>
      <c r="B31" s="91"/>
      <c r="C31" s="9"/>
      <c r="D31" s="24"/>
      <c r="E31" s="24"/>
    </row>
    <row r="32" spans="1:5" ht="18.95" customHeight="1" thickBot="1" x14ac:dyDescent="0.25">
      <c r="A32" s="10">
        <v>10</v>
      </c>
      <c r="B32" s="90" t="s">
        <v>24</v>
      </c>
      <c r="E32" s="27">
        <f>E22-E24-E30</f>
        <v>0.60922260100000014</v>
      </c>
    </row>
    <row r="33" spans="1:5" ht="18.95" customHeight="1" thickTop="1" x14ac:dyDescent="0.2">
      <c r="A33" s="10"/>
      <c r="B33" s="91"/>
      <c r="C33" s="9"/>
      <c r="D33" s="9"/>
      <c r="E33" s="9"/>
    </row>
    <row r="34" spans="1:5" ht="18.95" customHeight="1" thickBot="1" x14ac:dyDescent="0.25">
      <c r="A34" s="10">
        <v>11</v>
      </c>
      <c r="B34" s="90" t="s">
        <v>25</v>
      </c>
      <c r="E34" s="28">
        <f>E14/E32</f>
        <v>1.6414361488864064</v>
      </c>
    </row>
    <row r="35" spans="1:5" ht="18.95" customHeight="1" thickTop="1" x14ac:dyDescent="0.2">
      <c r="A35" s="10"/>
      <c r="B35" s="91"/>
      <c r="C35" s="20"/>
      <c r="D35" s="9"/>
      <c r="E35" s="20"/>
    </row>
    <row r="36" spans="1:5" ht="18.95" customHeight="1" thickBot="1" x14ac:dyDescent="0.25">
      <c r="E36" s="28">
        <f>E14/E22</f>
        <v>1.0051675664591666</v>
      </c>
    </row>
    <row r="37" spans="1:5" ht="18.95" customHeight="1" thickTop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6"/>
  <sheetViews>
    <sheetView zoomScaleNormal="100" workbookViewId="0">
      <selection activeCell="A13" sqref="A13"/>
    </sheetView>
  </sheetViews>
  <sheetFormatPr defaultRowHeight="12.75" x14ac:dyDescent="0.2"/>
  <cols>
    <col min="1" max="1" width="6.85546875" style="6" customWidth="1"/>
    <col min="2" max="2" width="24.28515625" style="6" customWidth="1"/>
    <col min="3" max="3" width="15.140625" style="6" customWidth="1"/>
    <col min="4" max="4" width="17.7109375" style="6" customWidth="1"/>
    <col min="5" max="5" width="13.85546875" style="6" customWidth="1"/>
    <col min="6" max="6" width="17.85546875" style="6" customWidth="1"/>
    <col min="7" max="7" width="16.140625" style="6" customWidth="1"/>
    <col min="8" max="8" width="16.42578125" style="6" customWidth="1"/>
    <col min="9" max="9" width="19.5703125" style="6" customWidth="1"/>
    <col min="10" max="10" width="17.140625" style="6" customWidth="1"/>
    <col min="11" max="11" width="12.5703125" style="6" customWidth="1"/>
    <col min="12" max="12" width="10.85546875" style="6" customWidth="1"/>
    <col min="13" max="13" width="12.85546875" style="6" customWidth="1"/>
    <col min="14" max="15" width="15.7109375" style="6" customWidth="1"/>
    <col min="16" max="16" width="14" style="6" customWidth="1"/>
    <col min="17" max="17" width="1.85546875" style="6" customWidth="1"/>
    <col min="18" max="18" width="11.5703125" style="6" bestFit="1" customWidth="1"/>
    <col min="19" max="19" width="12.140625" style="6" customWidth="1"/>
    <col min="20" max="16384" width="9.140625" style="6"/>
  </cols>
  <sheetData>
    <row r="1" spans="1:19" ht="20.100000000000001" customHeight="1" x14ac:dyDescent="0.2">
      <c r="O1" s="4" t="s">
        <v>333</v>
      </c>
    </row>
    <row r="2" spans="1:19" ht="20.100000000000001" customHeight="1" x14ac:dyDescent="0.2">
      <c r="O2" s="4" t="s">
        <v>286</v>
      </c>
    </row>
    <row r="3" spans="1:19" s="2" customFormat="1" ht="20.100000000000001" customHeight="1" x14ac:dyDescent="0.2">
      <c r="A3" s="206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9"/>
    </row>
    <row r="4" spans="1:19" s="2" customFormat="1" ht="20.100000000000001" customHeight="1" x14ac:dyDescent="0.2">
      <c r="A4" s="206" t="s">
        <v>332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9"/>
    </row>
    <row r="5" spans="1:19" s="2" customFormat="1" ht="20.100000000000001" customHeight="1" x14ac:dyDescent="0.2">
      <c r="A5" s="207" t="s">
        <v>27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9"/>
    </row>
    <row r="6" spans="1:19" s="2" customFormat="1" ht="20.100000000000001" customHeight="1" x14ac:dyDescent="0.2">
      <c r="A6" s="207" t="s">
        <v>111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9"/>
    </row>
    <row r="7" spans="1:19" s="2" customFormat="1" ht="20.100000000000001" customHeight="1" x14ac:dyDescent="0.2">
      <c r="A7" s="207" t="s">
        <v>69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9"/>
    </row>
    <row r="8" spans="1:19" s="2" customFormat="1" ht="20.100000000000001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3"/>
      <c r="N8" s="43"/>
      <c r="P8" s="41"/>
    </row>
    <row r="9" spans="1:19" s="2" customFormat="1" ht="20.100000000000001" customHeight="1" x14ac:dyDescent="0.2"/>
    <row r="10" spans="1:19" ht="66" customHeight="1" x14ac:dyDescent="0.2">
      <c r="A10" s="14" t="s">
        <v>5</v>
      </c>
      <c r="B10" s="14" t="s">
        <v>29</v>
      </c>
      <c r="C10" s="14" t="s">
        <v>203</v>
      </c>
      <c r="D10" s="14" t="s">
        <v>112</v>
      </c>
      <c r="E10" s="14" t="s">
        <v>31</v>
      </c>
      <c r="F10" s="14" t="s">
        <v>32</v>
      </c>
      <c r="G10" s="14" t="s">
        <v>49</v>
      </c>
      <c r="H10" s="14" t="s">
        <v>54</v>
      </c>
      <c r="I10" s="14" t="s">
        <v>55</v>
      </c>
      <c r="J10" s="14" t="s">
        <v>50</v>
      </c>
      <c r="K10" s="14" t="s">
        <v>33</v>
      </c>
      <c r="L10" s="14" t="s">
        <v>34</v>
      </c>
      <c r="M10" s="14" t="s">
        <v>113</v>
      </c>
      <c r="N10" s="14" t="s">
        <v>70</v>
      </c>
      <c r="O10" s="14" t="s">
        <v>71</v>
      </c>
      <c r="P10" s="11"/>
    </row>
    <row r="11" spans="1:19" ht="18.95" customHeight="1" x14ac:dyDescent="0.2">
      <c r="A11" s="7"/>
      <c r="B11" s="30" t="s">
        <v>36</v>
      </c>
      <c r="C11" s="30" t="s">
        <v>37</v>
      </c>
      <c r="D11" s="30" t="s">
        <v>38</v>
      </c>
      <c r="E11" s="30" t="s">
        <v>39</v>
      </c>
      <c r="F11" s="30" t="s">
        <v>40</v>
      </c>
      <c r="G11" s="30" t="s">
        <v>41</v>
      </c>
      <c r="H11" s="30" t="s">
        <v>51</v>
      </c>
      <c r="I11" s="30" t="s">
        <v>52</v>
      </c>
      <c r="J11" s="30" t="s">
        <v>56</v>
      </c>
      <c r="K11" s="30" t="s">
        <v>57</v>
      </c>
      <c r="L11" s="30" t="s">
        <v>58</v>
      </c>
      <c r="M11" s="30" t="s">
        <v>59</v>
      </c>
      <c r="N11" s="45" t="str">
        <f>CONCATENATE("(M) AT ",TEXT('Effective Tax Rate (PG7)'!$F$23,"0.00%"),)</f>
        <v>(M) AT 25.74%</v>
      </c>
      <c r="O11" s="45" t="s">
        <v>72</v>
      </c>
      <c r="P11" s="30"/>
    </row>
    <row r="12" spans="1:19" ht="18.95" customHeight="1" x14ac:dyDescent="0.2">
      <c r="A12" s="7"/>
      <c r="B12" s="12"/>
      <c r="C12" s="12"/>
      <c r="D12" s="13" t="s">
        <v>6</v>
      </c>
      <c r="E12" s="13" t="s">
        <v>6</v>
      </c>
      <c r="F12" s="13" t="s">
        <v>6</v>
      </c>
      <c r="G12" s="13"/>
      <c r="H12" s="13" t="s">
        <v>6</v>
      </c>
      <c r="I12" s="13" t="s">
        <v>6</v>
      </c>
      <c r="J12" s="13" t="s">
        <v>6</v>
      </c>
      <c r="K12" s="13"/>
      <c r="L12" s="13" t="s">
        <v>42</v>
      </c>
      <c r="M12" s="13" t="s">
        <v>42</v>
      </c>
      <c r="N12" s="13" t="s">
        <v>42</v>
      </c>
      <c r="O12" s="13" t="s">
        <v>42</v>
      </c>
      <c r="P12" s="13"/>
    </row>
    <row r="13" spans="1:19" ht="18.95" customHeight="1" x14ac:dyDescent="0.2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"/>
      <c r="S13" s="2"/>
    </row>
    <row r="14" spans="1:19" ht="18.95" customHeight="1" x14ac:dyDescent="0.2">
      <c r="A14" s="10">
        <v>1</v>
      </c>
      <c r="B14" s="8" t="s">
        <v>43</v>
      </c>
      <c r="C14" s="11"/>
      <c r="D14" s="9">
        <f>'Cost of Capital (PGS3-4)'!D12</f>
        <v>132679493.84537211</v>
      </c>
      <c r="E14" s="9">
        <f>'Cost of Capital (PGS3-4)'!E12</f>
        <v>-10583.374931408416</v>
      </c>
      <c r="F14" s="9">
        <f>SUM(D14:E14)</f>
        <v>132668910.4704407</v>
      </c>
      <c r="G14" s="31">
        <v>0.89280000000000004</v>
      </c>
      <c r="H14" s="9">
        <f>F14*G14</f>
        <v>118446803.26800947</v>
      </c>
      <c r="I14" s="9">
        <f>'Cost of Capital (PGS3-4)'!I12</f>
        <v>-27179688.51804648</v>
      </c>
      <c r="J14" s="9">
        <f>SUM(H14:I14)</f>
        <v>91267114.749962986</v>
      </c>
      <c r="K14" s="31">
        <f>H14/H$20</f>
        <v>2.4688651169092791E-2</v>
      </c>
      <c r="L14" s="31">
        <f>'Cost of Capital (PGS3-4)'!L12</f>
        <v>2.9393468441489875E-2</v>
      </c>
      <c r="M14" s="31">
        <f>K14*L14</f>
        <v>7.2568508900168103E-4</v>
      </c>
      <c r="N14" s="31"/>
      <c r="O14" s="31">
        <f>SUM(M14:N14)</f>
        <v>7.2568508900168103E-4</v>
      </c>
      <c r="P14" s="9"/>
      <c r="R14" s="31"/>
      <c r="S14" s="9"/>
    </row>
    <row r="15" spans="1:19" ht="18.95" customHeight="1" x14ac:dyDescent="0.2">
      <c r="A15" s="10"/>
      <c r="B15" s="8"/>
      <c r="C15" s="11"/>
      <c r="D15" s="9"/>
      <c r="E15" s="9"/>
      <c r="F15" s="9"/>
      <c r="G15" s="31"/>
      <c r="H15" s="9"/>
      <c r="I15" s="9"/>
      <c r="J15" s="9"/>
      <c r="K15" s="31"/>
      <c r="L15" s="32"/>
      <c r="M15" s="32"/>
      <c r="N15" s="32"/>
      <c r="O15" s="32"/>
      <c r="P15" s="9"/>
      <c r="R15" s="31"/>
      <c r="S15" s="9"/>
    </row>
    <row r="16" spans="1:19" ht="18.95" customHeight="1" x14ac:dyDescent="0.2">
      <c r="A16" s="10">
        <v>2</v>
      </c>
      <c r="B16" s="8" t="s">
        <v>45</v>
      </c>
      <c r="C16" s="11"/>
      <c r="D16" s="9">
        <f>'Cost of Capital (PGS3-4)'!D14</f>
        <v>2378495605.0459571</v>
      </c>
      <c r="E16" s="9">
        <f>'Cost of Capital (PGS3-4)'!E14</f>
        <v>-189724.19950776367</v>
      </c>
      <c r="F16" s="9">
        <f>SUM(D16:E16)</f>
        <v>2378305880.8464494</v>
      </c>
      <c r="G16" s="31">
        <f>G$14</f>
        <v>0.89280000000000004</v>
      </c>
      <c r="H16" s="9">
        <f>F16*G16</f>
        <v>2123351490.4197102</v>
      </c>
      <c r="I16" s="9">
        <f>'Cost of Capital (PGS3-4)'!I14</f>
        <v>-487240098.77541834</v>
      </c>
      <c r="J16" s="9">
        <f>SUM(H16:I16)</f>
        <v>1636111391.6442919</v>
      </c>
      <c r="K16" s="31">
        <f>H16/H$20</f>
        <v>0.44258420497620982</v>
      </c>
      <c r="L16" s="33">
        <f>'Cost of Capital (PGS3-4)'!L14</f>
        <v>4.2645824303846738E-2</v>
      </c>
      <c r="M16" s="31">
        <f>K16*L16</f>
        <v>1.8874368245073134E-2</v>
      </c>
      <c r="N16" s="31"/>
      <c r="O16" s="31">
        <f>SUM(M16:N16)</f>
        <v>1.8874368245073134E-2</v>
      </c>
      <c r="R16" s="31"/>
      <c r="S16" s="9"/>
    </row>
    <row r="17" spans="1:19" ht="18.95" customHeight="1" x14ac:dyDescent="0.2">
      <c r="A17" s="10"/>
      <c r="B17" s="8"/>
      <c r="C17" s="11"/>
      <c r="D17" s="34"/>
      <c r="E17" s="34"/>
      <c r="F17" s="34"/>
      <c r="G17" s="35"/>
      <c r="H17" s="34"/>
      <c r="I17" s="34"/>
      <c r="J17" s="34"/>
      <c r="K17" s="35"/>
      <c r="L17" s="36"/>
      <c r="M17" s="35"/>
      <c r="N17" s="35"/>
      <c r="O17" s="35"/>
      <c r="P17" s="34"/>
      <c r="R17" s="35"/>
      <c r="S17" s="34"/>
    </row>
    <row r="18" spans="1:19" ht="18.95" customHeight="1" x14ac:dyDescent="0.2">
      <c r="A18" s="10">
        <v>3</v>
      </c>
      <c r="B18" s="8" t="s">
        <v>47</v>
      </c>
      <c r="C18" s="11"/>
      <c r="D18" s="15">
        <f>'Cost of Capital (PGS3-4)'!D16</f>
        <v>2863437659.1687164</v>
      </c>
      <c r="E18" s="15">
        <f>'Cost of Capital (PGS3-4)'!E16</f>
        <v>-732472.51556082792</v>
      </c>
      <c r="F18" s="15">
        <f>SUM(D18:E18)</f>
        <v>2862705186.6531558</v>
      </c>
      <c r="G18" s="31">
        <f>G$14</f>
        <v>0.89280000000000004</v>
      </c>
      <c r="H18" s="15">
        <f>F18*G18</f>
        <v>2555823190.6439376</v>
      </c>
      <c r="I18" s="15">
        <f>'Cost of Capital (PGS3-4)'!I16</f>
        <v>-586478286.55806112</v>
      </c>
      <c r="J18" s="15">
        <f>SUM(H18:I18)</f>
        <v>1969344904.0858765</v>
      </c>
      <c r="K18" s="37">
        <f>H18/H$20</f>
        <v>0.53272714385469733</v>
      </c>
      <c r="L18" s="31">
        <v>9.7000000000000003E-2</v>
      </c>
      <c r="M18" s="37">
        <f>K18*L18</f>
        <v>5.1674532953905644E-2</v>
      </c>
      <c r="N18" s="37">
        <f>M18*('Effective Tax Rate (PG7)'!F23/(1-'Effective Tax Rate (PG7)'!F23))</f>
        <v>1.7911425777451272E-2</v>
      </c>
      <c r="O18" s="37">
        <f>SUM(M18:N18)</f>
        <v>6.9585958731356923E-2</v>
      </c>
      <c r="P18" s="9"/>
      <c r="R18" s="31"/>
      <c r="S18" s="9"/>
    </row>
    <row r="19" spans="1:19" ht="18.95" customHeight="1" x14ac:dyDescent="0.2">
      <c r="A19" s="10"/>
      <c r="B19" s="8"/>
      <c r="C19" s="11"/>
      <c r="D19" s="9"/>
      <c r="E19" s="9"/>
      <c r="F19" s="9"/>
      <c r="G19" s="32"/>
      <c r="H19" s="9"/>
      <c r="I19" s="9"/>
      <c r="J19" s="9"/>
      <c r="K19" s="32"/>
      <c r="L19" s="32"/>
      <c r="M19" s="31"/>
      <c r="N19" s="31"/>
      <c r="O19" s="31"/>
      <c r="P19" s="9"/>
      <c r="R19" s="32"/>
      <c r="S19" s="9"/>
    </row>
    <row r="20" spans="1:19" ht="18.95" customHeight="1" thickBot="1" x14ac:dyDescent="0.25">
      <c r="A20" s="10">
        <v>4</v>
      </c>
      <c r="B20" s="8" t="s">
        <v>48</v>
      </c>
      <c r="C20" s="11"/>
      <c r="D20" s="16">
        <f>SUM(D14:D18)</f>
        <v>5374612758.0600452</v>
      </c>
      <c r="E20" s="16">
        <f>SUM(E14:E18)</f>
        <v>-932780.09</v>
      </c>
      <c r="F20" s="16">
        <f>SUM(F14:F18)</f>
        <v>5373679977.970046</v>
      </c>
      <c r="G20" s="31"/>
      <c r="H20" s="16">
        <f>SUM(H14:H18)</f>
        <v>4797621484.3316574</v>
      </c>
      <c r="I20" s="16">
        <f>SUM(I14:I18)</f>
        <v>-1100898073.851526</v>
      </c>
      <c r="J20" s="16">
        <f>SUM(J14:J18)</f>
        <v>3696723410.4801311</v>
      </c>
      <c r="K20" s="38">
        <f>SUM(K14:K18)</f>
        <v>1</v>
      </c>
      <c r="L20" s="32"/>
      <c r="M20" s="38">
        <f t="shared" ref="M20:O20" si="0">SUM(M14:M18)</f>
        <v>7.127458628798046E-2</v>
      </c>
      <c r="N20" s="38">
        <f t="shared" ref="N20" si="1">SUM(N14:N18)</f>
        <v>1.7911425777451272E-2</v>
      </c>
      <c r="O20" s="114">
        <f t="shared" si="0"/>
        <v>8.9186012065431738E-2</v>
      </c>
      <c r="P20" s="9"/>
      <c r="R20" s="31"/>
      <c r="S20" s="9"/>
    </row>
    <row r="21" spans="1:19" ht="18.95" customHeight="1" thickTop="1" x14ac:dyDescent="0.2">
      <c r="A21" s="10"/>
      <c r="B21" s="8"/>
      <c r="C21" s="11"/>
      <c r="D21" s="9"/>
      <c r="E21" s="9"/>
      <c r="F21" s="9"/>
      <c r="G21" s="31"/>
      <c r="H21" s="9"/>
      <c r="I21" s="9"/>
      <c r="J21" s="9"/>
      <c r="K21" s="31"/>
      <c r="L21" s="32"/>
      <c r="M21" s="31"/>
      <c r="N21" s="31"/>
      <c r="O21" s="31"/>
      <c r="P21" s="9"/>
      <c r="R21" s="31"/>
      <c r="S21" s="9"/>
    </row>
    <row r="22" spans="1:19" ht="18.95" customHeight="1" x14ac:dyDescent="0.2">
      <c r="B22" s="115" t="s">
        <v>187</v>
      </c>
      <c r="C22" s="11"/>
      <c r="D22" s="9"/>
      <c r="E22" s="9"/>
      <c r="F22" s="9"/>
      <c r="G22" s="31"/>
      <c r="H22" s="9"/>
      <c r="I22" s="9"/>
      <c r="J22" s="9"/>
      <c r="K22" s="31"/>
      <c r="L22" s="32"/>
      <c r="M22" s="31"/>
      <c r="N22" s="31"/>
      <c r="O22" s="31"/>
      <c r="P22" s="9"/>
      <c r="R22" s="31"/>
      <c r="S22" s="9"/>
    </row>
    <row r="23" spans="1:19" ht="18.95" customHeight="1" x14ac:dyDescent="0.2">
      <c r="A23" s="10"/>
      <c r="B23" s="3" t="s">
        <v>204</v>
      </c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9" ht="18.95" customHeight="1" x14ac:dyDescent="0.2">
      <c r="B24" s="3" t="s">
        <v>190</v>
      </c>
    </row>
    <row r="25" spans="1:19" ht="18.95" customHeight="1" x14ac:dyDescent="0.2">
      <c r="B25" s="3" t="s">
        <v>205</v>
      </c>
    </row>
    <row r="26" spans="1:19" ht="18.95" customHeight="1" x14ac:dyDescent="0.2">
      <c r="B26" s="3" t="s">
        <v>289</v>
      </c>
    </row>
    <row r="27" spans="1:19" ht="18.95" customHeight="1" x14ac:dyDescent="0.2">
      <c r="B27" s="3" t="s">
        <v>288</v>
      </c>
    </row>
    <row r="28" spans="1:19" ht="18.95" customHeight="1" x14ac:dyDescent="0.2">
      <c r="B28" s="3"/>
    </row>
    <row r="29" spans="1:19" ht="18.95" customHeight="1" x14ac:dyDescent="0.2">
      <c r="B29" s="3"/>
    </row>
    <row r="30" spans="1:19" ht="18.95" customHeight="1" x14ac:dyDescent="0.2"/>
    <row r="31" spans="1:19" ht="18.95" customHeight="1" x14ac:dyDescent="0.2"/>
    <row r="32" spans="1:19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</sheetData>
  <mergeCells count="5">
    <mergeCell ref="A3:O3"/>
    <mergeCell ref="A4:O4"/>
    <mergeCell ref="A5:O5"/>
    <mergeCell ref="A6:O6"/>
    <mergeCell ref="A7:O7"/>
  </mergeCells>
  <pageMargins left="0.7" right="0.7" top="1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5"/>
  <sheetViews>
    <sheetView topLeftCell="A20" zoomScaleNormal="100" workbookViewId="0">
      <selection activeCell="A27" sqref="A27"/>
    </sheetView>
  </sheetViews>
  <sheetFormatPr defaultRowHeight="12.75" x14ac:dyDescent="0.2"/>
  <cols>
    <col min="1" max="1" width="6.85546875" style="6" customWidth="1"/>
    <col min="2" max="2" width="24.28515625" style="6" customWidth="1"/>
    <col min="3" max="3" width="15.140625" style="6" customWidth="1"/>
    <col min="4" max="4" width="17.7109375" style="6" customWidth="1"/>
    <col min="5" max="5" width="13.85546875" style="6" customWidth="1"/>
    <col min="6" max="6" width="17.85546875" style="6" customWidth="1"/>
    <col min="7" max="7" width="16.140625" style="6" customWidth="1"/>
    <col min="8" max="8" width="16.42578125" style="6" customWidth="1"/>
    <col min="9" max="9" width="19.5703125" style="6" customWidth="1"/>
    <col min="10" max="10" width="17.140625" style="6" customWidth="1"/>
    <col min="11" max="11" width="12.5703125" style="6" customWidth="1"/>
    <col min="12" max="12" width="10.85546875" style="6" customWidth="1"/>
    <col min="13" max="13" width="12.85546875" style="6" customWidth="1"/>
    <col min="14" max="14" width="14" style="6" customWidth="1"/>
    <col min="15" max="15" width="1.85546875" style="6" customWidth="1"/>
    <col min="16" max="16" width="11.5703125" style="6" bestFit="1" customWidth="1"/>
    <col min="17" max="17" width="12.140625" style="6" customWidth="1"/>
    <col min="18" max="16384" width="9.140625" style="6"/>
  </cols>
  <sheetData>
    <row r="1" spans="1:17" s="2" customFormat="1" ht="20.100000000000001" hidden="1" customHeight="1" x14ac:dyDescent="0.2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9"/>
    </row>
    <row r="2" spans="1:17" s="2" customFormat="1" ht="20.100000000000001" hidden="1" customHeight="1" x14ac:dyDescent="0.2">
      <c r="A2" s="206" t="s">
        <v>63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9"/>
    </row>
    <row r="3" spans="1:17" s="2" customFormat="1" ht="20.100000000000001" hidden="1" customHeight="1" x14ac:dyDescent="0.2">
      <c r="A3" s="207" t="s">
        <v>27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9"/>
    </row>
    <row r="4" spans="1:17" s="2" customFormat="1" ht="20.100000000000001" hidden="1" customHeight="1" x14ac:dyDescent="0.2">
      <c r="A4" s="207" t="s">
        <v>111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9"/>
    </row>
    <row r="5" spans="1:17" s="2" customFormat="1" ht="20.100000000000001" hidden="1" customHeight="1" x14ac:dyDescent="0.2">
      <c r="A5" s="207" t="s">
        <v>69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9"/>
    </row>
    <row r="6" spans="1:17" s="2" customFormat="1" ht="20.100000000000001" hidden="1" customHeight="1" x14ac:dyDescent="0.2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7" s="2" customFormat="1" ht="20.100000000000001" hidden="1" customHeight="1" x14ac:dyDescent="0.2"/>
    <row r="8" spans="1:17" ht="66" hidden="1" customHeight="1" x14ac:dyDescent="0.2">
      <c r="A8" s="14" t="s">
        <v>5</v>
      </c>
      <c r="B8" s="14" t="s">
        <v>29</v>
      </c>
      <c r="C8" s="14" t="s">
        <v>203</v>
      </c>
      <c r="D8" s="14" t="s">
        <v>112</v>
      </c>
      <c r="E8" s="14" t="s">
        <v>31</v>
      </c>
      <c r="F8" s="14" t="s">
        <v>32</v>
      </c>
      <c r="G8" s="14" t="s">
        <v>49</v>
      </c>
      <c r="H8" s="14" t="s">
        <v>54</v>
      </c>
      <c r="I8" s="14" t="s">
        <v>55</v>
      </c>
      <c r="J8" s="14" t="s">
        <v>50</v>
      </c>
      <c r="K8" s="14" t="s">
        <v>33</v>
      </c>
      <c r="L8" s="14" t="s">
        <v>34</v>
      </c>
      <c r="M8" s="14" t="s">
        <v>113</v>
      </c>
      <c r="N8" s="11"/>
    </row>
    <row r="9" spans="1:17" ht="18.95" hidden="1" customHeight="1" x14ac:dyDescent="0.2">
      <c r="A9" s="7"/>
      <c r="B9" s="30" t="s">
        <v>36</v>
      </c>
      <c r="C9" s="30" t="s">
        <v>37</v>
      </c>
      <c r="D9" s="30" t="s">
        <v>38</v>
      </c>
      <c r="E9" s="30" t="s">
        <v>39</v>
      </c>
      <c r="F9" s="30" t="s">
        <v>40</v>
      </c>
      <c r="G9" s="30" t="s">
        <v>41</v>
      </c>
      <c r="H9" s="30" t="s">
        <v>51</v>
      </c>
      <c r="I9" s="30" t="s">
        <v>52</v>
      </c>
      <c r="J9" s="30" t="s">
        <v>56</v>
      </c>
      <c r="K9" s="30" t="s">
        <v>57</v>
      </c>
      <c r="L9" s="30" t="s">
        <v>58</v>
      </c>
      <c r="M9" s="30" t="s">
        <v>59</v>
      </c>
      <c r="N9" s="30"/>
    </row>
    <row r="10" spans="1:17" ht="18.95" hidden="1" customHeight="1" x14ac:dyDescent="0.2">
      <c r="A10" s="7"/>
      <c r="B10" s="12"/>
      <c r="C10" s="12"/>
      <c r="D10" s="13" t="s">
        <v>6</v>
      </c>
      <c r="E10" s="13" t="s">
        <v>6</v>
      </c>
      <c r="F10" s="13" t="s">
        <v>6</v>
      </c>
      <c r="G10" s="13"/>
      <c r="H10" s="13" t="s">
        <v>6</v>
      </c>
      <c r="I10" s="13" t="s">
        <v>6</v>
      </c>
      <c r="J10" s="13" t="s">
        <v>6</v>
      </c>
      <c r="K10" s="13"/>
      <c r="L10" s="13" t="s">
        <v>42</v>
      </c>
      <c r="M10" s="13" t="s">
        <v>42</v>
      </c>
      <c r="N10" s="13"/>
    </row>
    <row r="11" spans="1:17" ht="18.95" hidden="1" customHeight="1" x14ac:dyDescent="0.2">
      <c r="A11" s="10"/>
      <c r="B11" s="8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Q11" s="2"/>
    </row>
    <row r="12" spans="1:17" ht="18.95" hidden="1" customHeight="1" x14ac:dyDescent="0.2">
      <c r="A12" s="10">
        <v>1</v>
      </c>
      <c r="B12" s="8" t="s">
        <v>43</v>
      </c>
      <c r="C12" s="11"/>
      <c r="D12" s="9">
        <v>132679493.84537211</v>
      </c>
      <c r="E12" s="9">
        <f>J33</f>
        <v>-10583.374931408416</v>
      </c>
      <c r="F12" s="9">
        <f>SUM(D12:E12)</f>
        <v>132668910.4704407</v>
      </c>
      <c r="G12" s="31">
        <v>0.89280000000000004</v>
      </c>
      <c r="H12" s="9">
        <f>F12*G12</f>
        <v>118446803.26800947</v>
      </c>
      <c r="I12" s="9">
        <f>J54</f>
        <v>-27179688.51804648</v>
      </c>
      <c r="J12" s="9">
        <f>SUM(H12:I12)</f>
        <v>91267114.749962986</v>
      </c>
      <c r="K12" s="31">
        <f>H12/H$18</f>
        <v>2.4688651169092791E-2</v>
      </c>
      <c r="L12" s="31">
        <v>2.9393468441489875E-2</v>
      </c>
      <c r="M12" s="31">
        <f>K12*L12</f>
        <v>7.2568508900168103E-4</v>
      </c>
      <c r="N12" s="9"/>
      <c r="P12" s="31"/>
      <c r="Q12" s="9"/>
    </row>
    <row r="13" spans="1:17" ht="18.95" hidden="1" customHeight="1" x14ac:dyDescent="0.2">
      <c r="A13" s="10"/>
      <c r="B13" s="8"/>
      <c r="C13" s="11"/>
      <c r="D13" s="9"/>
      <c r="E13" s="9"/>
      <c r="F13" s="9"/>
      <c r="G13" s="31"/>
      <c r="H13" s="9"/>
      <c r="I13" s="9"/>
      <c r="J13" s="9"/>
      <c r="K13" s="31"/>
      <c r="L13" s="32"/>
      <c r="M13" s="32"/>
      <c r="N13" s="9"/>
      <c r="P13" s="31"/>
      <c r="Q13" s="9"/>
    </row>
    <row r="14" spans="1:17" ht="18.95" hidden="1" customHeight="1" x14ac:dyDescent="0.2">
      <c r="A14" s="10">
        <v>2</v>
      </c>
      <c r="B14" s="8" t="s">
        <v>45</v>
      </c>
      <c r="C14" s="11"/>
      <c r="D14" s="9">
        <v>2378495605.0459571</v>
      </c>
      <c r="E14" s="9">
        <f>J35</f>
        <v>-189724.19950776367</v>
      </c>
      <c r="F14" s="9">
        <f>SUM(D14:E14)</f>
        <v>2378305880.8464494</v>
      </c>
      <c r="G14" s="31">
        <f>G$12</f>
        <v>0.89280000000000004</v>
      </c>
      <c r="H14" s="9">
        <f>F14*G14</f>
        <v>2123351490.4197102</v>
      </c>
      <c r="I14" s="9">
        <f>J56</f>
        <v>-487240098.77541834</v>
      </c>
      <c r="J14" s="9">
        <f>SUM(H14:I14)</f>
        <v>1636111391.6442919</v>
      </c>
      <c r="K14" s="31">
        <f>H14/H$18</f>
        <v>0.44258420497620982</v>
      </c>
      <c r="L14" s="33">
        <v>4.2645824303846738E-2</v>
      </c>
      <c r="M14" s="31">
        <f>K14*L14</f>
        <v>1.8874368245073134E-2</v>
      </c>
      <c r="P14" s="31"/>
      <c r="Q14" s="9"/>
    </row>
    <row r="15" spans="1:17" ht="18.95" hidden="1" customHeight="1" x14ac:dyDescent="0.2">
      <c r="A15" s="10"/>
      <c r="B15" s="8"/>
      <c r="C15" s="11"/>
      <c r="D15" s="34"/>
      <c r="E15" s="34"/>
      <c r="F15" s="34"/>
      <c r="G15" s="35"/>
      <c r="H15" s="34"/>
      <c r="I15" s="34"/>
      <c r="J15" s="34"/>
      <c r="K15" s="35"/>
      <c r="L15" s="36"/>
      <c r="M15" s="35"/>
      <c r="N15" s="34"/>
      <c r="P15" s="35"/>
      <c r="Q15" s="34"/>
    </row>
    <row r="16" spans="1:17" ht="18.95" hidden="1" customHeight="1" x14ac:dyDescent="0.2">
      <c r="A16" s="10">
        <v>3</v>
      </c>
      <c r="B16" s="8" t="s">
        <v>47</v>
      </c>
      <c r="C16" s="11"/>
      <c r="D16" s="15">
        <v>2863437659.1687164</v>
      </c>
      <c r="E16" s="15">
        <f>J37</f>
        <v>-732472.51556082792</v>
      </c>
      <c r="F16" s="15">
        <f>SUM(D16:E16)</f>
        <v>2862705186.6531558</v>
      </c>
      <c r="G16" s="31">
        <f>G$12</f>
        <v>0.89280000000000004</v>
      </c>
      <c r="H16" s="15">
        <f>F16*G16</f>
        <v>2555823190.6439376</v>
      </c>
      <c r="I16" s="15">
        <f>J58</f>
        <v>-586478286.55806112</v>
      </c>
      <c r="J16" s="15">
        <f>SUM(H16:I16)</f>
        <v>1969344904.0858765</v>
      </c>
      <c r="K16" s="37">
        <f>H16/H$18</f>
        <v>0.53272714385469733</v>
      </c>
      <c r="L16" s="31">
        <v>9.7000000000000003E-2</v>
      </c>
      <c r="M16" s="37">
        <f>K16*L16</f>
        <v>5.1674532953905644E-2</v>
      </c>
      <c r="N16" s="9"/>
      <c r="P16" s="31"/>
      <c r="Q16" s="9"/>
    </row>
    <row r="17" spans="1:17" ht="18.95" hidden="1" customHeight="1" x14ac:dyDescent="0.2">
      <c r="A17" s="10"/>
      <c r="B17" s="8"/>
      <c r="C17" s="11"/>
      <c r="D17" s="9"/>
      <c r="E17" s="9"/>
      <c r="F17" s="9"/>
      <c r="G17" s="32"/>
      <c r="H17" s="9"/>
      <c r="I17" s="9"/>
      <c r="J17" s="9"/>
      <c r="K17" s="32"/>
      <c r="L17" s="32"/>
      <c r="M17" s="31"/>
      <c r="N17" s="9"/>
      <c r="P17" s="32"/>
      <c r="Q17" s="9"/>
    </row>
    <row r="18" spans="1:17" ht="18.95" hidden="1" customHeight="1" thickBot="1" x14ac:dyDescent="0.25">
      <c r="A18" s="10">
        <v>4</v>
      </c>
      <c r="B18" s="8" t="s">
        <v>48</v>
      </c>
      <c r="C18" s="11"/>
      <c r="D18" s="16">
        <v>5374612758.0600452</v>
      </c>
      <c r="E18" s="16">
        <f>SUM(E12:E16)</f>
        <v>-932780.09</v>
      </c>
      <c r="F18" s="16">
        <f>SUM(F12:F16)</f>
        <v>5373679977.970046</v>
      </c>
      <c r="G18" s="31"/>
      <c r="H18" s="16">
        <f>SUM(H12:H16)</f>
        <v>4797621484.3316574</v>
      </c>
      <c r="I18" s="16">
        <f>SUM(I12:I16)</f>
        <v>-1100898073.851526</v>
      </c>
      <c r="J18" s="16">
        <f>SUM(J12:J16)</f>
        <v>3696723410.4801311</v>
      </c>
      <c r="K18" s="38">
        <f>SUM(K12:K16)</f>
        <v>1</v>
      </c>
      <c r="L18" s="32"/>
      <c r="M18" s="38">
        <f t="shared" ref="M18" si="0">SUM(M12:M16)</f>
        <v>7.127458628798046E-2</v>
      </c>
      <c r="N18" s="9"/>
      <c r="P18" s="31"/>
      <c r="Q18" s="9"/>
    </row>
    <row r="19" spans="1:17" ht="18.95" hidden="1" customHeight="1" thickTop="1" x14ac:dyDescent="0.2">
      <c r="A19" s="10"/>
      <c r="B19" s="8"/>
      <c r="C19" s="11"/>
      <c r="D19" s="21"/>
      <c r="E19" s="21"/>
      <c r="F19" s="21"/>
      <c r="G19" s="21"/>
      <c r="H19" s="9"/>
      <c r="I19" s="9"/>
      <c r="J19" s="9"/>
      <c r="K19" s="21"/>
      <c r="L19" s="21"/>
      <c r="M19" s="21"/>
      <c r="N19" s="21"/>
      <c r="Q19" s="39"/>
    </row>
    <row r="20" spans="1:17" ht="18.95" customHeight="1" x14ac:dyDescent="0.2">
      <c r="A20" s="10"/>
      <c r="B20" s="8"/>
      <c r="C20" s="11"/>
      <c r="D20" s="21"/>
      <c r="E20" s="21"/>
      <c r="F20" s="21"/>
      <c r="G20" s="21"/>
      <c r="H20" s="9"/>
      <c r="I20" s="9"/>
      <c r="J20" s="4" t="s">
        <v>333</v>
      </c>
      <c r="K20" s="21"/>
      <c r="L20" s="21"/>
      <c r="M20" s="21"/>
      <c r="N20" s="21"/>
      <c r="Q20" s="39"/>
    </row>
    <row r="21" spans="1:17" ht="18.95" customHeight="1" x14ac:dyDescent="0.2">
      <c r="A21" s="10"/>
      <c r="B21" s="8"/>
      <c r="C21" s="11"/>
      <c r="D21" s="9"/>
      <c r="E21" s="9"/>
      <c r="F21" s="9"/>
      <c r="G21" s="9"/>
      <c r="H21" s="9"/>
      <c r="I21" s="9"/>
      <c r="J21" s="4" t="s">
        <v>284</v>
      </c>
      <c r="K21" s="9"/>
      <c r="L21" s="9"/>
      <c r="M21" s="9"/>
      <c r="N21" s="9"/>
    </row>
    <row r="22" spans="1:17" s="2" customFormat="1" ht="20.100000000000001" customHeight="1" x14ac:dyDescent="0.2">
      <c r="A22" s="206" t="s">
        <v>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87"/>
      <c r="L22" s="87"/>
      <c r="M22" s="87"/>
      <c r="N22" s="29"/>
    </row>
    <row r="23" spans="1:17" s="2" customFormat="1" ht="20.100000000000001" customHeight="1" x14ac:dyDescent="0.2">
      <c r="A23" s="206" t="s">
        <v>332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87"/>
      <c r="L23" s="87"/>
      <c r="M23" s="87"/>
      <c r="N23" s="29"/>
    </row>
    <row r="24" spans="1:17" s="2" customFormat="1" ht="20.100000000000001" customHeight="1" x14ac:dyDescent="0.2">
      <c r="A24" s="206" t="s">
        <v>91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87"/>
      <c r="L24" s="87"/>
      <c r="M24" s="87"/>
      <c r="N24" s="29"/>
    </row>
    <row r="25" spans="1:17" s="2" customFormat="1" ht="20.100000000000001" customHeight="1" x14ac:dyDescent="0.2">
      <c r="A25" s="206" t="s">
        <v>111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87"/>
      <c r="L25" s="87"/>
      <c r="M25" s="87"/>
      <c r="N25" s="29"/>
    </row>
    <row r="26" spans="1:17" s="2" customFormat="1" ht="20.100000000000001" customHeight="1" x14ac:dyDescent="0.2">
      <c r="A26" s="206" t="s">
        <v>69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87"/>
      <c r="L26" s="87"/>
      <c r="M26" s="87"/>
      <c r="N26" s="29"/>
    </row>
    <row r="27" spans="1:17" s="2" customFormat="1" ht="20.100000000000001" customHeigh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</row>
    <row r="28" spans="1:17" s="2" customFormat="1" ht="20.100000000000001" customHeight="1" x14ac:dyDescent="0.2"/>
    <row r="29" spans="1:17" ht="48" customHeight="1" x14ac:dyDescent="0.2">
      <c r="A29" s="14" t="s">
        <v>5</v>
      </c>
      <c r="B29" s="14" t="s">
        <v>29</v>
      </c>
      <c r="C29" s="14" t="s">
        <v>203</v>
      </c>
      <c r="D29" s="14" t="s">
        <v>112</v>
      </c>
      <c r="E29" s="14" t="s">
        <v>33</v>
      </c>
      <c r="F29" s="14" t="s">
        <v>93</v>
      </c>
      <c r="G29" s="14" t="s">
        <v>94</v>
      </c>
      <c r="H29" s="14" t="s">
        <v>95</v>
      </c>
      <c r="I29" s="14" t="s">
        <v>96</v>
      </c>
      <c r="J29" s="14" t="s">
        <v>31</v>
      </c>
      <c r="K29" s="11"/>
      <c r="L29" s="11"/>
      <c r="M29" s="11"/>
      <c r="N29" s="11"/>
    </row>
    <row r="30" spans="1:17" ht="18.95" customHeight="1" x14ac:dyDescent="0.2">
      <c r="A30" s="7"/>
      <c r="B30" s="30" t="s">
        <v>36</v>
      </c>
      <c r="C30" s="30" t="s">
        <v>37</v>
      </c>
      <c r="D30" s="30" t="s">
        <v>38</v>
      </c>
      <c r="E30" s="30" t="s">
        <v>39</v>
      </c>
      <c r="F30" s="30" t="s">
        <v>97</v>
      </c>
      <c r="G30" s="30" t="s">
        <v>41</v>
      </c>
      <c r="H30" s="30" t="s">
        <v>98</v>
      </c>
      <c r="I30" s="30" t="s">
        <v>52</v>
      </c>
      <c r="J30" s="30" t="s">
        <v>99</v>
      </c>
      <c r="K30" s="30"/>
      <c r="L30" s="30"/>
      <c r="M30" s="30"/>
      <c r="N30" s="30"/>
    </row>
    <row r="31" spans="1:17" ht="18.95" customHeight="1" x14ac:dyDescent="0.2">
      <c r="A31" s="7"/>
      <c r="B31" s="12"/>
      <c r="C31" s="12"/>
      <c r="D31" s="13" t="s">
        <v>6</v>
      </c>
      <c r="E31" s="13"/>
      <c r="F31" s="13" t="s">
        <v>6</v>
      </c>
      <c r="G31" s="13" t="s">
        <v>6</v>
      </c>
      <c r="H31" s="13" t="s">
        <v>6</v>
      </c>
      <c r="I31" s="13" t="s">
        <v>6</v>
      </c>
      <c r="J31" s="13" t="s">
        <v>6</v>
      </c>
      <c r="K31" s="13"/>
      <c r="L31" s="13"/>
      <c r="M31" s="13"/>
      <c r="N31" s="13"/>
    </row>
    <row r="32" spans="1:17" ht="18.95" customHeight="1" x14ac:dyDescent="0.2">
      <c r="A32" s="10"/>
      <c r="B32" s="8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Q32" s="2"/>
    </row>
    <row r="33" spans="1:17" ht="18.95" customHeight="1" x14ac:dyDescent="0.2">
      <c r="A33" s="10">
        <v>1</v>
      </c>
      <c r="B33" s="8" t="s">
        <v>43</v>
      </c>
      <c r="C33" s="11"/>
      <c r="D33" s="9">
        <f>D12</f>
        <v>132679493.84537211</v>
      </c>
      <c r="E33" s="31">
        <f>D33/D$39</f>
        <v>2.468633552182883E-2</v>
      </c>
      <c r="F33" s="9">
        <v>0</v>
      </c>
      <c r="G33" s="39">
        <v>0</v>
      </c>
      <c r="H33" s="9">
        <f>H$39*$E33</f>
        <v>-6171.5838804572077</v>
      </c>
      <c r="I33" s="9">
        <f>I$39*$E33</f>
        <v>-4411.7910509512094</v>
      </c>
      <c r="J33" s="9">
        <f>SUM(F33:I33)</f>
        <v>-10583.374931408416</v>
      </c>
      <c r="K33" s="31"/>
      <c r="L33" s="31"/>
      <c r="M33" s="31"/>
      <c r="N33" s="9"/>
      <c r="P33" s="31"/>
      <c r="Q33" s="9"/>
    </row>
    <row r="34" spans="1:17" ht="18.95" customHeight="1" x14ac:dyDescent="0.2">
      <c r="A34" s="10"/>
      <c r="B34" s="8"/>
      <c r="C34" s="11"/>
      <c r="D34" s="9"/>
      <c r="E34" s="31"/>
      <c r="F34" s="9"/>
      <c r="G34" s="9"/>
      <c r="H34" s="9"/>
      <c r="I34" s="9"/>
      <c r="J34" s="9"/>
      <c r="K34" s="31"/>
      <c r="L34" s="32"/>
      <c r="M34" s="32"/>
      <c r="N34" s="9"/>
      <c r="P34" s="31"/>
      <c r="Q34" s="9"/>
    </row>
    <row r="35" spans="1:17" ht="18.95" customHeight="1" x14ac:dyDescent="0.2">
      <c r="A35" s="10">
        <v>2</v>
      </c>
      <c r="B35" s="8" t="s">
        <v>45</v>
      </c>
      <c r="C35" s="11"/>
      <c r="D35" s="9">
        <f>D14</f>
        <v>2378495605.0459571</v>
      </c>
      <c r="E35" s="31">
        <f>D35/D$39</f>
        <v>0.44254269323479034</v>
      </c>
      <c r="F35" s="9">
        <v>0</v>
      </c>
      <c r="G35" s="39">
        <v>0</v>
      </c>
      <c r="H35" s="9">
        <f>H$39*$E35</f>
        <v>-110635.67330869759</v>
      </c>
      <c r="I35" s="9">
        <f>I$39*$E35</f>
        <v>-79088.526199066066</v>
      </c>
      <c r="J35" s="9">
        <f>SUM(F35:I35)</f>
        <v>-189724.19950776367</v>
      </c>
      <c r="K35" s="31"/>
      <c r="L35" s="33"/>
      <c r="M35" s="31"/>
      <c r="P35" s="31"/>
      <c r="Q35" s="9"/>
    </row>
    <row r="36" spans="1:17" ht="18.95" customHeight="1" x14ac:dyDescent="0.2">
      <c r="A36" s="10"/>
      <c r="B36" s="8"/>
      <c r="C36" s="11"/>
      <c r="D36" s="34"/>
      <c r="E36" s="35"/>
      <c r="F36" s="34"/>
      <c r="G36" s="34"/>
      <c r="H36" s="34"/>
      <c r="I36" s="34"/>
      <c r="J36" s="34"/>
      <c r="K36" s="35"/>
      <c r="L36" s="36"/>
      <c r="M36" s="35"/>
      <c r="N36" s="34"/>
      <c r="P36" s="35"/>
      <c r="Q36" s="34"/>
    </row>
    <row r="37" spans="1:17" ht="18.95" customHeight="1" x14ac:dyDescent="0.2">
      <c r="A37" s="10">
        <v>3</v>
      </c>
      <c r="B37" s="8" t="s">
        <v>47</v>
      </c>
      <c r="C37" s="11"/>
      <c r="D37" s="15">
        <f>D16</f>
        <v>2863437659.1687164</v>
      </c>
      <c r="E37" s="37">
        <f>D37/D$39</f>
        <v>0.53277097124338091</v>
      </c>
      <c r="F37" s="15">
        <f>F39</f>
        <v>0</v>
      </c>
      <c r="G37" s="15">
        <f>G39</f>
        <v>-504066.19999999995</v>
      </c>
      <c r="H37" s="15">
        <f>H$39*$E37</f>
        <v>-133192.74281084523</v>
      </c>
      <c r="I37" s="15">
        <f>I$39*$E37</f>
        <v>-95213.572749982734</v>
      </c>
      <c r="J37" s="15">
        <f>SUM(F37:I37)</f>
        <v>-732472.51556082792</v>
      </c>
      <c r="K37" s="31"/>
      <c r="L37" s="31"/>
      <c r="M37" s="31"/>
      <c r="N37" s="9"/>
      <c r="P37" s="31"/>
      <c r="Q37" s="9"/>
    </row>
    <row r="38" spans="1:17" ht="18.95" customHeight="1" x14ac:dyDescent="0.2">
      <c r="A38" s="10"/>
      <c r="B38" s="8"/>
      <c r="C38" s="11"/>
      <c r="D38" s="9"/>
      <c r="E38" s="32"/>
      <c r="F38" s="9"/>
      <c r="G38" s="9"/>
      <c r="H38" s="9"/>
      <c r="I38" s="9"/>
      <c r="J38" s="9"/>
      <c r="K38" s="32"/>
      <c r="L38" s="32"/>
      <c r="M38" s="31"/>
      <c r="N38" s="9"/>
      <c r="P38" s="32"/>
      <c r="Q38" s="9"/>
    </row>
    <row r="39" spans="1:17" ht="18.95" customHeight="1" thickBot="1" x14ac:dyDescent="0.25">
      <c r="A39" s="10">
        <v>4</v>
      </c>
      <c r="B39" s="8" t="s">
        <v>48</v>
      </c>
      <c r="C39" s="11"/>
      <c r="D39" s="16">
        <f>SUM(D33:D37)</f>
        <v>5374612758.0600452</v>
      </c>
      <c r="E39" s="38">
        <f>SUM(E33:E37)</f>
        <v>1</v>
      </c>
      <c r="F39" s="16">
        <v>0</v>
      </c>
      <c r="G39" s="16">
        <f>-(1295.8*0.389)*1000</f>
        <v>-504066.19999999995</v>
      </c>
      <c r="H39" s="16">
        <v>-250000</v>
      </c>
      <c r="I39" s="16">
        <v>-178713.88999999998</v>
      </c>
      <c r="J39" s="16">
        <f>SUM(J33:J37)</f>
        <v>-932780.09</v>
      </c>
      <c r="K39" s="31"/>
      <c r="L39" s="32"/>
      <c r="M39" s="31"/>
      <c r="N39" s="9"/>
      <c r="P39" s="31"/>
      <c r="Q39" s="9"/>
    </row>
    <row r="40" spans="1:17" ht="18.95" customHeight="1" thickTop="1" x14ac:dyDescent="0.2">
      <c r="A40" s="10"/>
      <c r="B40" s="8"/>
      <c r="C40" s="11"/>
      <c r="D40" s="21"/>
      <c r="E40" s="21"/>
      <c r="F40" s="21"/>
      <c r="G40" s="21"/>
      <c r="H40" s="9"/>
      <c r="I40" s="9"/>
      <c r="J40" s="9"/>
      <c r="K40" s="21"/>
      <c r="L40" s="21"/>
      <c r="M40" s="21"/>
      <c r="N40" s="21"/>
      <c r="Q40" s="39"/>
    </row>
    <row r="41" spans="1:17" ht="18.95" customHeight="1" x14ac:dyDescent="0.2">
      <c r="A41" s="10"/>
      <c r="B41" s="8"/>
      <c r="C41" s="11"/>
      <c r="D41" s="21"/>
      <c r="E41" s="21"/>
      <c r="F41" s="21"/>
      <c r="G41" s="21"/>
      <c r="H41" s="9"/>
      <c r="I41" s="9"/>
      <c r="J41" s="4" t="s">
        <v>333</v>
      </c>
      <c r="K41" s="21"/>
      <c r="L41" s="21"/>
      <c r="M41" s="21"/>
      <c r="N41" s="21"/>
      <c r="Q41" s="39"/>
    </row>
    <row r="42" spans="1:17" ht="18.95" customHeight="1" x14ac:dyDescent="0.2">
      <c r="J42" s="4" t="s">
        <v>285</v>
      </c>
    </row>
    <row r="43" spans="1:17" s="2" customFormat="1" ht="20.100000000000001" customHeight="1" x14ac:dyDescent="0.2">
      <c r="A43" s="206" t="str">
        <f>A22</f>
        <v>KENTUCKY UTILITIES COMPANY</v>
      </c>
      <c r="B43" s="206"/>
      <c r="C43" s="206"/>
      <c r="D43" s="206"/>
      <c r="E43" s="206"/>
      <c r="F43" s="206"/>
      <c r="G43" s="206"/>
      <c r="H43" s="206"/>
      <c r="I43" s="206"/>
      <c r="J43" s="206"/>
      <c r="K43" s="87"/>
      <c r="L43" s="87"/>
      <c r="M43" s="87"/>
      <c r="N43" s="29"/>
    </row>
    <row r="44" spans="1:17" s="2" customFormat="1" ht="20.100000000000001" customHeight="1" x14ac:dyDescent="0.2">
      <c r="A44" s="206" t="str">
        <f>A23</f>
        <v>CASE NO. 2018-00034</v>
      </c>
      <c r="B44" s="206"/>
      <c r="C44" s="206"/>
      <c r="D44" s="206"/>
      <c r="E44" s="206"/>
      <c r="F44" s="206"/>
      <c r="G44" s="206"/>
      <c r="H44" s="206"/>
      <c r="I44" s="206"/>
      <c r="J44" s="206"/>
      <c r="K44" s="87"/>
      <c r="L44" s="87"/>
      <c r="M44" s="87"/>
      <c r="N44" s="29"/>
    </row>
    <row r="45" spans="1:17" s="2" customFormat="1" ht="20.100000000000001" customHeight="1" x14ac:dyDescent="0.2">
      <c r="A45" s="206" t="s">
        <v>100</v>
      </c>
      <c r="B45" s="206"/>
      <c r="C45" s="206"/>
      <c r="D45" s="206"/>
      <c r="E45" s="206"/>
      <c r="F45" s="206"/>
      <c r="G45" s="206"/>
      <c r="H45" s="206"/>
      <c r="I45" s="206"/>
      <c r="J45" s="206"/>
      <c r="K45" s="87"/>
      <c r="L45" s="87"/>
      <c r="M45" s="87"/>
      <c r="N45" s="29"/>
    </row>
    <row r="46" spans="1:17" s="2" customFormat="1" ht="20.100000000000001" customHeight="1" x14ac:dyDescent="0.2">
      <c r="A46" s="206" t="s">
        <v>111</v>
      </c>
      <c r="B46" s="206"/>
      <c r="C46" s="206"/>
      <c r="D46" s="206"/>
      <c r="E46" s="206"/>
      <c r="F46" s="206"/>
      <c r="G46" s="206"/>
      <c r="H46" s="206"/>
      <c r="I46" s="206"/>
      <c r="J46" s="206"/>
      <c r="K46" s="87"/>
      <c r="L46" s="87"/>
      <c r="M46" s="87"/>
      <c r="N46" s="29"/>
    </row>
    <row r="47" spans="1:17" s="2" customFormat="1" ht="20.100000000000001" customHeight="1" x14ac:dyDescent="0.2">
      <c r="A47" s="206" t="str">
        <f>A26</f>
        <v>FROM JANUARY 1, 2018 TO APRIL 30, 2019</v>
      </c>
      <c r="B47" s="206"/>
      <c r="C47" s="206"/>
      <c r="D47" s="206"/>
      <c r="E47" s="206"/>
      <c r="F47" s="206"/>
      <c r="G47" s="206"/>
      <c r="H47" s="206"/>
      <c r="I47" s="206"/>
      <c r="J47" s="206"/>
      <c r="K47" s="87"/>
      <c r="L47" s="87"/>
      <c r="M47" s="87"/>
      <c r="N47" s="29"/>
    </row>
    <row r="48" spans="1:17" s="2" customFormat="1" ht="20.100000000000001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</row>
    <row r="49" spans="1:17" s="2" customFormat="1" ht="20.100000000000001" customHeight="1" x14ac:dyDescent="0.2"/>
    <row r="50" spans="1:17" ht="48" customHeight="1" x14ac:dyDescent="0.2">
      <c r="A50" s="14" t="s">
        <v>5</v>
      </c>
      <c r="B50" s="14" t="s">
        <v>29</v>
      </c>
      <c r="C50" s="14" t="s">
        <v>203</v>
      </c>
      <c r="D50" s="14" t="s">
        <v>54</v>
      </c>
      <c r="E50" s="14" t="s">
        <v>33</v>
      </c>
      <c r="F50" s="14" t="s">
        <v>102</v>
      </c>
      <c r="G50" s="14" t="s">
        <v>103</v>
      </c>
      <c r="H50" s="14" t="s">
        <v>114</v>
      </c>
      <c r="I50" s="14"/>
      <c r="J50" s="14" t="s">
        <v>55</v>
      </c>
      <c r="K50" s="11"/>
      <c r="L50" s="11"/>
      <c r="M50" s="11"/>
      <c r="N50" s="11"/>
    </row>
    <row r="51" spans="1:17" ht="18.95" customHeight="1" x14ac:dyDescent="0.2">
      <c r="A51" s="7"/>
      <c r="B51" s="30" t="s">
        <v>36</v>
      </c>
      <c r="C51" s="30" t="s">
        <v>37</v>
      </c>
      <c r="D51" s="30" t="s">
        <v>193</v>
      </c>
      <c r="E51" s="30" t="s">
        <v>39</v>
      </c>
      <c r="F51" s="30" t="s">
        <v>97</v>
      </c>
      <c r="G51" s="30" t="s">
        <v>41</v>
      </c>
      <c r="H51" s="30" t="s">
        <v>98</v>
      </c>
      <c r="I51" s="30"/>
      <c r="J51" s="30" t="s">
        <v>106</v>
      </c>
      <c r="K51" s="30"/>
      <c r="L51" s="30"/>
      <c r="M51" s="30"/>
      <c r="N51" s="30"/>
    </row>
    <row r="52" spans="1:17" ht="18.95" customHeight="1" x14ac:dyDescent="0.2">
      <c r="A52" s="7"/>
      <c r="B52" s="12"/>
      <c r="C52" s="12"/>
      <c r="D52" s="13" t="s">
        <v>6</v>
      </c>
      <c r="E52" s="13"/>
      <c r="F52" s="13" t="s">
        <v>6</v>
      </c>
      <c r="G52" s="13" t="s">
        <v>6</v>
      </c>
      <c r="H52" s="13" t="s">
        <v>6</v>
      </c>
      <c r="I52" s="13"/>
      <c r="J52" s="13" t="s">
        <v>6</v>
      </c>
      <c r="K52" s="13"/>
      <c r="L52" s="13"/>
      <c r="M52" s="13"/>
      <c r="N52" s="13"/>
    </row>
    <row r="53" spans="1:17" ht="18.95" customHeight="1" x14ac:dyDescent="0.2">
      <c r="A53" s="10"/>
      <c r="B53" s="8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Q53" s="2"/>
    </row>
    <row r="54" spans="1:17" ht="18.95" customHeight="1" x14ac:dyDescent="0.2">
      <c r="A54" s="10">
        <v>1</v>
      </c>
      <c r="B54" s="8" t="s">
        <v>43</v>
      </c>
      <c r="C54" s="11"/>
      <c r="D54" s="9">
        <f>H12</f>
        <v>118446803.26800947</v>
      </c>
      <c r="E54" s="31">
        <f>D54/D$60</f>
        <v>2.4688651169092791E-2</v>
      </c>
      <c r="F54" s="9">
        <f>F$60*$E54</f>
        <v>-27043786.892505433</v>
      </c>
      <c r="G54" s="9">
        <f>G$60*$E54</f>
        <v>-135901.62554104475</v>
      </c>
      <c r="H54" s="9">
        <f>H$60*$E54</f>
        <v>0</v>
      </c>
      <c r="I54" s="9"/>
      <c r="J54" s="9">
        <f>SUM(F54:I54)</f>
        <v>-27179688.51804648</v>
      </c>
      <c r="K54" s="31"/>
      <c r="L54" s="31"/>
      <c r="M54" s="31"/>
      <c r="N54" s="9"/>
      <c r="P54" s="31"/>
      <c r="Q54" s="9"/>
    </row>
    <row r="55" spans="1:17" ht="18.95" customHeight="1" x14ac:dyDescent="0.2">
      <c r="A55" s="10"/>
      <c r="B55" s="8"/>
      <c r="C55" s="11"/>
      <c r="D55" s="9"/>
      <c r="E55" s="31"/>
      <c r="F55" s="9"/>
      <c r="G55" s="9"/>
      <c r="H55" s="9"/>
      <c r="I55" s="9"/>
      <c r="J55" s="9"/>
      <c r="K55" s="31"/>
      <c r="L55" s="32"/>
      <c r="M55" s="32"/>
      <c r="N55" s="9"/>
      <c r="P55" s="31"/>
      <c r="Q55" s="9"/>
    </row>
    <row r="56" spans="1:17" ht="18.95" customHeight="1" x14ac:dyDescent="0.2">
      <c r="A56" s="10">
        <v>2</v>
      </c>
      <c r="B56" s="8" t="s">
        <v>45</v>
      </c>
      <c r="C56" s="11"/>
      <c r="D56" s="9">
        <f>H14</f>
        <v>2123351490.4197102</v>
      </c>
      <c r="E56" s="31">
        <f>D56/D$60</f>
        <v>0.44258420497620982</v>
      </c>
      <c r="F56" s="9">
        <f>F$60*$E56</f>
        <v>-484803841.2219739</v>
      </c>
      <c r="G56" s="9">
        <f>G$60*$E56</f>
        <v>-2436257.5534444661</v>
      </c>
      <c r="H56" s="9">
        <f>H$60*$E56</f>
        <v>0</v>
      </c>
      <c r="I56" s="9"/>
      <c r="J56" s="9">
        <f>SUM(F56:I56)</f>
        <v>-487240098.77541834</v>
      </c>
      <c r="K56" s="31"/>
      <c r="L56" s="33"/>
      <c r="M56" s="31"/>
      <c r="P56" s="31"/>
      <c r="Q56" s="9"/>
    </row>
    <row r="57" spans="1:17" ht="18.95" customHeight="1" x14ac:dyDescent="0.2">
      <c r="A57" s="10"/>
      <c r="B57" s="8"/>
      <c r="C57" s="11"/>
      <c r="D57" s="34"/>
      <c r="E57" s="35"/>
      <c r="F57" s="34"/>
      <c r="G57" s="34"/>
      <c r="H57" s="34"/>
      <c r="I57" s="34"/>
      <c r="J57" s="34"/>
      <c r="K57" s="35"/>
      <c r="L57" s="36"/>
      <c r="M57" s="35"/>
      <c r="N57" s="34"/>
      <c r="P57" s="35"/>
      <c r="Q57" s="34"/>
    </row>
    <row r="58" spans="1:17" ht="18.95" customHeight="1" x14ac:dyDescent="0.2">
      <c r="A58" s="10">
        <v>3</v>
      </c>
      <c r="B58" s="8" t="s">
        <v>47</v>
      </c>
      <c r="C58" s="11"/>
      <c r="D58" s="15">
        <f>H16</f>
        <v>2555823190.6439376</v>
      </c>
      <c r="E58" s="37">
        <f>D58/D$60</f>
        <v>0.53272714385469733</v>
      </c>
      <c r="F58" s="15">
        <f>F$60*$E58</f>
        <v>-583545826.44414747</v>
      </c>
      <c r="G58" s="15">
        <f>G$60*$E58</f>
        <v>-2932460.1139136152</v>
      </c>
      <c r="H58" s="15">
        <f>H$60*$E58</f>
        <v>0</v>
      </c>
      <c r="I58" s="15"/>
      <c r="J58" s="15">
        <f>SUM(F58:I58)</f>
        <v>-586478286.55806112</v>
      </c>
      <c r="K58" s="31"/>
      <c r="L58" s="31"/>
      <c r="M58" s="31"/>
      <c r="N58" s="9"/>
      <c r="P58" s="31"/>
      <c r="Q58" s="9"/>
    </row>
    <row r="59" spans="1:17" ht="18.95" customHeight="1" x14ac:dyDescent="0.2">
      <c r="A59" s="10"/>
      <c r="B59" s="8"/>
      <c r="C59" s="11"/>
      <c r="D59" s="9"/>
      <c r="E59" s="32"/>
      <c r="F59" s="9"/>
      <c r="G59" s="9"/>
      <c r="H59" s="9"/>
      <c r="I59" s="9"/>
      <c r="J59" s="9"/>
      <c r="K59" s="32"/>
      <c r="L59" s="32"/>
      <c r="M59" s="31"/>
      <c r="N59" s="9"/>
      <c r="P59" s="32"/>
      <c r="Q59" s="9"/>
    </row>
    <row r="60" spans="1:17" ht="18.95" customHeight="1" thickBot="1" x14ac:dyDescent="0.25">
      <c r="A60" s="10">
        <v>4</v>
      </c>
      <c r="B60" s="8" t="s">
        <v>48</v>
      </c>
      <c r="C60" s="30"/>
      <c r="D60" s="16">
        <f>SUM(D54:D58)</f>
        <v>4797621484.3316574</v>
      </c>
      <c r="E60" s="38">
        <f>SUM(E54:E58)</f>
        <v>1</v>
      </c>
      <c r="F60" s="16">
        <v>-1095393454.5586269</v>
      </c>
      <c r="G60" s="16">
        <v>-5504619.2928991262</v>
      </c>
      <c r="H60" s="16">
        <v>0</v>
      </c>
      <c r="I60" s="16"/>
      <c r="J60" s="16">
        <f>SUM(J54:J58)</f>
        <v>-1100898073.851526</v>
      </c>
      <c r="K60" s="31"/>
      <c r="L60" s="32"/>
      <c r="M60" s="31"/>
      <c r="N60" s="9"/>
      <c r="P60" s="31"/>
      <c r="Q60" s="9"/>
    </row>
    <row r="61" spans="1:17" ht="18.95" customHeight="1" thickTop="1" x14ac:dyDescent="0.2">
      <c r="A61" s="10"/>
      <c r="B61" s="8"/>
      <c r="C61" s="11"/>
      <c r="D61" s="21"/>
      <c r="E61" s="21"/>
      <c r="F61" s="21"/>
      <c r="G61" s="21"/>
      <c r="H61" s="9"/>
      <c r="I61" s="9"/>
      <c r="J61" s="9"/>
      <c r="K61" s="21"/>
      <c r="L61" s="21"/>
      <c r="M61" s="21"/>
      <c r="N61" s="21"/>
      <c r="Q61" s="39"/>
    </row>
    <row r="62" spans="1:17" ht="18.95" customHeight="1" x14ac:dyDescent="0.2"/>
    <row r="63" spans="1:17" ht="18.95" customHeight="1" x14ac:dyDescent="0.2"/>
    <row r="64" spans="1:17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</sheetData>
  <mergeCells count="15">
    <mergeCell ref="A46:J46"/>
    <mergeCell ref="A47:J47"/>
    <mergeCell ref="A23:J23"/>
    <mergeCell ref="A1:M1"/>
    <mergeCell ref="A2:M2"/>
    <mergeCell ref="A3:M3"/>
    <mergeCell ref="A4:M4"/>
    <mergeCell ref="A5:M5"/>
    <mergeCell ref="A22:J22"/>
    <mergeCell ref="A43:J43"/>
    <mergeCell ref="A44:J44"/>
    <mergeCell ref="A45:J45"/>
    <mergeCell ref="A24:J24"/>
    <mergeCell ref="A25:J25"/>
    <mergeCell ref="A26:J26"/>
  </mergeCells>
  <pageMargins left="0.7" right="0.7" top="1" bottom="0.75" header="0.3" footer="0.3"/>
  <pageSetup scale="75" fitToHeight="0" orientation="landscape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zoomScaleNormal="100" workbookViewId="0"/>
  </sheetViews>
  <sheetFormatPr defaultRowHeight="12.75" x14ac:dyDescent="0.2"/>
  <cols>
    <col min="1" max="1" width="6.85546875" style="6" customWidth="1"/>
    <col min="2" max="2" width="50.140625" style="6" customWidth="1"/>
    <col min="3" max="3" width="19" style="6" customWidth="1"/>
    <col min="4" max="4" width="10.85546875" style="6" customWidth="1"/>
    <col min="5" max="5" width="22.42578125" style="6" customWidth="1"/>
    <col min="6" max="6" width="14" style="6" customWidth="1"/>
    <col min="7" max="7" width="1.85546875" style="6" customWidth="1"/>
    <col min="8" max="8" width="9.140625" style="6" customWidth="1"/>
    <col min="9" max="16384" width="9.140625" style="6"/>
  </cols>
  <sheetData>
    <row r="1" spans="1:8" s="2" customFormat="1" ht="20.100000000000001" customHeight="1" x14ac:dyDescent="0.2">
      <c r="A1" s="205"/>
      <c r="B1" s="205"/>
      <c r="C1" s="205"/>
      <c r="D1" s="205"/>
      <c r="E1" s="4" t="s">
        <v>333</v>
      </c>
      <c r="F1" s="205"/>
    </row>
    <row r="2" spans="1:8" s="2" customFormat="1" ht="20.100000000000001" customHeight="1" x14ac:dyDescent="0.2">
      <c r="A2" s="130"/>
      <c r="B2" s="130"/>
      <c r="C2" s="130"/>
      <c r="D2" s="130"/>
      <c r="E2" s="4" t="s">
        <v>281</v>
      </c>
      <c r="F2" s="130"/>
    </row>
    <row r="3" spans="1:8" s="2" customFormat="1" ht="20.100000000000001" customHeight="1" x14ac:dyDescent="0.2">
      <c r="A3" s="206" t="s">
        <v>0</v>
      </c>
      <c r="B3" s="207"/>
      <c r="C3" s="207"/>
      <c r="D3" s="207"/>
      <c r="E3" s="207"/>
      <c r="F3" s="29"/>
    </row>
    <row r="4" spans="1:8" s="2" customFormat="1" ht="20.100000000000001" customHeight="1" x14ac:dyDescent="0.2">
      <c r="A4" s="206" t="s">
        <v>332</v>
      </c>
      <c r="B4" s="207"/>
      <c r="C4" s="207"/>
      <c r="D4" s="207"/>
      <c r="E4" s="207"/>
      <c r="F4" s="29"/>
    </row>
    <row r="5" spans="1:8" s="2" customFormat="1" ht="20.100000000000001" customHeight="1" x14ac:dyDescent="0.2">
      <c r="A5" s="207" t="s">
        <v>208</v>
      </c>
      <c r="B5" s="207"/>
      <c r="C5" s="207"/>
      <c r="D5" s="207"/>
      <c r="E5" s="207"/>
      <c r="F5" s="29"/>
    </row>
    <row r="6" spans="1:8" s="2" customFormat="1" ht="20.100000000000001" customHeight="1" x14ac:dyDescent="0.2">
      <c r="A6" s="207" t="s">
        <v>111</v>
      </c>
      <c r="B6" s="207"/>
      <c r="C6" s="207"/>
      <c r="D6" s="207"/>
      <c r="E6" s="207"/>
      <c r="F6" s="29"/>
    </row>
    <row r="7" spans="1:8" s="2" customFormat="1" ht="20.100000000000001" customHeight="1" x14ac:dyDescent="0.2">
      <c r="A7" s="206" t="s">
        <v>69</v>
      </c>
      <c r="B7" s="207"/>
      <c r="C7" s="207"/>
      <c r="D7" s="207"/>
      <c r="E7" s="207"/>
      <c r="F7" s="29"/>
    </row>
    <row r="8" spans="1:8" s="2" customFormat="1" ht="20.100000000000001" customHeight="1" x14ac:dyDescent="0.2">
      <c r="A8" s="130"/>
      <c r="B8" s="130"/>
      <c r="C8" s="130"/>
      <c r="D8" s="130"/>
      <c r="E8" s="130"/>
      <c r="F8" s="130"/>
    </row>
    <row r="9" spans="1:8" s="2" customFormat="1" ht="20.100000000000001" customHeight="1" x14ac:dyDescent="0.2"/>
    <row r="10" spans="1:8" ht="66" customHeight="1" x14ac:dyDescent="0.2">
      <c r="A10" s="14" t="s">
        <v>5</v>
      </c>
      <c r="B10" s="14" t="s">
        <v>209</v>
      </c>
      <c r="C10" s="14" t="s">
        <v>210</v>
      </c>
      <c r="D10" s="14" t="s">
        <v>211</v>
      </c>
      <c r="E10" s="14" t="s">
        <v>212</v>
      </c>
      <c r="F10" s="11"/>
    </row>
    <row r="11" spans="1:8" ht="18.95" customHeight="1" x14ac:dyDescent="0.2">
      <c r="A11" s="7"/>
      <c r="B11" s="30" t="s">
        <v>36</v>
      </c>
      <c r="C11" s="30" t="s">
        <v>37</v>
      </c>
      <c r="D11" s="30" t="s">
        <v>38</v>
      </c>
      <c r="E11" s="30" t="s">
        <v>213</v>
      </c>
      <c r="F11" s="30"/>
    </row>
    <row r="12" spans="1:8" ht="18.95" customHeight="1" x14ac:dyDescent="0.2">
      <c r="A12" s="7"/>
      <c r="B12" s="12"/>
      <c r="C12" s="13" t="s">
        <v>6</v>
      </c>
      <c r="D12" s="13" t="s">
        <v>42</v>
      </c>
      <c r="E12" s="13" t="s">
        <v>6</v>
      </c>
      <c r="F12" s="13"/>
    </row>
    <row r="13" spans="1:8" ht="18.95" customHeight="1" x14ac:dyDescent="0.2">
      <c r="A13" s="10"/>
      <c r="B13" s="8" t="s">
        <v>214</v>
      </c>
      <c r="C13" s="9"/>
      <c r="D13" s="9"/>
      <c r="E13" s="9"/>
      <c r="F13" s="9"/>
    </row>
    <row r="14" spans="1:8" ht="18.95" customHeight="1" x14ac:dyDescent="0.2">
      <c r="A14" s="10">
        <v>1</v>
      </c>
      <c r="B14" s="133">
        <v>43070</v>
      </c>
      <c r="C14" s="9">
        <v>88757433.366715804</v>
      </c>
      <c r="D14" s="147">
        <v>1.4999999999999999E-2</v>
      </c>
      <c r="E14" s="9">
        <v>1331361.500500737</v>
      </c>
      <c r="F14" s="9"/>
      <c r="H14" s="2"/>
    </row>
    <row r="15" spans="1:8" ht="18.95" customHeight="1" x14ac:dyDescent="0.2">
      <c r="A15" s="10">
        <v>2</v>
      </c>
      <c r="B15" s="133">
        <v>43101</v>
      </c>
      <c r="C15" s="9">
        <v>115284207.220256</v>
      </c>
      <c r="D15" s="147">
        <v>2.8999999999999918E-2</v>
      </c>
      <c r="E15" s="9">
        <v>3343242.0093874144</v>
      </c>
      <c r="F15" s="9"/>
      <c r="H15" s="2"/>
    </row>
    <row r="16" spans="1:8" ht="18.95" customHeight="1" x14ac:dyDescent="0.2">
      <c r="A16" s="10">
        <v>3</v>
      </c>
      <c r="B16" s="133">
        <v>43132</v>
      </c>
      <c r="C16" s="9">
        <v>80223955.813872293</v>
      </c>
      <c r="D16" s="147">
        <v>2.8999999999999918E-2</v>
      </c>
      <c r="E16" s="9">
        <v>2326494.7186022899</v>
      </c>
      <c r="F16" s="9"/>
      <c r="H16" s="2"/>
    </row>
    <row r="17" spans="1:8" ht="18.95" customHeight="1" x14ac:dyDescent="0.2">
      <c r="A17" s="10">
        <v>4</v>
      </c>
      <c r="B17" s="133">
        <v>43160</v>
      </c>
      <c r="C17" s="9">
        <v>121132941.17272</v>
      </c>
      <c r="D17" s="147">
        <v>2.8999999999999918E-2</v>
      </c>
      <c r="E17" s="9">
        <v>3512855.2940088701</v>
      </c>
      <c r="H17" s="2"/>
    </row>
    <row r="18" spans="1:8" ht="18.95" customHeight="1" x14ac:dyDescent="0.2">
      <c r="A18" s="10">
        <v>5</v>
      </c>
      <c r="B18" s="133">
        <v>43191</v>
      </c>
      <c r="C18" s="9">
        <v>148699046.51727203</v>
      </c>
      <c r="D18" s="147">
        <v>2.8999999999999918E-2</v>
      </c>
      <c r="E18" s="9">
        <v>4312272.3490008768</v>
      </c>
      <c r="F18" s="134"/>
      <c r="H18" s="2"/>
    </row>
    <row r="19" spans="1:8" ht="18.95" customHeight="1" x14ac:dyDescent="0.2">
      <c r="A19" s="10">
        <v>6</v>
      </c>
      <c r="B19" s="148">
        <v>43221</v>
      </c>
      <c r="C19" s="9">
        <v>192732522.931575</v>
      </c>
      <c r="D19" s="147">
        <v>2.8999999999999918E-2</v>
      </c>
      <c r="E19" s="9">
        <v>5589243.1650156593</v>
      </c>
      <c r="H19" s="2"/>
    </row>
    <row r="20" spans="1:8" ht="18.95" customHeight="1" x14ac:dyDescent="0.2">
      <c r="A20" s="10">
        <v>7</v>
      </c>
      <c r="B20" s="148">
        <v>43252</v>
      </c>
      <c r="C20" s="9">
        <v>181134636.51879099</v>
      </c>
      <c r="D20" s="147">
        <v>2.8999999999999918E-2</v>
      </c>
      <c r="E20" s="9">
        <v>5252904.459044924</v>
      </c>
      <c r="F20" s="34"/>
      <c r="H20" s="2"/>
    </row>
    <row r="21" spans="1:8" ht="18.95" customHeight="1" x14ac:dyDescent="0.2">
      <c r="A21" s="10">
        <v>8</v>
      </c>
      <c r="B21" s="148">
        <v>43282</v>
      </c>
      <c r="C21" s="9">
        <v>171967439.11531898</v>
      </c>
      <c r="D21" s="147">
        <v>2.8999999999999918E-2</v>
      </c>
      <c r="E21" s="9">
        <v>4987055.7343442366</v>
      </c>
      <c r="F21" s="9"/>
      <c r="H21" s="2"/>
    </row>
    <row r="22" spans="1:8" ht="18.95" customHeight="1" x14ac:dyDescent="0.2">
      <c r="A22" s="10">
        <v>9</v>
      </c>
      <c r="B22" s="148">
        <v>43313</v>
      </c>
      <c r="C22" s="9">
        <v>158153464.73900297</v>
      </c>
      <c r="D22" s="147">
        <v>2.8999999999999918E-2</v>
      </c>
      <c r="E22" s="9">
        <v>4586450.4774310729</v>
      </c>
      <c r="F22" s="9"/>
      <c r="H22" s="2"/>
    </row>
    <row r="23" spans="1:8" ht="18.95" customHeight="1" x14ac:dyDescent="0.2">
      <c r="A23" s="10">
        <v>10</v>
      </c>
      <c r="B23" s="148">
        <v>43344</v>
      </c>
      <c r="C23" s="9">
        <v>204139312.26814499</v>
      </c>
      <c r="D23" s="147">
        <v>2.8999999999999918E-2</v>
      </c>
      <c r="E23" s="9">
        <v>5920040.0557761882</v>
      </c>
      <c r="F23" s="9"/>
      <c r="H23" s="2"/>
    </row>
    <row r="24" spans="1:8" ht="18.95" customHeight="1" x14ac:dyDescent="0.2">
      <c r="A24" s="10">
        <v>11</v>
      </c>
      <c r="B24" s="148">
        <v>43374</v>
      </c>
      <c r="C24" s="9">
        <v>234068428.03093299</v>
      </c>
      <c r="D24" s="147">
        <v>2.8999999999999918E-2</v>
      </c>
      <c r="E24" s="9">
        <v>6787984.4128970373</v>
      </c>
      <c r="F24" s="21"/>
      <c r="H24" s="2"/>
    </row>
    <row r="25" spans="1:8" ht="18.95" customHeight="1" x14ac:dyDescent="0.2">
      <c r="A25" s="10">
        <v>12</v>
      </c>
      <c r="B25" s="148">
        <v>43405</v>
      </c>
      <c r="C25" s="9">
        <v>265582183.78230301</v>
      </c>
      <c r="D25" s="147">
        <v>2.8999999999999918E-2</v>
      </c>
      <c r="E25" s="9">
        <v>7701883.3296867656</v>
      </c>
      <c r="H25" s="2"/>
    </row>
    <row r="26" spans="1:8" ht="18.95" customHeight="1" x14ac:dyDescent="0.2">
      <c r="A26" s="10">
        <v>13</v>
      </c>
      <c r="B26" s="148">
        <v>43435</v>
      </c>
      <c r="C26" s="9">
        <v>256266518.11558402</v>
      </c>
      <c r="D26" s="147">
        <v>2.8999999999999918E-2</v>
      </c>
      <c r="E26" s="9">
        <v>7431729.0253519155</v>
      </c>
      <c r="F26" s="9"/>
      <c r="H26" s="2"/>
    </row>
    <row r="27" spans="1:8" ht="18.95" customHeight="1" x14ac:dyDescent="0.2">
      <c r="A27" s="10">
        <v>14</v>
      </c>
      <c r="B27" s="148">
        <v>43466</v>
      </c>
      <c r="C27" s="9">
        <v>232926101.22760201</v>
      </c>
      <c r="D27" s="147">
        <v>3.15E-2</v>
      </c>
      <c r="E27" s="9">
        <v>7337172.1886694636</v>
      </c>
      <c r="F27" s="9"/>
      <c r="H27" s="2"/>
    </row>
    <row r="28" spans="1:8" ht="18.95" customHeight="1" x14ac:dyDescent="0.2">
      <c r="A28" s="10">
        <v>15</v>
      </c>
      <c r="B28" s="148">
        <v>43497</v>
      </c>
      <c r="C28" s="9">
        <v>205950274.64023501</v>
      </c>
      <c r="D28" s="147">
        <v>3.15E-2</v>
      </c>
      <c r="E28" s="9">
        <v>6487433.651167403</v>
      </c>
      <c r="F28" s="9"/>
      <c r="H28" s="2"/>
    </row>
    <row r="29" spans="1:8" ht="18.95" customHeight="1" x14ac:dyDescent="0.2">
      <c r="A29" s="10">
        <v>16</v>
      </c>
      <c r="B29" s="148">
        <v>43525</v>
      </c>
      <c r="C29" s="9">
        <v>268884001.43616098</v>
      </c>
      <c r="D29" s="147">
        <v>3.15E-2</v>
      </c>
      <c r="E29" s="9">
        <v>8469846.0452390704</v>
      </c>
      <c r="F29" s="9"/>
      <c r="H29" s="2"/>
    </row>
    <row r="30" spans="1:8" ht="18.95" customHeight="1" x14ac:dyDescent="0.2">
      <c r="A30" s="10">
        <v>17</v>
      </c>
      <c r="B30" s="148">
        <v>43556</v>
      </c>
      <c r="C30" s="15">
        <v>296436768.27561903</v>
      </c>
      <c r="D30" s="147">
        <v>3.15E-2</v>
      </c>
      <c r="E30" s="15">
        <v>9337758.2006819993</v>
      </c>
      <c r="F30" s="9"/>
      <c r="H30" s="2"/>
    </row>
    <row r="31" spans="1:8" ht="18.95" customHeight="1" x14ac:dyDescent="0.2">
      <c r="A31" s="10"/>
      <c r="B31" s="8"/>
    </row>
    <row r="32" spans="1:8" ht="18.95" customHeight="1" x14ac:dyDescent="0.2">
      <c r="A32" s="10">
        <v>18</v>
      </c>
      <c r="B32" s="135" t="s">
        <v>122</v>
      </c>
      <c r="C32" s="15">
        <v>3222339235.1721063</v>
      </c>
      <c r="D32" s="9"/>
      <c r="E32" s="15">
        <v>94715726.616805926</v>
      </c>
      <c r="F32" s="9"/>
    </row>
    <row r="33" spans="1:6" ht="18.95" customHeight="1" x14ac:dyDescent="0.2">
      <c r="B33" s="135"/>
    </row>
    <row r="34" spans="1:6" ht="18.95" customHeight="1" x14ac:dyDescent="0.2">
      <c r="A34" s="10">
        <v>19</v>
      </c>
      <c r="B34" s="135" t="s">
        <v>330</v>
      </c>
      <c r="C34" s="9">
        <v>189549366.77482978</v>
      </c>
      <c r="D34" s="147">
        <f>E34/C34</f>
        <v>2.9393468441489875E-2</v>
      </c>
      <c r="E34" s="9">
        <v>5571513.3304003486</v>
      </c>
      <c r="F34" s="9"/>
    </row>
    <row r="35" spans="1:6" ht="18.95" customHeight="1" x14ac:dyDescent="0.2">
      <c r="A35" s="10">
        <v>20</v>
      </c>
      <c r="B35" s="135" t="s">
        <v>326</v>
      </c>
      <c r="C35" s="15">
        <v>-56869872.929457664</v>
      </c>
      <c r="D35" s="147"/>
      <c r="E35" s="9"/>
    </row>
    <row r="36" spans="1:6" ht="18.95" customHeight="1" thickBot="1" x14ac:dyDescent="0.25">
      <c r="A36" s="10">
        <v>21</v>
      </c>
      <c r="B36" s="135" t="s">
        <v>327</v>
      </c>
      <c r="C36" s="16">
        <v>132679493.84537211</v>
      </c>
      <c r="D36" s="147"/>
      <c r="E36" s="9"/>
      <c r="F36" s="138"/>
    </row>
    <row r="37" spans="1:6" ht="18.95" customHeight="1" thickTop="1" x14ac:dyDescent="0.2">
      <c r="B37" s="135"/>
    </row>
    <row r="38" spans="1:6" ht="18.95" customHeight="1" thickBot="1" x14ac:dyDescent="0.25">
      <c r="A38" s="10">
        <f>A36+1</f>
        <v>22</v>
      </c>
      <c r="B38" s="135" t="s">
        <v>215</v>
      </c>
      <c r="C38" s="136">
        <f>D34</f>
        <v>2.9393468441489875E-2</v>
      </c>
    </row>
    <row r="39" spans="1:6" ht="18.95" customHeight="1" thickTop="1" x14ac:dyDescent="0.2"/>
    <row r="40" spans="1:6" ht="18.95" customHeight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</sheetData>
  <mergeCells count="5">
    <mergeCell ref="A7:E7"/>
    <mergeCell ref="A3:E3"/>
    <mergeCell ref="A4:E4"/>
    <mergeCell ref="A5:E5"/>
    <mergeCell ref="A6:E6"/>
  </mergeCells>
  <printOptions horizontalCentered="1"/>
  <pageMargins left="1" right="1" top="1" bottom="1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zoomScale="70" zoomScaleNormal="70" workbookViewId="0">
      <selection activeCell="H42" sqref="H42"/>
    </sheetView>
  </sheetViews>
  <sheetFormatPr defaultRowHeight="12.75" x14ac:dyDescent="0.2"/>
  <cols>
    <col min="1" max="1" width="6.85546875" style="6" customWidth="1"/>
    <col min="2" max="2" width="53.5703125" style="6" bestFit="1" customWidth="1"/>
    <col min="3" max="3" width="10.85546875" style="6" customWidth="1"/>
    <col min="4" max="4" width="14.85546875" style="6" customWidth="1"/>
    <col min="5" max="5" width="13.85546875" style="6" customWidth="1"/>
    <col min="6" max="6" width="15.85546875" style="6" customWidth="1"/>
    <col min="7" max="7" width="17.42578125" style="6" customWidth="1"/>
    <col min="8" max="10" width="14.7109375" style="6" customWidth="1"/>
    <col min="11" max="11" width="13.7109375" style="6" customWidth="1"/>
    <col min="12" max="12" width="17.42578125" style="6" customWidth="1"/>
    <col min="13" max="15" width="14.7109375" style="6" customWidth="1"/>
    <col min="16" max="16" width="15.85546875" style="6" customWidth="1"/>
    <col min="17" max="17" width="1.85546875" style="6" customWidth="1"/>
    <col min="18" max="18" width="9.140625" style="6"/>
    <col min="19" max="19" width="19.7109375" style="6" customWidth="1"/>
    <col min="20" max="16384" width="9.140625" style="6"/>
  </cols>
  <sheetData>
    <row r="1" spans="1:16" s="2" customFormat="1" ht="20.100000000000001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4" t="s">
        <v>333</v>
      </c>
    </row>
    <row r="2" spans="1:16" s="2" customFormat="1" ht="20.100000000000001" customHeight="1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4" t="s">
        <v>282</v>
      </c>
    </row>
    <row r="3" spans="1:16" s="2" customFormat="1" ht="20.100000000000001" customHeight="1" x14ac:dyDescent="0.2">
      <c r="A3" s="206" t="s">
        <v>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2" customFormat="1" ht="20.100000000000001" customHeight="1" x14ac:dyDescent="0.2">
      <c r="A4" s="206" t="s">
        <v>332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 s="2" customFormat="1" ht="20.100000000000001" customHeight="1" x14ac:dyDescent="0.2">
      <c r="A5" s="207" t="s">
        <v>216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2" customFormat="1" ht="20.100000000000001" customHeight="1" x14ac:dyDescent="0.2">
      <c r="A6" s="207" t="s">
        <v>111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6" s="2" customFormat="1" ht="20.100000000000001" customHeight="1" x14ac:dyDescent="0.2">
      <c r="A7" s="206" t="s">
        <v>69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s="2" customFormat="1" ht="20.100000000000001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6" s="2" customFormat="1" ht="20.100000000000001" customHeight="1" x14ac:dyDescent="0.2"/>
    <row r="10" spans="1:16" s="2" customFormat="1" ht="20.100000000000001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08" t="s">
        <v>217</v>
      </c>
      <c r="L10" s="208"/>
      <c r="M10" s="208"/>
      <c r="N10" s="208"/>
      <c r="O10" s="208"/>
      <c r="P10" s="208"/>
    </row>
    <row r="11" spans="1:16" ht="57.75" customHeight="1" x14ac:dyDescent="0.2">
      <c r="A11" s="23" t="s">
        <v>5</v>
      </c>
      <c r="B11" s="23" t="s">
        <v>218</v>
      </c>
      <c r="C11" s="23" t="s">
        <v>219</v>
      </c>
      <c r="D11" s="23" t="s">
        <v>220</v>
      </c>
      <c r="E11" s="23" t="s">
        <v>221</v>
      </c>
      <c r="F11" s="23" t="s">
        <v>222</v>
      </c>
      <c r="G11" s="23" t="s">
        <v>223</v>
      </c>
      <c r="H11" s="23" t="s">
        <v>224</v>
      </c>
      <c r="I11" s="23" t="s">
        <v>225</v>
      </c>
      <c r="J11" s="23" t="s">
        <v>226</v>
      </c>
      <c r="K11" s="23" t="s">
        <v>227</v>
      </c>
      <c r="L11" s="23" t="s">
        <v>228</v>
      </c>
      <c r="M11" s="23" t="s">
        <v>229</v>
      </c>
      <c r="N11" s="23" t="s">
        <v>230</v>
      </c>
      <c r="O11" s="23" t="s">
        <v>231</v>
      </c>
      <c r="P11" s="23" t="s">
        <v>134</v>
      </c>
    </row>
    <row r="12" spans="1:16" ht="18.95" customHeight="1" x14ac:dyDescent="0.2">
      <c r="A12" s="7"/>
      <c r="B12" s="30"/>
      <c r="C12" s="30" t="s">
        <v>36</v>
      </c>
      <c r="D12" s="30" t="s">
        <v>37</v>
      </c>
      <c r="E12" s="30" t="s">
        <v>38</v>
      </c>
      <c r="F12" s="30" t="s">
        <v>39</v>
      </c>
      <c r="G12" s="30" t="s">
        <v>97</v>
      </c>
      <c r="H12" s="30" t="s">
        <v>41</v>
      </c>
      <c r="I12" s="30" t="s">
        <v>98</v>
      </c>
      <c r="J12" s="30" t="s">
        <v>232</v>
      </c>
      <c r="K12" s="30" t="s">
        <v>233</v>
      </c>
      <c r="L12" s="30" t="s">
        <v>57</v>
      </c>
      <c r="M12" s="30" t="s">
        <v>58</v>
      </c>
      <c r="N12" s="30" t="s">
        <v>234</v>
      </c>
      <c r="O12" s="30" t="s">
        <v>235</v>
      </c>
      <c r="P12" s="30" t="s">
        <v>236</v>
      </c>
    </row>
    <row r="13" spans="1:16" ht="18.95" customHeight="1" x14ac:dyDescent="0.2">
      <c r="A13" s="7"/>
      <c r="B13" s="12"/>
      <c r="C13" s="13" t="s">
        <v>42</v>
      </c>
      <c r="D13" s="12"/>
      <c r="E13" s="12"/>
      <c r="F13" s="13" t="s">
        <v>6</v>
      </c>
      <c r="G13" s="13" t="s">
        <v>6</v>
      </c>
      <c r="H13" s="13" t="s">
        <v>6</v>
      </c>
      <c r="I13" s="13" t="s">
        <v>6</v>
      </c>
      <c r="J13" s="13" t="s">
        <v>6</v>
      </c>
      <c r="K13" s="13" t="s">
        <v>6</v>
      </c>
      <c r="L13" s="13" t="s">
        <v>6</v>
      </c>
      <c r="M13" s="13" t="s">
        <v>6</v>
      </c>
      <c r="N13" s="13" t="s">
        <v>6</v>
      </c>
      <c r="O13" s="13" t="s">
        <v>6</v>
      </c>
      <c r="P13" s="13" t="s">
        <v>6</v>
      </c>
    </row>
    <row r="14" spans="1:16" ht="18.95" customHeight="1" x14ac:dyDescent="0.2">
      <c r="A14" s="10"/>
      <c r="B14" s="8"/>
      <c r="C14" s="9"/>
      <c r="D14" s="11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8.95" customHeight="1" x14ac:dyDescent="0.2">
      <c r="A15" s="10">
        <v>1</v>
      </c>
      <c r="B15" s="3" t="s">
        <v>237</v>
      </c>
      <c r="C15" s="140">
        <v>2.2037499999999991E-2</v>
      </c>
      <c r="D15" s="149">
        <v>37399</v>
      </c>
      <c r="E15" s="131" t="s">
        <v>238</v>
      </c>
      <c r="F15" s="143">
        <v>20930000</v>
      </c>
      <c r="G15" s="142">
        <v>0</v>
      </c>
      <c r="H15" s="9">
        <v>56996.238823529413</v>
      </c>
      <c r="I15" s="9">
        <v>487062.43176470592</v>
      </c>
      <c r="J15" s="9">
        <v>20385941.329411764</v>
      </c>
      <c r="K15" s="9">
        <v>461244.87499999983</v>
      </c>
      <c r="L15" s="142">
        <v>0</v>
      </c>
      <c r="M15" s="142">
        <v>4017.5963917525783</v>
      </c>
      <c r="N15" s="142">
        <v>36277.696185567002</v>
      </c>
      <c r="O15" s="142">
        <v>20929.999999999993</v>
      </c>
      <c r="P15" s="9">
        <f>SUM(K15:O15)</f>
        <v>522470.16757731943</v>
      </c>
    </row>
    <row r="16" spans="1:16" ht="18.95" customHeight="1" x14ac:dyDescent="0.2">
      <c r="A16" s="10">
        <f>A15+1</f>
        <v>2</v>
      </c>
      <c r="B16" s="3" t="s">
        <v>237</v>
      </c>
      <c r="C16" s="140">
        <v>2.2037499999999991E-2</v>
      </c>
      <c r="D16" s="131">
        <v>37399</v>
      </c>
      <c r="E16" s="131" t="s">
        <v>239</v>
      </c>
      <c r="F16" s="143">
        <v>2400000</v>
      </c>
      <c r="G16" s="142">
        <v>0</v>
      </c>
      <c r="H16" s="142">
        <v>39769.420588235305</v>
      </c>
      <c r="I16" s="142">
        <v>55759.496470588245</v>
      </c>
      <c r="J16" s="9">
        <v>2304471.0829411764</v>
      </c>
      <c r="K16" s="9">
        <v>52889.999999999978</v>
      </c>
      <c r="L16" s="142">
        <v>0</v>
      </c>
      <c r="M16" s="142">
        <v>2686.159175257731</v>
      </c>
      <c r="N16" s="142">
        <v>4153.1129896907141</v>
      </c>
      <c r="O16" s="142">
        <v>2400</v>
      </c>
      <c r="P16" s="9">
        <f t="shared" ref="P16:P35" si="0">SUM(K16:O16)</f>
        <v>62129.272164948423</v>
      </c>
    </row>
    <row r="17" spans="1:16" ht="18.95" customHeight="1" x14ac:dyDescent="0.2">
      <c r="A17" s="10">
        <f t="shared" ref="A17:A36" si="1">A16+1</f>
        <v>3</v>
      </c>
      <c r="B17" s="3" t="s">
        <v>240</v>
      </c>
      <c r="C17" s="140">
        <v>1.0500000000000004E-2</v>
      </c>
      <c r="D17" s="141" t="s">
        <v>241</v>
      </c>
      <c r="E17" s="131" t="s">
        <v>242</v>
      </c>
      <c r="F17" s="143">
        <v>96000000</v>
      </c>
      <c r="G17" s="142">
        <v>0</v>
      </c>
      <c r="H17" s="142">
        <v>386266.34470588237</v>
      </c>
      <c r="I17" s="142">
        <v>3859411.870588236</v>
      </c>
      <c r="J17" s="9">
        <v>91754321.784705877</v>
      </c>
      <c r="K17" s="9">
        <v>1008000.0000000003</v>
      </c>
      <c r="L17" s="142">
        <v>0</v>
      </c>
      <c r="M17" s="142">
        <v>339626.1557731959</v>
      </c>
      <c r="N17" s="142">
        <v>160690.13618556631</v>
      </c>
      <c r="O17" s="142">
        <v>0</v>
      </c>
      <c r="P17" s="9">
        <f t="shared" si="0"/>
        <v>1508316.2919587628</v>
      </c>
    </row>
    <row r="18" spans="1:16" ht="18.95" customHeight="1" x14ac:dyDescent="0.2">
      <c r="A18" s="10">
        <f t="shared" si="1"/>
        <v>4</v>
      </c>
      <c r="B18" s="3" t="s">
        <v>243</v>
      </c>
      <c r="C18" s="140">
        <v>5.7500000000000009E-2</v>
      </c>
      <c r="D18" s="141">
        <v>39226</v>
      </c>
      <c r="E18" s="131" t="s">
        <v>244</v>
      </c>
      <c r="F18" s="143">
        <v>17875000</v>
      </c>
      <c r="G18" s="142">
        <v>0</v>
      </c>
      <c r="H18" s="142">
        <v>83625.555882352914</v>
      </c>
      <c r="I18" s="142">
        <v>166206.82705882355</v>
      </c>
      <c r="J18" s="9">
        <v>17625167.617058825</v>
      </c>
      <c r="K18" s="9">
        <v>1027812.5000000001</v>
      </c>
      <c r="L18" s="142">
        <v>0</v>
      </c>
      <c r="M18" s="142">
        <v>10929.876082474228</v>
      </c>
      <c r="N18" s="142">
        <v>22390.168659793755</v>
      </c>
      <c r="O18" s="142">
        <v>0</v>
      </c>
      <c r="P18" s="9">
        <f t="shared" si="0"/>
        <v>1061132.544742268</v>
      </c>
    </row>
    <row r="19" spans="1:16" ht="18.95" customHeight="1" x14ac:dyDescent="0.2">
      <c r="A19" s="10">
        <f t="shared" si="1"/>
        <v>5</v>
      </c>
      <c r="B19" s="3" t="s">
        <v>245</v>
      </c>
      <c r="C19" s="140">
        <v>2.0037499999999955E-2</v>
      </c>
      <c r="D19" s="141" t="s">
        <v>246</v>
      </c>
      <c r="E19" s="131" t="s">
        <v>247</v>
      </c>
      <c r="F19" s="143">
        <v>50000000</v>
      </c>
      <c r="G19" s="142">
        <v>0</v>
      </c>
      <c r="H19" s="142">
        <v>165481.6917647059</v>
      </c>
      <c r="I19" s="142">
        <v>1526781.1070588229</v>
      </c>
      <c r="J19" s="9">
        <v>48307737.201176472</v>
      </c>
      <c r="K19" s="9">
        <v>1001874.9999999978</v>
      </c>
      <c r="L19" s="142">
        <v>0</v>
      </c>
      <c r="M19" s="142">
        <v>9496.6527835051511</v>
      </c>
      <c r="N19" s="142">
        <v>94880.034123712016</v>
      </c>
      <c r="O19" s="142">
        <v>380609.58905000001</v>
      </c>
      <c r="P19" s="9">
        <f t="shared" si="0"/>
        <v>1486861.2759572151</v>
      </c>
    </row>
    <row r="20" spans="1:16" ht="18.95" customHeight="1" x14ac:dyDescent="0.2">
      <c r="A20" s="10">
        <f t="shared" si="1"/>
        <v>6</v>
      </c>
      <c r="B20" s="3" t="s">
        <v>237</v>
      </c>
      <c r="C20" s="140">
        <v>2.0037499999999955E-2</v>
      </c>
      <c r="D20" s="141" t="s">
        <v>248</v>
      </c>
      <c r="E20" s="131" t="s">
        <v>238</v>
      </c>
      <c r="F20" s="143">
        <v>77947405</v>
      </c>
      <c r="G20" s="142">
        <v>0</v>
      </c>
      <c r="H20" s="143">
        <v>464221.41117647069</v>
      </c>
      <c r="I20" s="143">
        <v>1223865.5329411766</v>
      </c>
      <c r="J20" s="9">
        <v>76259318.05588235</v>
      </c>
      <c r="K20" s="9">
        <v>1561871.1276874964</v>
      </c>
      <c r="L20" s="142">
        <v>0</v>
      </c>
      <c r="M20" s="142">
        <v>34369.318144329904</v>
      </c>
      <c r="N20" s="142">
        <v>91156.748144329787</v>
      </c>
      <c r="O20" s="142">
        <v>593975.24271499994</v>
      </c>
      <c r="P20" s="9">
        <f t="shared" si="0"/>
        <v>2281372.4366911557</v>
      </c>
    </row>
    <row r="21" spans="1:16" ht="18.95" customHeight="1" x14ac:dyDescent="0.2">
      <c r="A21" s="10">
        <f t="shared" si="1"/>
        <v>7</v>
      </c>
      <c r="B21" s="3" t="s">
        <v>245</v>
      </c>
      <c r="C21" s="140">
        <v>2.0037499999999955E-2</v>
      </c>
      <c r="D21" s="141" t="s">
        <v>249</v>
      </c>
      <c r="E21" s="131" t="s">
        <v>247</v>
      </c>
      <c r="F21" s="143">
        <v>54000000</v>
      </c>
      <c r="G21" s="142">
        <v>0</v>
      </c>
      <c r="H21" s="142">
        <v>774679.52941176447</v>
      </c>
      <c r="I21" s="142">
        <v>211843.75705882351</v>
      </c>
      <c r="J21" s="9">
        <v>53013476.713529415</v>
      </c>
      <c r="K21" s="9">
        <v>1082024.9999999974</v>
      </c>
      <c r="L21" s="142">
        <v>0</v>
      </c>
      <c r="M21" s="142">
        <v>47788.268453608238</v>
      </c>
      <c r="N21" s="142">
        <v>13232.371340206155</v>
      </c>
      <c r="O21" s="142">
        <v>411491.09590999997</v>
      </c>
      <c r="P21" s="9">
        <f t="shared" si="0"/>
        <v>1554536.7357038117</v>
      </c>
    </row>
    <row r="22" spans="1:16" ht="18.95" customHeight="1" x14ac:dyDescent="0.2">
      <c r="A22" s="10">
        <f t="shared" si="1"/>
        <v>8</v>
      </c>
      <c r="B22" s="3" t="s">
        <v>237</v>
      </c>
      <c r="C22" s="140">
        <v>2.2037499999999991E-2</v>
      </c>
      <c r="D22" s="150">
        <v>37399</v>
      </c>
      <c r="E22" s="131" t="s">
        <v>238</v>
      </c>
      <c r="F22" s="143">
        <v>7400000</v>
      </c>
      <c r="G22" s="142">
        <v>0</v>
      </c>
      <c r="H22" s="142">
        <v>44213.034705882346</v>
      </c>
      <c r="I22" s="142">
        <v>171123.59529411764</v>
      </c>
      <c r="J22" s="9">
        <v>7184663.3700000001</v>
      </c>
      <c r="K22" s="9">
        <v>163077.49999999994</v>
      </c>
      <c r="L22" s="142">
        <v>0</v>
      </c>
      <c r="M22" s="142">
        <v>3037.6955670103089</v>
      </c>
      <c r="N22" s="142">
        <v>12745.739793814473</v>
      </c>
      <c r="O22" s="142">
        <v>7400</v>
      </c>
      <c r="P22" s="9">
        <f t="shared" si="0"/>
        <v>186260.93536082475</v>
      </c>
    </row>
    <row r="23" spans="1:16" ht="18.95" customHeight="1" x14ac:dyDescent="0.2">
      <c r="A23" s="10">
        <f t="shared" si="1"/>
        <v>9</v>
      </c>
      <c r="B23" s="3" t="s">
        <v>250</v>
      </c>
      <c r="C23" s="140">
        <v>2.0037499999999955E-2</v>
      </c>
      <c r="D23" s="141">
        <v>36665</v>
      </c>
      <c r="E23" s="131" t="s">
        <v>251</v>
      </c>
      <c r="F23" s="143">
        <v>12900000</v>
      </c>
      <c r="G23" s="142">
        <v>0</v>
      </c>
      <c r="H23" s="142">
        <v>53287.412352941174</v>
      </c>
      <c r="I23" s="142">
        <v>167296.13117647058</v>
      </c>
      <c r="J23" s="9">
        <v>12679416.456470588</v>
      </c>
      <c r="K23" s="9">
        <v>258483.74999999942</v>
      </c>
      <c r="L23" s="142">
        <v>0</v>
      </c>
      <c r="M23" s="142">
        <v>10883.968865979383</v>
      </c>
      <c r="N23" s="142">
        <v>35867.338350515463</v>
      </c>
      <c r="O23" s="142">
        <v>97783.76715</v>
      </c>
      <c r="P23" s="9">
        <f t="shared" si="0"/>
        <v>403018.82436649431</v>
      </c>
    </row>
    <row r="24" spans="1:16" ht="18.95" customHeight="1" x14ac:dyDescent="0.2">
      <c r="A24" s="10">
        <f t="shared" si="1"/>
        <v>10</v>
      </c>
      <c r="B24" s="3" t="s">
        <v>252</v>
      </c>
      <c r="C24" s="140">
        <v>2.2037499999999991E-2</v>
      </c>
      <c r="D24" s="141">
        <v>37399</v>
      </c>
      <c r="E24" s="131" t="s">
        <v>238</v>
      </c>
      <c r="F24" s="143">
        <v>2400000</v>
      </c>
      <c r="G24" s="142">
        <v>0</v>
      </c>
      <c r="H24" s="142">
        <v>15957.968235294118</v>
      </c>
      <c r="I24" s="142">
        <v>173147.4588235293</v>
      </c>
      <c r="J24" s="9">
        <v>2210894.5729411766</v>
      </c>
      <c r="K24" s="9">
        <v>52889.999999999978</v>
      </c>
      <c r="L24" s="142">
        <v>0</v>
      </c>
      <c r="M24" s="142">
        <v>1107.8615463917527</v>
      </c>
      <c r="N24" s="142">
        <v>12896.481030927867</v>
      </c>
      <c r="O24" s="142">
        <v>2400</v>
      </c>
      <c r="P24" s="9">
        <f t="shared" si="0"/>
        <v>69294.342577319592</v>
      </c>
    </row>
    <row r="25" spans="1:16" ht="18.95" customHeight="1" x14ac:dyDescent="0.2">
      <c r="A25" s="10">
        <f t="shared" si="1"/>
        <v>11</v>
      </c>
      <c r="B25" s="3" t="s">
        <v>253</v>
      </c>
      <c r="C25" s="140">
        <v>0.06</v>
      </c>
      <c r="D25" s="141">
        <v>39226</v>
      </c>
      <c r="E25" s="131" t="s">
        <v>254</v>
      </c>
      <c r="F25" s="143">
        <v>8927000</v>
      </c>
      <c r="G25" s="142">
        <v>0</v>
      </c>
      <c r="H25" s="142">
        <v>100273.39294117648</v>
      </c>
      <c r="I25" s="142">
        <v>199836.67705882352</v>
      </c>
      <c r="J25" s="9">
        <v>8626889.9299999997</v>
      </c>
      <c r="K25" s="9">
        <v>535620</v>
      </c>
      <c r="L25" s="142">
        <v>0</v>
      </c>
      <c r="M25" s="142">
        <v>5267.7853608247424</v>
      </c>
      <c r="N25" s="142">
        <v>10797.234329896892</v>
      </c>
      <c r="O25" s="142">
        <v>0</v>
      </c>
      <c r="P25" s="9">
        <f t="shared" si="0"/>
        <v>551685.01969072165</v>
      </c>
    </row>
    <row r="26" spans="1:16" ht="18.95" customHeight="1" x14ac:dyDescent="0.2">
      <c r="A26" s="10">
        <f t="shared" si="1"/>
        <v>12</v>
      </c>
      <c r="B26" s="3" t="s">
        <v>255</v>
      </c>
      <c r="C26" s="140">
        <v>3.2500000000000001E-2</v>
      </c>
      <c r="D26" s="131" t="s">
        <v>256</v>
      </c>
      <c r="E26" s="131" t="s">
        <v>257</v>
      </c>
      <c r="F26" s="143">
        <v>500000000</v>
      </c>
      <c r="G26" s="142">
        <v>-411922.95411764708</v>
      </c>
      <c r="H26" s="142">
        <v>911732.91823529382</v>
      </c>
      <c r="I26" s="142">
        <v>0</v>
      </c>
      <c r="J26" s="9">
        <v>498676344.12764704</v>
      </c>
      <c r="K26" s="9">
        <v>16250000</v>
      </c>
      <c r="L26" s="142">
        <v>189623.42278350523</v>
      </c>
      <c r="M26" s="142">
        <v>419930.43041237112</v>
      </c>
      <c r="N26" s="142">
        <v>0</v>
      </c>
      <c r="O26" s="142">
        <v>0</v>
      </c>
      <c r="P26" s="9">
        <f t="shared" si="0"/>
        <v>16859553.853195876</v>
      </c>
    </row>
    <row r="27" spans="1:16" ht="18.95" customHeight="1" x14ac:dyDescent="0.2">
      <c r="A27" s="10">
        <f t="shared" si="1"/>
        <v>13</v>
      </c>
      <c r="B27" s="3" t="s">
        <v>258</v>
      </c>
      <c r="C27" s="151">
        <v>3.3000000000000002E-2</v>
      </c>
      <c r="D27" s="131" t="s">
        <v>259</v>
      </c>
      <c r="E27" s="131" t="s">
        <v>260</v>
      </c>
      <c r="F27" s="143">
        <v>250000000</v>
      </c>
      <c r="G27" s="142">
        <v>-76113.77941176467</v>
      </c>
      <c r="H27" s="142">
        <v>1427893.9241176471</v>
      </c>
      <c r="I27" s="142">
        <v>0</v>
      </c>
      <c r="J27" s="9">
        <v>248495992.29647058</v>
      </c>
      <c r="K27" s="9">
        <v>8250000</v>
      </c>
      <c r="L27" s="142">
        <v>10732.362164948452</v>
      </c>
      <c r="M27" s="142">
        <v>201425.00917525776</v>
      </c>
      <c r="N27" s="142">
        <v>0</v>
      </c>
      <c r="O27" s="142">
        <v>0</v>
      </c>
      <c r="P27" s="9">
        <f t="shared" si="0"/>
        <v>8462157.3713402059</v>
      </c>
    </row>
    <row r="28" spans="1:16" ht="18.95" customHeight="1" x14ac:dyDescent="0.2">
      <c r="A28" s="10">
        <f t="shared" si="1"/>
        <v>14</v>
      </c>
      <c r="B28" s="3" t="s">
        <v>261</v>
      </c>
      <c r="C28" s="140">
        <v>4.3749999999999997E-2</v>
      </c>
      <c r="D28" s="131" t="s">
        <v>259</v>
      </c>
      <c r="E28" s="131" t="s">
        <v>262</v>
      </c>
      <c r="F28" s="143">
        <v>250000000</v>
      </c>
      <c r="G28" s="142">
        <v>-187345.22176470587</v>
      </c>
      <c r="H28" s="142">
        <v>2326739.8547058827</v>
      </c>
      <c r="I28" s="142">
        <v>0</v>
      </c>
      <c r="J28" s="9">
        <v>247485914.92352942</v>
      </c>
      <c r="K28" s="9">
        <v>10937500</v>
      </c>
      <c r="L28" s="142">
        <v>6909.7284536082489</v>
      </c>
      <c r="M28" s="142">
        <v>85849.136391752589</v>
      </c>
      <c r="N28" s="142">
        <v>0</v>
      </c>
      <c r="O28" s="142">
        <v>0</v>
      </c>
      <c r="P28" s="9">
        <f t="shared" si="0"/>
        <v>11030258.864845362</v>
      </c>
    </row>
    <row r="29" spans="1:16" ht="18.95" customHeight="1" x14ac:dyDescent="0.2">
      <c r="A29" s="10">
        <f t="shared" si="1"/>
        <v>15</v>
      </c>
      <c r="B29" s="3" t="s">
        <v>263</v>
      </c>
      <c r="C29" s="140">
        <v>4.6500000000000007E-2</v>
      </c>
      <c r="D29" s="131" t="s">
        <v>264</v>
      </c>
      <c r="E29" s="131" t="s">
        <v>265</v>
      </c>
      <c r="F29" s="143">
        <v>250000000</v>
      </c>
      <c r="G29" s="142">
        <v>-1512880.8064705885</v>
      </c>
      <c r="H29" s="142">
        <v>2326721.3111764723</v>
      </c>
      <c r="I29" s="142">
        <v>0</v>
      </c>
      <c r="J29" s="9">
        <v>246160397.88235292</v>
      </c>
      <c r="K29" s="9">
        <v>11625000.000000002</v>
      </c>
      <c r="L29" s="142">
        <v>59956.194432989694</v>
      </c>
      <c r="M29" s="142">
        <v>92245.260927835028</v>
      </c>
      <c r="N29" s="142">
        <v>0</v>
      </c>
      <c r="O29" s="142">
        <v>0</v>
      </c>
      <c r="P29" s="9">
        <f t="shared" si="0"/>
        <v>11777201.455360828</v>
      </c>
    </row>
    <row r="30" spans="1:16" ht="18.95" customHeight="1" x14ac:dyDescent="0.2">
      <c r="A30" s="10">
        <f t="shared" si="1"/>
        <v>16</v>
      </c>
      <c r="B30" s="3" t="s">
        <v>266</v>
      </c>
      <c r="C30" s="151">
        <v>5.1249999999999997E-2</v>
      </c>
      <c r="D30" s="131" t="s">
        <v>256</v>
      </c>
      <c r="E30" s="131" t="s">
        <v>267</v>
      </c>
      <c r="F30" s="143">
        <v>750000000</v>
      </c>
      <c r="G30" s="142">
        <v>-6023863.6470588231</v>
      </c>
      <c r="H30" s="142">
        <v>5541477.8682352947</v>
      </c>
      <c r="I30" s="142">
        <v>0</v>
      </c>
      <c r="J30" s="9">
        <v>738434658.48470581</v>
      </c>
      <c r="K30" s="9">
        <v>38437500</v>
      </c>
      <c r="L30" s="142">
        <v>271423.51257731952</v>
      </c>
      <c r="M30" s="142">
        <v>249786.57597938142</v>
      </c>
      <c r="N30" s="142">
        <v>0</v>
      </c>
      <c r="O30" s="142">
        <v>0</v>
      </c>
      <c r="P30" s="9">
        <f t="shared" si="0"/>
        <v>38958710.088556699</v>
      </c>
    </row>
    <row r="31" spans="1:16" ht="18.95" customHeight="1" x14ac:dyDescent="0.2">
      <c r="A31" s="10">
        <f t="shared" si="1"/>
        <v>17</v>
      </c>
      <c r="B31" s="3" t="s">
        <v>268</v>
      </c>
      <c r="C31" s="140"/>
      <c r="D31" s="131"/>
      <c r="E31" s="131"/>
      <c r="F31" s="143">
        <v>0</v>
      </c>
      <c r="G31" s="142">
        <v>0</v>
      </c>
      <c r="H31" s="142">
        <v>1551450.8541176473</v>
      </c>
      <c r="I31" s="142">
        <v>101503.73058823531</v>
      </c>
      <c r="J31" s="9">
        <v>-1652954.5847058827</v>
      </c>
      <c r="K31" s="9">
        <v>0</v>
      </c>
      <c r="L31" s="142">
        <v>0</v>
      </c>
      <c r="M31" s="142">
        <v>455062.91463917529</v>
      </c>
      <c r="N31" s="142">
        <v>29770.784742268035</v>
      </c>
      <c r="O31" s="142">
        <v>0</v>
      </c>
      <c r="P31" s="9">
        <f t="shared" si="0"/>
        <v>484833.69938144332</v>
      </c>
    </row>
    <row r="32" spans="1:16" ht="18.95" customHeight="1" x14ac:dyDescent="0.2">
      <c r="A32" s="10">
        <f t="shared" si="1"/>
        <v>18</v>
      </c>
      <c r="B32" s="3" t="s">
        <v>269</v>
      </c>
      <c r="C32" s="140"/>
      <c r="D32" s="131"/>
      <c r="E32" s="131"/>
      <c r="F32" s="143">
        <v>0</v>
      </c>
      <c r="G32" s="142">
        <v>0</v>
      </c>
      <c r="H32" s="142">
        <v>441736.78333333373</v>
      </c>
      <c r="I32" s="142">
        <v>0</v>
      </c>
      <c r="J32" s="9">
        <v>-441736.78333333373</v>
      </c>
      <c r="K32" s="9">
        <v>0</v>
      </c>
      <c r="L32" s="142">
        <v>0</v>
      </c>
      <c r="M32" s="142">
        <v>200687.28522336765</v>
      </c>
      <c r="N32" s="142"/>
      <c r="O32" s="142">
        <v>0</v>
      </c>
      <c r="P32" s="9">
        <f t="shared" si="0"/>
        <v>200687.28522336765</v>
      </c>
    </row>
    <row r="33" spans="1:16" ht="18.95" customHeight="1" x14ac:dyDescent="0.2">
      <c r="A33" s="10">
        <f t="shared" si="1"/>
        <v>19</v>
      </c>
      <c r="B33" s="3" t="s">
        <v>270</v>
      </c>
      <c r="C33" s="140"/>
      <c r="D33" s="131"/>
      <c r="E33" s="131"/>
      <c r="F33" s="143">
        <v>0</v>
      </c>
      <c r="G33" s="142">
        <v>0</v>
      </c>
      <c r="H33" s="142">
        <v>0</v>
      </c>
      <c r="I33" s="142">
        <v>129607.26823529412</v>
      </c>
      <c r="J33" s="9">
        <v>-129607.26823529412</v>
      </c>
      <c r="K33" s="9">
        <v>0</v>
      </c>
      <c r="L33" s="142">
        <v>0</v>
      </c>
      <c r="M33" s="142">
        <v>0</v>
      </c>
      <c r="N33" s="142">
        <v>5821.3059793814682</v>
      </c>
      <c r="O33" s="142">
        <v>405555.55555555556</v>
      </c>
      <c r="P33" s="9">
        <f t="shared" si="0"/>
        <v>411376.86153493705</v>
      </c>
    </row>
    <row r="34" spans="1:16" ht="18.95" customHeight="1" x14ac:dyDescent="0.2">
      <c r="A34" s="10">
        <f t="shared" si="1"/>
        <v>20</v>
      </c>
      <c r="B34" s="3" t="s">
        <v>271</v>
      </c>
      <c r="C34" s="140"/>
      <c r="D34" s="131"/>
      <c r="E34" s="131"/>
      <c r="F34" s="143"/>
      <c r="G34" s="142"/>
      <c r="H34" s="142"/>
      <c r="I34" s="142"/>
      <c r="J34" s="9"/>
      <c r="K34" s="9">
        <v>-1428467.37</v>
      </c>
      <c r="L34" s="142">
        <v>0</v>
      </c>
      <c r="M34" s="142">
        <v>0</v>
      </c>
      <c r="N34" s="142">
        <v>0</v>
      </c>
      <c r="O34" s="142">
        <v>0</v>
      </c>
      <c r="P34" s="9">
        <f t="shared" si="0"/>
        <v>-1428467.37</v>
      </c>
    </row>
    <row r="35" spans="1:16" ht="18.95" customHeight="1" x14ac:dyDescent="0.2">
      <c r="A35" s="10">
        <f t="shared" si="1"/>
        <v>21</v>
      </c>
      <c r="B35" s="3" t="s">
        <v>272</v>
      </c>
      <c r="K35" s="9">
        <v>1400566.8072580644</v>
      </c>
      <c r="P35" s="9">
        <f t="shared" si="0"/>
        <v>1400566.8072580644</v>
      </c>
    </row>
    <row r="36" spans="1:16" ht="18.95" customHeight="1" x14ac:dyDescent="0.2">
      <c r="A36" s="10">
        <f t="shared" si="1"/>
        <v>22</v>
      </c>
      <c r="B36" s="3" t="s">
        <v>273</v>
      </c>
      <c r="G36" s="142"/>
      <c r="H36" s="142"/>
      <c r="I36" s="142"/>
      <c r="J36" s="9"/>
      <c r="K36" s="9">
        <v>982679.30806451547</v>
      </c>
      <c r="L36" s="142"/>
      <c r="M36" s="142"/>
      <c r="N36" s="142"/>
      <c r="O36" s="142"/>
      <c r="P36" s="9">
        <f>SUM(K36:O36)</f>
        <v>982679.30806451547</v>
      </c>
    </row>
    <row r="37" spans="1:16" ht="18.95" customHeight="1" x14ac:dyDescent="0.2">
      <c r="A37" s="10">
        <v>23</v>
      </c>
      <c r="B37" s="8" t="s">
        <v>326</v>
      </c>
      <c r="C37" s="21"/>
      <c r="D37" s="11"/>
      <c r="E37" s="11"/>
      <c r="F37" s="21"/>
      <c r="G37" s="21"/>
      <c r="H37" s="21"/>
      <c r="I37" s="21"/>
      <c r="J37" s="9">
        <v>61114298.045957088</v>
      </c>
      <c r="K37" s="9"/>
      <c r="L37" s="9"/>
      <c r="M37" s="9"/>
      <c r="N37" s="9"/>
      <c r="O37" s="9"/>
      <c r="P37" s="9">
        <v>0</v>
      </c>
    </row>
    <row r="38" spans="1:16" ht="18.95" customHeight="1" x14ac:dyDescent="0.2">
      <c r="A38" s="10">
        <v>24</v>
      </c>
    </row>
    <row r="39" spans="1:16" ht="18.95" customHeight="1" thickBot="1" x14ac:dyDescent="0.25">
      <c r="A39" s="10">
        <v>25</v>
      </c>
      <c r="B39" s="8"/>
      <c r="C39" s="9"/>
      <c r="D39" s="5" t="s">
        <v>274</v>
      </c>
      <c r="F39" s="44">
        <v>2350779405</v>
      </c>
      <c r="G39" s="44">
        <v>-8212126.4088235293</v>
      </c>
      <c r="H39" s="44">
        <v>16712525.514509806</v>
      </c>
      <c r="I39" s="44">
        <v>8473445.8841176461</v>
      </c>
      <c r="J39" s="44">
        <v>2378495605.2385063</v>
      </c>
      <c r="K39" s="44">
        <v>93660568.498010069</v>
      </c>
      <c r="L39" s="44">
        <v>538645.22041237121</v>
      </c>
      <c r="M39" s="44">
        <v>2174197.9508934706</v>
      </c>
      <c r="N39" s="44">
        <v>530679.1518556698</v>
      </c>
      <c r="O39" s="44">
        <v>1922545.2503805554</v>
      </c>
      <c r="P39" s="44">
        <v>98826636.071552143</v>
      </c>
    </row>
    <row r="40" spans="1:16" ht="18.95" customHeight="1" thickTop="1" x14ac:dyDescent="0.2">
      <c r="A40" s="10">
        <v>26</v>
      </c>
      <c r="B40" s="8"/>
      <c r="D40" s="11"/>
      <c r="E40" s="11"/>
      <c r="F40" s="144"/>
    </row>
    <row r="41" spans="1:16" ht="18.95" customHeight="1" thickBot="1" x14ac:dyDescent="0.25">
      <c r="A41" s="10">
        <v>27</v>
      </c>
      <c r="B41" s="145"/>
      <c r="C41" s="9"/>
      <c r="D41" s="5" t="s">
        <v>329</v>
      </c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146">
        <v>4.2645824303846738E-2</v>
      </c>
    </row>
    <row r="42" spans="1:16" ht="18.95" customHeight="1" thickTop="1" x14ac:dyDescent="0.2">
      <c r="B42" s="145"/>
      <c r="D42" s="11"/>
      <c r="E42" s="11"/>
    </row>
    <row r="43" spans="1:16" ht="18.95" customHeight="1" x14ac:dyDescent="0.2">
      <c r="A43" s="10"/>
      <c r="B43" s="145"/>
      <c r="C43" s="9"/>
      <c r="D43" s="11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8.95" customHeight="1" x14ac:dyDescent="0.2">
      <c r="B44" s="145"/>
      <c r="D44" s="11"/>
      <c r="E44" s="11"/>
    </row>
    <row r="45" spans="1:16" ht="18.95" customHeight="1" x14ac:dyDescent="0.2">
      <c r="A45" s="10"/>
      <c r="B45" s="145"/>
      <c r="C45" s="137"/>
      <c r="D45" s="11"/>
      <c r="E45" s="11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ht="18.95" customHeight="1" x14ac:dyDescent="0.2">
      <c r="D46" s="11"/>
      <c r="E46" s="11"/>
    </row>
    <row r="47" spans="1:16" ht="18.95" customHeight="1" x14ac:dyDescent="0.2">
      <c r="D47" s="11"/>
      <c r="E47" s="11"/>
    </row>
    <row r="48" spans="1:16" ht="18.95" customHeight="1" x14ac:dyDescent="0.2">
      <c r="D48" s="11"/>
      <c r="E48" s="11"/>
    </row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</sheetData>
  <mergeCells count="6">
    <mergeCell ref="K10:P10"/>
    <mergeCell ref="A3:P3"/>
    <mergeCell ref="A4:P4"/>
    <mergeCell ref="A5:P5"/>
    <mergeCell ref="A6:P6"/>
    <mergeCell ref="A7:P7"/>
  </mergeCells>
  <pageMargins left="0.5" right="0.5" top="1" bottom="0.75" header="0.3" footer="0.3"/>
  <pageSetup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0"/>
  <sheetViews>
    <sheetView showGridLines="0" zoomScaleNormal="100" workbookViewId="0">
      <selection activeCell="F1" sqref="F1"/>
    </sheetView>
  </sheetViews>
  <sheetFormatPr defaultColWidth="12.42578125" defaultRowHeight="12.75" x14ac:dyDescent="0.2"/>
  <cols>
    <col min="1" max="1" width="16.42578125" style="49" customWidth="1"/>
    <col min="2" max="2" width="36.7109375" style="49" customWidth="1"/>
    <col min="3" max="3" width="16.42578125" style="49" customWidth="1"/>
    <col min="4" max="4" width="6.5703125" style="49" customWidth="1"/>
    <col min="5" max="5" width="15.7109375" style="49" customWidth="1"/>
    <col min="6" max="6" width="15.7109375" style="73" customWidth="1"/>
    <col min="7" max="7" width="16.42578125" style="49" customWidth="1"/>
    <col min="8" max="16384" width="12.42578125" style="49"/>
  </cols>
  <sheetData>
    <row r="1" spans="1:7" ht="20.100000000000001" customHeight="1" x14ac:dyDescent="0.2">
      <c r="F1" s="4" t="s">
        <v>333</v>
      </c>
    </row>
    <row r="2" spans="1:7" ht="20.100000000000001" customHeight="1" x14ac:dyDescent="0.2">
      <c r="F2" s="4" t="s">
        <v>283</v>
      </c>
    </row>
    <row r="3" spans="1:7" ht="15.75" x14ac:dyDescent="0.25">
      <c r="A3" s="46"/>
      <c r="B3" s="209" t="s">
        <v>0</v>
      </c>
      <c r="C3" s="209"/>
      <c r="D3" s="209"/>
      <c r="E3" s="209"/>
      <c r="F3" s="47"/>
      <c r="G3" s="48"/>
    </row>
    <row r="4" spans="1:7" ht="15.75" x14ac:dyDescent="0.25">
      <c r="A4" s="46"/>
      <c r="B4" s="209" t="s">
        <v>73</v>
      </c>
      <c r="C4" s="209"/>
      <c r="D4" s="209"/>
      <c r="E4" s="209"/>
      <c r="F4" s="50"/>
      <c r="G4" s="48"/>
    </row>
    <row r="5" spans="1:7" ht="15.75" x14ac:dyDescent="0.25">
      <c r="A5" s="46"/>
      <c r="B5" s="209" t="s">
        <v>74</v>
      </c>
      <c r="C5" s="209"/>
      <c r="D5" s="209"/>
      <c r="E5" s="209"/>
      <c r="F5" s="51"/>
      <c r="G5" s="52"/>
    </row>
    <row r="6" spans="1:7" ht="15.75" x14ac:dyDescent="0.25">
      <c r="A6" s="46"/>
      <c r="B6" s="210" t="s">
        <v>75</v>
      </c>
      <c r="C6" s="210"/>
      <c r="D6" s="210"/>
      <c r="E6" s="210"/>
      <c r="F6" s="50"/>
    </row>
    <row r="7" spans="1:7" ht="15.75" x14ac:dyDescent="0.25">
      <c r="B7" s="53"/>
      <c r="C7" s="53"/>
      <c r="D7" s="53"/>
      <c r="E7" s="53"/>
      <c r="F7" s="49"/>
    </row>
    <row r="8" spans="1:7" ht="15" x14ac:dyDescent="0.2">
      <c r="A8" s="54"/>
      <c r="B8" s="54"/>
      <c r="C8" s="55"/>
      <c r="D8" s="56"/>
      <c r="E8" s="57"/>
      <c r="F8" s="58"/>
    </row>
    <row r="9" spans="1:7" ht="15" x14ac:dyDescent="0.2">
      <c r="A9" s="54" t="s">
        <v>76</v>
      </c>
      <c r="B9" s="54"/>
      <c r="C9" s="59"/>
      <c r="D9" s="60"/>
      <c r="E9" s="61"/>
      <c r="F9" s="62">
        <v>1</v>
      </c>
    </row>
    <row r="10" spans="1:7" ht="15" x14ac:dyDescent="0.2">
      <c r="A10" s="63"/>
      <c r="B10" s="54"/>
      <c r="C10" s="57"/>
      <c r="D10" s="64"/>
      <c r="E10" s="57"/>
      <c r="F10" s="65"/>
    </row>
    <row r="11" spans="1:7" ht="15" x14ac:dyDescent="0.2">
      <c r="A11" s="63" t="s">
        <v>77</v>
      </c>
      <c r="B11" s="54"/>
      <c r="C11" s="57"/>
      <c r="D11" s="57"/>
      <c r="E11" s="57"/>
      <c r="F11" s="66">
        <f>F35</f>
        <v>0.06</v>
      </c>
    </row>
    <row r="12" spans="1:7" ht="15" x14ac:dyDescent="0.2">
      <c r="A12" s="63"/>
      <c r="B12" s="54"/>
      <c r="C12" s="57"/>
      <c r="D12" s="57"/>
      <c r="E12" s="57"/>
      <c r="F12" s="67"/>
    </row>
    <row r="13" spans="1:7" ht="15" x14ac:dyDescent="0.2">
      <c r="A13" s="68" t="s">
        <v>78</v>
      </c>
      <c r="B13" s="54"/>
      <c r="C13" s="69"/>
      <c r="D13" s="61"/>
      <c r="E13" s="69"/>
      <c r="F13" s="70">
        <f>+F9-F11</f>
        <v>0.94</v>
      </c>
    </row>
    <row r="14" spans="1:7" ht="15" x14ac:dyDescent="0.2">
      <c r="A14" s="71" t="s">
        <v>79</v>
      </c>
      <c r="B14" s="54"/>
      <c r="C14" s="69"/>
      <c r="D14" s="61"/>
      <c r="E14" s="72">
        <v>0.09</v>
      </c>
    </row>
    <row r="15" spans="1:7" ht="15" x14ac:dyDescent="0.2">
      <c r="A15" s="71" t="s">
        <v>80</v>
      </c>
      <c r="B15" s="54"/>
      <c r="C15" s="69"/>
      <c r="D15" s="61"/>
      <c r="E15" s="74">
        <v>0.66869999999999996</v>
      </c>
    </row>
    <row r="16" spans="1:7" ht="15" x14ac:dyDescent="0.2">
      <c r="A16" s="75" t="s">
        <v>81</v>
      </c>
      <c r="B16" s="54"/>
      <c r="C16" s="69"/>
      <c r="D16" s="61"/>
      <c r="E16" s="76">
        <v>0</v>
      </c>
    </row>
    <row r="17" spans="1:7" ht="15" x14ac:dyDescent="0.2">
      <c r="A17" s="75" t="str">
        <f xml:space="preserve"> CONCATENATE("4.  Less: Production tax deduction (",TEXT($E$16,"0.0000%")," of Line 3)")</f>
        <v>4.  Less: Production tax deduction (0.0000% of Line 3)</v>
      </c>
      <c r="B17" s="54"/>
      <c r="C17" s="69"/>
      <c r="D17" s="61"/>
      <c r="E17" s="69"/>
      <c r="F17" s="66">
        <f>E16*F13</f>
        <v>0</v>
      </c>
      <c r="G17" s="77"/>
    </row>
    <row r="18" spans="1:7" ht="15" x14ac:dyDescent="0.2">
      <c r="A18" s="75"/>
      <c r="B18" s="54"/>
      <c r="C18" s="69"/>
      <c r="D18" s="61"/>
      <c r="E18" s="69"/>
      <c r="F18" s="77"/>
    </row>
    <row r="19" spans="1:7" ht="15" x14ac:dyDescent="0.2">
      <c r="A19" s="75" t="s">
        <v>82</v>
      </c>
      <c r="B19" s="54"/>
      <c r="C19" s="69"/>
      <c r="D19" s="61"/>
      <c r="E19" s="69"/>
      <c r="F19" s="70">
        <f>F13-F17</f>
        <v>0.94</v>
      </c>
    </row>
    <row r="20" spans="1:7" ht="15" x14ac:dyDescent="0.2">
      <c r="A20" s="68"/>
      <c r="B20" s="54"/>
      <c r="C20" s="64"/>
      <c r="D20" s="57"/>
      <c r="E20" s="57"/>
      <c r="F20" s="67"/>
    </row>
    <row r="21" spans="1:7" ht="15" x14ac:dyDescent="0.2">
      <c r="A21" s="68" t="s">
        <v>83</v>
      </c>
      <c r="B21" s="54"/>
      <c r="C21" s="64"/>
      <c r="D21" s="57"/>
      <c r="E21" s="57"/>
      <c r="F21" s="66">
        <f>ROUND(+F19*0.21,10)</f>
        <v>0.19739999999999999</v>
      </c>
    </row>
    <row r="22" spans="1:7" ht="15" x14ac:dyDescent="0.2">
      <c r="A22" s="68"/>
      <c r="B22" s="54"/>
      <c r="C22" s="64"/>
      <c r="D22" s="57"/>
      <c r="E22" s="57"/>
      <c r="F22" s="65"/>
    </row>
    <row r="23" spans="1:7" ht="15.75" thickBot="1" x14ac:dyDescent="0.25">
      <c r="A23" s="68" t="s">
        <v>84</v>
      </c>
      <c r="B23" s="54"/>
      <c r="C23" s="64"/>
      <c r="D23" s="57"/>
      <c r="E23" s="57"/>
      <c r="F23" s="78">
        <f>ROUND(+F11+F21,10)</f>
        <v>0.25740000000000002</v>
      </c>
    </row>
    <row r="24" spans="1:7" ht="15.75" thickTop="1" x14ac:dyDescent="0.2">
      <c r="A24" s="68"/>
      <c r="B24" s="54"/>
      <c r="C24" s="79"/>
      <c r="D24" s="57"/>
      <c r="E24" s="57"/>
      <c r="F24" s="80"/>
    </row>
    <row r="26" spans="1:7" ht="15" x14ac:dyDescent="0.2">
      <c r="A26" s="81" t="s">
        <v>85</v>
      </c>
    </row>
    <row r="27" spans="1:7" ht="15" x14ac:dyDescent="0.2">
      <c r="A27" s="54" t="s">
        <v>76</v>
      </c>
      <c r="F27" s="62">
        <v>1</v>
      </c>
    </row>
    <row r="28" spans="1:7" ht="15" x14ac:dyDescent="0.2">
      <c r="A28" s="82"/>
      <c r="F28" s="83"/>
    </row>
    <row r="29" spans="1:7" ht="15" x14ac:dyDescent="0.2">
      <c r="A29" s="75" t="str">
        <f xml:space="preserve"> CONCATENATE("2.  Less: Production activities deduction @ 0% X ",TEXT($E$15,"0.00%")," (1)")</f>
        <v>2.  Less: Production activities deduction @ 0% X 66.87% (1)</v>
      </c>
      <c r="F29" s="66">
        <f>E15*0</f>
        <v>0</v>
      </c>
    </row>
    <row r="30" spans="1:7" ht="15" x14ac:dyDescent="0.2">
      <c r="A30" s="82"/>
      <c r="F30" s="67"/>
    </row>
    <row r="31" spans="1:7" ht="15" x14ac:dyDescent="0.2">
      <c r="A31" s="84" t="s">
        <v>86</v>
      </c>
      <c r="F31" s="70">
        <f>+F27-F29</f>
        <v>1</v>
      </c>
    </row>
    <row r="32" spans="1:7" ht="15" x14ac:dyDescent="0.2">
      <c r="A32" s="84"/>
      <c r="F32" s="77"/>
    </row>
    <row r="33" spans="1:6" ht="15" x14ac:dyDescent="0.2">
      <c r="A33" s="84" t="s">
        <v>87</v>
      </c>
      <c r="F33" s="66">
        <v>0.06</v>
      </c>
    </row>
    <row r="34" spans="1:6" ht="15" x14ac:dyDescent="0.2">
      <c r="A34" s="75"/>
      <c r="F34" s="67"/>
    </row>
    <row r="35" spans="1:6" ht="15.75" thickBot="1" x14ac:dyDescent="0.25">
      <c r="A35" s="82" t="s">
        <v>88</v>
      </c>
      <c r="F35" s="85">
        <f>ROUND(+F31*F33,10)</f>
        <v>0.06</v>
      </c>
    </row>
    <row r="36" spans="1:6" ht="13.5" thickTop="1" x14ac:dyDescent="0.2"/>
    <row r="38" spans="1:6" ht="14.25" x14ac:dyDescent="0.2">
      <c r="A38" s="86"/>
    </row>
    <row r="39" spans="1:6" ht="14.25" x14ac:dyDescent="0.2">
      <c r="A39" s="86"/>
    </row>
    <row r="40" spans="1:6" ht="14.25" x14ac:dyDescent="0.2">
      <c r="A40" s="86"/>
    </row>
  </sheetData>
  <mergeCells count="4">
    <mergeCell ref="B3:E3"/>
    <mergeCell ref="B4:E4"/>
    <mergeCell ref="B5:E5"/>
    <mergeCell ref="B6:E6"/>
  </mergeCells>
  <printOptions horizontalCentered="1" gridLinesSet="0"/>
  <pageMargins left="1" right="1" top="1" bottom="1" header="0.5" footer="0.5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24" sqref="G24"/>
    </sheetView>
  </sheetViews>
  <sheetFormatPr defaultRowHeight="15" outlineLevelRow="1" x14ac:dyDescent="0.25"/>
  <cols>
    <col min="1" max="1" width="48.7109375" style="181" customWidth="1"/>
    <col min="2" max="2" width="15.7109375" style="181" customWidth="1"/>
    <col min="3" max="3" width="2.7109375" style="181" customWidth="1"/>
    <col min="4" max="5" width="13.7109375" style="181" customWidth="1"/>
    <col min="6" max="6" width="2.7109375" style="181" customWidth="1"/>
    <col min="7" max="7" width="15.7109375" style="181" customWidth="1"/>
    <col min="8" max="8" width="13.7109375" style="181" customWidth="1"/>
    <col min="9" max="9" width="3.5703125" style="181" customWidth="1"/>
    <col min="10" max="10" width="15.28515625" style="181" bestFit="1" customWidth="1"/>
    <col min="11" max="11" width="10.140625" style="181" bestFit="1" customWidth="1"/>
    <col min="12" max="16384" width="9.140625" style="181"/>
  </cols>
  <sheetData>
    <row r="1" spans="1:11" s="169" customFormat="1" ht="18.75" x14ac:dyDescent="0.3">
      <c r="B1" s="211" t="s">
        <v>118</v>
      </c>
      <c r="C1" s="211"/>
      <c r="D1" s="211"/>
      <c r="E1" s="211"/>
      <c r="F1" s="211"/>
      <c r="G1" s="211"/>
      <c r="H1" s="211"/>
    </row>
    <row r="2" spans="1:11" s="170" customFormat="1" ht="39" customHeight="1" x14ac:dyDescent="0.45">
      <c r="D2" s="212" t="s">
        <v>290</v>
      </c>
      <c r="E2" s="212"/>
      <c r="F2" s="171"/>
      <c r="H2" s="195"/>
    </row>
    <row r="3" spans="1:11" s="172" customFormat="1" ht="51.75" x14ac:dyDescent="0.4">
      <c r="B3" s="173" t="s">
        <v>291</v>
      </c>
      <c r="C3" s="174"/>
      <c r="D3" s="175" t="s">
        <v>292</v>
      </c>
      <c r="E3" s="173" t="s">
        <v>293</v>
      </c>
      <c r="F3" s="174"/>
      <c r="G3" s="173" t="s">
        <v>328</v>
      </c>
      <c r="H3" s="175" t="s">
        <v>322</v>
      </c>
    </row>
    <row r="4" spans="1:11" s="172" customFormat="1" ht="17.25" x14ac:dyDescent="0.4">
      <c r="A4" s="176" t="s">
        <v>294</v>
      </c>
      <c r="B4" s="173"/>
      <c r="C4" s="174"/>
      <c r="D4" s="173"/>
      <c r="E4" s="173"/>
      <c r="F4" s="174"/>
      <c r="G4" s="173"/>
      <c r="H4" s="173"/>
    </row>
    <row r="5" spans="1:11" x14ac:dyDescent="0.25">
      <c r="A5" s="177" t="s">
        <v>295</v>
      </c>
      <c r="B5" s="178">
        <v>622779410.78847742</v>
      </c>
      <c r="C5" s="179"/>
      <c r="D5" s="178">
        <v>20421226</v>
      </c>
      <c r="E5" s="180">
        <f t="shared" ref="E5:E25" si="0">IF(B5=0,0,D5/B5)</f>
        <v>3.2790464241817918E-2</v>
      </c>
      <c r="F5" s="179"/>
      <c r="G5" s="178">
        <f>B5+D5</f>
        <v>643200636.78847742</v>
      </c>
      <c r="H5" s="196">
        <f>G5/G$25</f>
        <v>0.38981153219094655</v>
      </c>
      <c r="J5" s="182">
        <f>D5+B5</f>
        <v>643200636.78847742</v>
      </c>
    </row>
    <row r="6" spans="1:11" x14ac:dyDescent="0.25">
      <c r="A6" s="177" t="s">
        <v>296</v>
      </c>
      <c r="B6" s="179">
        <v>30441.377400766949</v>
      </c>
      <c r="C6" s="179"/>
      <c r="D6" s="179">
        <v>1000</v>
      </c>
      <c r="E6" s="180">
        <f t="shared" si="0"/>
        <v>3.285002471585946E-2</v>
      </c>
      <c r="F6" s="179"/>
      <c r="G6" s="179">
        <f t="shared" ref="G6:G15" si="1">B6+D6</f>
        <v>31441.377400766949</v>
      </c>
      <c r="H6" s="196">
        <f t="shared" ref="H6:H25" si="2">G6/G$25</f>
        <v>1.9055036325807206E-5</v>
      </c>
      <c r="J6" s="182">
        <f>D6+B6</f>
        <v>31441.377400766949</v>
      </c>
    </row>
    <row r="7" spans="1:11" x14ac:dyDescent="0.25">
      <c r="A7" s="177" t="s">
        <v>297</v>
      </c>
      <c r="B7" s="179">
        <v>239171376.68404651</v>
      </c>
      <c r="C7" s="179"/>
      <c r="D7" s="179">
        <v>7618843</v>
      </c>
      <c r="E7" s="180">
        <f t="shared" si="0"/>
        <v>3.1855162208915787E-2</v>
      </c>
      <c r="F7" s="179"/>
      <c r="G7" s="179">
        <f t="shared" si="1"/>
        <v>246790219.68404651</v>
      </c>
      <c r="H7" s="196">
        <f t="shared" si="2"/>
        <v>0.14956713063145691</v>
      </c>
      <c r="J7" s="182">
        <f>SUM(J5:J6)</f>
        <v>643232078.16587818</v>
      </c>
      <c r="K7" s="180">
        <f>ROUND(J7/J25,2)</f>
        <v>0.39</v>
      </c>
    </row>
    <row r="8" spans="1:11" x14ac:dyDescent="0.25">
      <c r="A8" s="177" t="s">
        <v>298</v>
      </c>
      <c r="B8" s="179">
        <v>14562100.123204114</v>
      </c>
      <c r="C8" s="179"/>
      <c r="D8" s="179">
        <v>464318</v>
      </c>
      <c r="E8" s="180">
        <f t="shared" si="0"/>
        <v>3.1885373405730687E-2</v>
      </c>
      <c r="F8" s="179"/>
      <c r="G8" s="179">
        <f t="shared" si="1"/>
        <v>15026418.123204114</v>
      </c>
      <c r="H8" s="196">
        <f t="shared" si="2"/>
        <v>9.1067557103092344E-3</v>
      </c>
    </row>
    <row r="9" spans="1:11" outlineLevel="1" x14ac:dyDescent="0.25">
      <c r="A9" s="183" t="s">
        <v>299</v>
      </c>
      <c r="B9" s="184">
        <v>179716172</v>
      </c>
      <c r="C9" s="184"/>
      <c r="D9" s="184">
        <v>5730358</v>
      </c>
      <c r="E9" s="185">
        <f t="shared" si="0"/>
        <v>3.1885600145099911E-2</v>
      </c>
      <c r="F9" s="184"/>
      <c r="G9" s="184">
        <f t="shared" si="1"/>
        <v>185446530</v>
      </c>
      <c r="H9" s="197">
        <f t="shared" si="2"/>
        <v>0.11238980788286644</v>
      </c>
    </row>
    <row r="10" spans="1:11" outlineLevel="1" x14ac:dyDescent="0.25">
      <c r="A10" s="183" t="s">
        <v>300</v>
      </c>
      <c r="B10" s="184">
        <v>14972312.428139996</v>
      </c>
      <c r="C10" s="184"/>
      <c r="D10" s="184">
        <v>479112</v>
      </c>
      <c r="E10" s="185">
        <f t="shared" si="0"/>
        <v>3.1999866573684629E-2</v>
      </c>
      <c r="F10" s="184"/>
      <c r="G10" s="184">
        <f t="shared" si="1"/>
        <v>15451424.428139996</v>
      </c>
      <c r="H10" s="197">
        <f t="shared" si="2"/>
        <v>9.3643306401866005E-3</v>
      </c>
    </row>
    <row r="11" spans="1:11" s="189" customFormat="1" x14ac:dyDescent="0.25">
      <c r="A11" s="186" t="s">
        <v>301</v>
      </c>
      <c r="B11" s="187">
        <f>SUM(B9:B10)</f>
        <v>194688484.42813998</v>
      </c>
      <c r="C11" s="187"/>
      <c r="D11" s="187">
        <f>SUM(D9:D10)</f>
        <v>6209470</v>
      </c>
      <c r="E11" s="188">
        <f t="shared" si="0"/>
        <v>3.1894387684197785E-2</v>
      </c>
      <c r="F11" s="187"/>
      <c r="G11" s="187">
        <f t="shared" si="1"/>
        <v>200897954.42813998</v>
      </c>
      <c r="H11" s="198">
        <f t="shared" si="2"/>
        <v>0.12175413852305303</v>
      </c>
    </row>
    <row r="12" spans="1:11" x14ac:dyDescent="0.25">
      <c r="A12" s="177" t="s">
        <v>302</v>
      </c>
      <c r="B12" s="179">
        <v>111361703.46595718</v>
      </c>
      <c r="C12" s="179"/>
      <c r="D12" s="179">
        <v>3534112</v>
      </c>
      <c r="E12" s="180">
        <f t="shared" si="0"/>
        <v>3.1735434085563924E-2</v>
      </c>
      <c r="F12" s="179"/>
      <c r="G12" s="179">
        <f t="shared" si="1"/>
        <v>114895815.46595718</v>
      </c>
      <c r="H12" s="196">
        <f t="shared" si="2"/>
        <v>6.9632570783417738E-2</v>
      </c>
    </row>
    <row r="13" spans="1:11" x14ac:dyDescent="0.25">
      <c r="A13" s="177" t="s">
        <v>303</v>
      </c>
      <c r="B13" s="179">
        <v>262428533.3952243</v>
      </c>
      <c r="C13" s="179"/>
      <c r="D13" s="179">
        <v>8489773</v>
      </c>
      <c r="E13" s="180">
        <f t="shared" si="0"/>
        <v>3.2350800007002967E-2</v>
      </c>
      <c r="F13" s="179"/>
      <c r="G13" s="179">
        <f t="shared" si="1"/>
        <v>270918306.39522433</v>
      </c>
      <c r="H13" s="196">
        <f t="shared" si="2"/>
        <v>0.16418994956503533</v>
      </c>
    </row>
    <row r="14" spans="1:11" x14ac:dyDescent="0.25">
      <c r="A14" s="177" t="s">
        <v>304</v>
      </c>
      <c r="B14" s="179">
        <v>89717941.026858285</v>
      </c>
      <c r="C14" s="179"/>
      <c r="D14" s="179">
        <v>2880507</v>
      </c>
      <c r="E14" s="180">
        <f t="shared" si="0"/>
        <v>3.2106253966948273E-2</v>
      </c>
      <c r="F14" s="179"/>
      <c r="G14" s="179">
        <f t="shared" si="1"/>
        <v>92598448.026858285</v>
      </c>
      <c r="H14" s="196">
        <f t="shared" si="2"/>
        <v>5.6119258656337198E-2</v>
      </c>
    </row>
    <row r="15" spans="1:11" x14ac:dyDescent="0.25">
      <c r="A15" s="177" t="s">
        <v>305</v>
      </c>
      <c r="B15" s="179">
        <v>30814610.295082595</v>
      </c>
      <c r="C15" s="179"/>
      <c r="D15" s="179">
        <v>980351</v>
      </c>
      <c r="E15" s="180">
        <f t="shared" si="0"/>
        <v>3.1814486394995713E-2</v>
      </c>
      <c r="F15" s="179"/>
      <c r="G15" s="179">
        <f t="shared" si="1"/>
        <v>31794961.295082595</v>
      </c>
      <c r="H15" s="196">
        <f t="shared" si="2"/>
        <v>1.9269325727461751E-2</v>
      </c>
    </row>
    <row r="16" spans="1:11" outlineLevel="1" x14ac:dyDescent="0.25">
      <c r="A16" s="183" t="s">
        <v>306</v>
      </c>
      <c r="B16" s="190"/>
      <c r="C16" s="184"/>
      <c r="D16" s="190"/>
      <c r="E16" s="185">
        <f t="shared" si="0"/>
        <v>0</v>
      </c>
      <c r="F16" s="184"/>
      <c r="G16" s="190"/>
      <c r="H16" s="197">
        <f t="shared" si="2"/>
        <v>0</v>
      </c>
    </row>
    <row r="17" spans="1:10" outlineLevel="1" x14ac:dyDescent="0.25">
      <c r="A17" s="183" t="s">
        <v>307</v>
      </c>
      <c r="B17" s="190"/>
      <c r="C17" s="184"/>
      <c r="D17" s="190"/>
      <c r="E17" s="185">
        <f t="shared" si="0"/>
        <v>0</v>
      </c>
      <c r="F17" s="184"/>
      <c r="G17" s="190"/>
      <c r="H17" s="197">
        <f t="shared" si="2"/>
        <v>0</v>
      </c>
    </row>
    <row r="18" spans="1:10" s="189" customFormat="1" x14ac:dyDescent="0.25">
      <c r="A18" s="186" t="s">
        <v>308</v>
      </c>
      <c r="B18" s="187">
        <v>-17395776</v>
      </c>
      <c r="C18" s="187"/>
      <c r="D18" s="187">
        <v>1357806</v>
      </c>
      <c r="E18" s="188">
        <f t="shared" si="0"/>
        <v>-7.8053775813162918E-2</v>
      </c>
      <c r="F18" s="187"/>
      <c r="G18" s="187">
        <f t="shared" ref="G18:G24" si="3">B18+D18</f>
        <v>-16037970</v>
      </c>
      <c r="H18" s="198">
        <f t="shared" si="2"/>
        <v>-9.7198063891040468E-3</v>
      </c>
    </row>
    <row r="19" spans="1:10" x14ac:dyDescent="0.25">
      <c r="A19" s="177" t="s">
        <v>309</v>
      </c>
      <c r="B19" s="179">
        <v>35467.485174180503</v>
      </c>
      <c r="C19" s="179"/>
      <c r="D19" s="179">
        <v>0</v>
      </c>
      <c r="E19" s="180">
        <f t="shared" si="0"/>
        <v>0</v>
      </c>
      <c r="F19" s="179"/>
      <c r="G19" s="179">
        <f t="shared" si="3"/>
        <v>35467.485174180503</v>
      </c>
      <c r="H19" s="196">
        <f t="shared" si="2"/>
        <v>2.1495057604014271E-5</v>
      </c>
    </row>
    <row r="20" spans="1:10" x14ac:dyDescent="0.25">
      <c r="A20" s="177" t="s">
        <v>310</v>
      </c>
      <c r="B20" s="179">
        <v>173457.22905495041</v>
      </c>
      <c r="C20" s="179"/>
      <c r="D20" s="179">
        <v>4155</v>
      </c>
      <c r="E20" s="180">
        <f t="shared" si="0"/>
        <v>2.3954031911138832E-2</v>
      </c>
      <c r="F20" s="179"/>
      <c r="G20" s="179">
        <f t="shared" si="3"/>
        <v>177612.22905495041</v>
      </c>
      <c r="H20" s="196">
        <f t="shared" si="2"/>
        <v>1.0764183239844685E-4</v>
      </c>
    </row>
    <row r="21" spans="1:10" outlineLevel="1" x14ac:dyDescent="0.25">
      <c r="A21" s="183" t="s">
        <v>311</v>
      </c>
      <c r="B21" s="184">
        <v>26150821.489857558</v>
      </c>
      <c r="C21" s="184"/>
      <c r="D21" s="191"/>
      <c r="E21" s="185">
        <f t="shared" si="0"/>
        <v>0</v>
      </c>
      <c r="F21" s="184"/>
      <c r="G21" s="184">
        <f t="shared" si="3"/>
        <v>26150821.489857558</v>
      </c>
      <c r="H21" s="197">
        <f t="shared" si="2"/>
        <v>1.5848696674045214E-2</v>
      </c>
    </row>
    <row r="22" spans="1:10" outlineLevel="1" x14ac:dyDescent="0.25">
      <c r="A22" s="183" t="s">
        <v>312</v>
      </c>
      <c r="B22" s="184">
        <v>4238872.2721082512</v>
      </c>
      <c r="C22" s="184"/>
      <c r="D22" s="191"/>
      <c r="E22" s="185">
        <f t="shared" si="0"/>
        <v>0</v>
      </c>
      <c r="F22" s="184"/>
      <c r="G22" s="184">
        <f t="shared" si="3"/>
        <v>4238872.2721082512</v>
      </c>
      <c r="H22" s="197">
        <f t="shared" si="2"/>
        <v>2.5689671319396265E-3</v>
      </c>
    </row>
    <row r="23" spans="1:10" s="189" customFormat="1" x14ac:dyDescent="0.25">
      <c r="A23" s="186" t="s">
        <v>313</v>
      </c>
      <c r="B23" s="187">
        <f>SUM(B21:B22)</f>
        <v>30389693.761965811</v>
      </c>
      <c r="C23" s="187"/>
      <c r="D23" s="187">
        <v>344445</v>
      </c>
      <c r="E23" s="188">
        <f t="shared" si="0"/>
        <v>1.1334270187055646E-2</v>
      </c>
      <c r="F23" s="187"/>
      <c r="G23" s="187">
        <f t="shared" si="3"/>
        <v>30734138.761965811</v>
      </c>
      <c r="H23" s="198">
        <f t="shared" si="2"/>
        <v>1.862641458377623E-2</v>
      </c>
    </row>
    <row r="24" spans="1:10" ht="17.25" x14ac:dyDescent="0.4">
      <c r="A24" s="177" t="s">
        <v>314</v>
      </c>
      <c r="B24" s="192">
        <v>19714166</v>
      </c>
      <c r="C24" s="179"/>
      <c r="D24" s="192">
        <v>-747835.83999999613</v>
      </c>
      <c r="E24" s="180">
        <f t="shared" si="0"/>
        <v>-3.7933932381415278E-2</v>
      </c>
      <c r="F24" s="179"/>
      <c r="G24" s="192">
        <f t="shared" si="3"/>
        <v>18966330.160000004</v>
      </c>
      <c r="H24" s="196">
        <f t="shared" si="2"/>
        <v>1.1494538090981891E-2</v>
      </c>
    </row>
    <row r="25" spans="1:10" ht="17.25" x14ac:dyDescent="0.4">
      <c r="A25" s="193" t="s">
        <v>315</v>
      </c>
      <c r="B25" s="194">
        <f>SUM(B5:B8,B11:B15,B18:B20,B23:B24)</f>
        <v>1598471610.060586</v>
      </c>
      <c r="D25" s="194">
        <f>SUM(D5:D8,D11:D15,D18:D20,D23:D24)</f>
        <v>51558170.160000004</v>
      </c>
      <c r="E25" s="180">
        <f t="shared" si="0"/>
        <v>3.2254667418238243E-2</v>
      </c>
      <c r="G25" s="194">
        <f>SUM(G5:G8,G11:G15,G18:G20,G23:G24)</f>
        <v>1650029780.2205861</v>
      </c>
      <c r="H25" s="198">
        <f t="shared" si="2"/>
        <v>1</v>
      </c>
      <c r="J25" s="182">
        <f>D25+B25</f>
        <v>1650029780.2205861</v>
      </c>
    </row>
    <row r="27" spans="1:10" x14ac:dyDescent="0.25">
      <c r="A27" s="193" t="s">
        <v>316</v>
      </c>
    </row>
    <row r="28" spans="1:10" x14ac:dyDescent="0.25">
      <c r="A28" s="177" t="s">
        <v>317</v>
      </c>
      <c r="B28" s="178">
        <v>3857505.2961587054</v>
      </c>
      <c r="D28" s="178">
        <v>0</v>
      </c>
      <c r="E28" s="180">
        <f>IF(B28=0,0,D28/B28)</f>
        <v>0</v>
      </c>
      <c r="G28" s="178">
        <f t="shared" ref="G28:G31" si="4">B28+D28</f>
        <v>3857505.2961587054</v>
      </c>
      <c r="H28" s="180"/>
    </row>
    <row r="29" spans="1:10" x14ac:dyDescent="0.25">
      <c r="A29" s="177" t="s">
        <v>318</v>
      </c>
      <c r="B29" s="179">
        <v>2108281.586779655</v>
      </c>
      <c r="D29" s="179">
        <v>0</v>
      </c>
      <c r="E29" s="180">
        <f>IF(B29=0,0,D29/B29)</f>
        <v>0</v>
      </c>
      <c r="G29" s="179">
        <f t="shared" si="4"/>
        <v>2108281.586779655</v>
      </c>
      <c r="H29" s="180"/>
    </row>
    <row r="30" spans="1:10" x14ac:dyDescent="0.25">
      <c r="A30" s="177" t="s">
        <v>319</v>
      </c>
      <c r="B30" s="179">
        <v>3142644.6954118521</v>
      </c>
      <c r="D30" s="179">
        <v>19720</v>
      </c>
      <c r="E30" s="180">
        <f>IF(B30=0,0,D30/B30)</f>
        <v>6.274969623129999E-3</v>
      </c>
      <c r="G30" s="179">
        <f t="shared" si="4"/>
        <v>3162364.6954118521</v>
      </c>
      <c r="H30" s="180"/>
    </row>
    <row r="31" spans="1:10" ht="17.25" x14ac:dyDescent="0.4">
      <c r="A31" s="177" t="s">
        <v>320</v>
      </c>
      <c r="B31" s="192">
        <v>22338060.122524951</v>
      </c>
      <c r="D31" s="192">
        <v>0</v>
      </c>
      <c r="E31" s="180">
        <f>IF(B31=0,0,D31/B31)</f>
        <v>0</v>
      </c>
      <c r="G31" s="192">
        <f t="shared" si="4"/>
        <v>22338060.122524951</v>
      </c>
      <c r="H31" s="180"/>
    </row>
    <row r="32" spans="1:10" ht="17.25" x14ac:dyDescent="0.4">
      <c r="A32" s="193" t="s">
        <v>321</v>
      </c>
      <c r="B32" s="194">
        <f>SUM(B25:B31)</f>
        <v>1629918101.7614613</v>
      </c>
      <c r="D32" s="194">
        <f>SUM(D25:D31)</f>
        <v>51577890.160000004</v>
      </c>
      <c r="E32" s="180">
        <f>IF(B32=0,0,D32/B32)</f>
        <v>3.1644467353457516E-2</v>
      </c>
      <c r="G32" s="194">
        <f>SUM(G25:G31)</f>
        <v>1681495991.9214613</v>
      </c>
      <c r="H32" s="188"/>
    </row>
  </sheetData>
  <mergeCells count="2">
    <mergeCell ref="B1:H1"/>
    <mergeCell ref="D2:E2"/>
  </mergeCells>
  <printOptions horizontalCentered="1"/>
  <pageMargins left="1" right="1" top="1" bottom="1" header="0.3" footer="0.3"/>
  <pageSetup scale="8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D20" sqref="D20"/>
    </sheetView>
  </sheetViews>
  <sheetFormatPr defaultRowHeight="15" x14ac:dyDescent="0.25"/>
  <cols>
    <col min="1" max="1" width="28.7109375" style="139" bestFit="1" customWidth="1"/>
    <col min="2" max="2" width="15.7109375" style="139" customWidth="1"/>
    <col min="3" max="3" width="7.85546875" style="139" customWidth="1"/>
    <col min="4" max="13" width="15.7109375" style="139" customWidth="1"/>
    <col min="14" max="16384" width="9.140625" style="139"/>
  </cols>
  <sheetData>
    <row r="1" spans="1:14" s="155" customFormat="1" ht="18.75" x14ac:dyDescent="0.3">
      <c r="A1" s="152" t="s">
        <v>142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4"/>
      <c r="M1" s="154"/>
      <c r="N1" s="154"/>
    </row>
    <row r="2" spans="1:14" s="157" customFormat="1" x14ac:dyDescent="0.25">
      <c r="A2" s="156" t="s">
        <v>323</v>
      </c>
      <c r="B2" s="156"/>
      <c r="C2" s="156"/>
      <c r="D2" s="156"/>
      <c r="E2" s="156"/>
      <c r="F2" s="156"/>
    </row>
    <row r="3" spans="1:14" s="157" customFormat="1" x14ac:dyDescent="0.25">
      <c r="A3" s="156"/>
      <c r="B3" s="156"/>
      <c r="C3" s="156"/>
      <c r="D3" s="156"/>
      <c r="E3" s="156"/>
      <c r="F3" s="156"/>
    </row>
    <row r="4" spans="1:14" ht="51.75" x14ac:dyDescent="0.4">
      <c r="A4" s="158" t="s">
        <v>143</v>
      </c>
      <c r="B4" s="159" t="s">
        <v>277</v>
      </c>
      <c r="C4" s="159" t="s">
        <v>276</v>
      </c>
      <c r="D4" s="159" t="s">
        <v>144</v>
      </c>
      <c r="E4" s="159" t="s">
        <v>145</v>
      </c>
    </row>
    <row r="5" spans="1:14" x14ac:dyDescent="0.25">
      <c r="A5" s="139" t="s">
        <v>278</v>
      </c>
      <c r="B5" s="165">
        <v>6091631439.7637749</v>
      </c>
      <c r="C5" s="160">
        <f>B5/B$7</f>
        <v>0.33233272627711469</v>
      </c>
    </row>
    <row r="6" spans="1:14" ht="17.25" x14ac:dyDescent="0.4">
      <c r="A6" s="161" t="s">
        <v>279</v>
      </c>
      <c r="B6" s="166">
        <v>12238286013.759253</v>
      </c>
      <c r="C6" s="162">
        <f>B6/B$7</f>
        <v>0.66766727372288537</v>
      </c>
    </row>
    <row r="7" spans="1:14" ht="17.25" x14ac:dyDescent="0.4">
      <c r="A7" s="163" t="s">
        <v>280</v>
      </c>
      <c r="B7" s="167">
        <f>SUM(B5:B6)</f>
        <v>18329917453.523026</v>
      </c>
      <c r="C7" s="164">
        <f>SUM(C5:C6)</f>
        <v>1</v>
      </c>
      <c r="D7" s="167">
        <v>18329917453.522999</v>
      </c>
      <c r="E7" s="167">
        <f>B7-D7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SUMMARY (PG1)</vt:lpstr>
      <vt:lpstr>Cost of Capital (PG2)</vt:lpstr>
      <vt:lpstr>Cost of Capital (PGS3-4)</vt:lpstr>
      <vt:lpstr>ST Debt (PG5)</vt:lpstr>
      <vt:lpstr>LT Debt (PG6)</vt:lpstr>
      <vt:lpstr>Effective Tax Rate (PG7)</vt:lpstr>
      <vt:lpstr>SUPPORT&gt;&gt;&gt;</vt:lpstr>
      <vt:lpstr>TY TARIFF BILLING</vt:lpstr>
      <vt:lpstr>TY KWH-RS vs Non-RS</vt:lpstr>
      <vt:lpstr>Excess DIT</vt:lpstr>
      <vt:lpstr>SCH J-1 (ORDER)</vt:lpstr>
      <vt:lpstr>SCH H-1 (ORDER)</vt:lpstr>
      <vt:lpstr>'Cost of Capital (PG2)'!Print_Area</vt:lpstr>
      <vt:lpstr>'Cost of Capital (PGS3-4)'!Print_Area</vt:lpstr>
      <vt:lpstr>'SUMMARY (PG1)'!Print_Area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2014-12-04T19:33:26Z</dcterms:created>
  <dcterms:modified xsi:type="dcterms:W3CDTF">2018-02-01T19:36:08Z</dcterms:modified>
</cp:coreProperties>
</file>