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N2018\CN-00034 - KIUC Complaint (Tax Cut and Jobs Act)\Order Analysis\Rehearing Order\efiling 10-26-18\"/>
    </mc:Choice>
  </mc:AlternateContent>
  <bookViews>
    <workbookView xWindow="0" yWindow="0" windowWidth="25200" windowHeight="11355" tabRatio="825"/>
  </bookViews>
  <sheets>
    <sheet name="KU TrueUp Filing" sheetId="16" r:id="rId1"/>
    <sheet name="LGE-E TrueUp Filing" sheetId="17" r:id="rId2"/>
    <sheet name="LGE-G TrueUp Filing" sheetId="18" r:id="rId3"/>
    <sheet name="LGE Elec True-up" sheetId="5" r:id="rId4"/>
    <sheet name="LGE Gas True-up" sheetId="9" r:id="rId5"/>
    <sheet name="LGE" sheetId="1" r:id="rId6"/>
    <sheet name="LGE 2016 RC Frcst Billing Vols" sheetId="11" r:id="rId7"/>
    <sheet name="KU True-up" sheetId="6" r:id="rId8"/>
    <sheet name="KU" sheetId="4" r:id="rId9"/>
    <sheet name="KU 2016 RC Frcst Billing Vols" sheetId="10" r:id="rId10"/>
  </sheets>
  <externalReferences>
    <externalReference r:id="rId11"/>
  </externalReferences>
  <definedNames>
    <definedName name="\\" localSheetId="1" hidden="1">#REF!</definedName>
    <definedName name="\\" localSheetId="2" hidden="1">#REF!</definedName>
    <definedName name="\\" hidden="1">#REF!</definedName>
    <definedName name="\\\" localSheetId="1" hidden="1">#REF!</definedName>
    <definedName name="\\\" localSheetId="2" hidden="1">#REF!</definedName>
    <definedName name="\\\" hidden="1">#REF!</definedName>
    <definedName name="\\\\" localSheetId="1" hidden="1">#REF!</definedName>
    <definedName name="\\\\" localSheetId="2" hidden="1">#REF!</definedName>
    <definedName name="\\\\" hidden="1">#REF!</definedName>
    <definedName name="__123Graph_1" localSheetId="1" hidden="1">#REF!</definedName>
    <definedName name="__123Graph_1" localSheetId="2" hidden="1">#REF!</definedName>
    <definedName name="__123Graph_1" hidden="1">#REF!</definedName>
    <definedName name="__123Graph_2" localSheetId="1" hidden="1">#REF!</definedName>
    <definedName name="__123Graph_2" localSheetId="2" hidden="1">#REF!</definedName>
    <definedName name="__123Graph_2" hidden="1">#REF!</definedName>
    <definedName name="__123Graph_3" localSheetId="1" hidden="1">#REF!</definedName>
    <definedName name="__123Graph_3" localSheetId="2" hidden="1">#REF!</definedName>
    <definedName name="__123Graph_3" hidden="1">#REF!</definedName>
    <definedName name="__123Graph_4" localSheetId="1" hidden="1">#REF!</definedName>
    <definedName name="__123Graph_4" localSheetId="2" hidden="1">#REF!</definedName>
    <definedName name="__123Graph_4" hidden="1">#REF!</definedName>
    <definedName name="__123Graph_5" localSheetId="1" hidden="1">#REF!</definedName>
    <definedName name="__123Graph_5" localSheetId="2" hidden="1">#REF!</definedName>
    <definedName name="__123Graph_5" hidden="1">#REF!</definedName>
    <definedName name="__123Graph_6" localSheetId="1" hidden="1">#REF!</definedName>
    <definedName name="__123Graph_6" localSheetId="2" hidden="1">#REF!</definedName>
    <definedName name="__123Graph_6" hidden="1">#REF!</definedName>
    <definedName name="__123Graph_8" localSheetId="1" hidden="1">#REF!</definedName>
    <definedName name="__123Graph_8" localSheetId="2" hidden="1">#REF!</definedName>
    <definedName name="__123Graph_8" hidden="1">#REF!</definedName>
    <definedName name="__123Graph_A" localSheetId="1" hidden="1">#REF!</definedName>
    <definedName name="__123Graph_A" localSheetId="2" hidden="1">#REF!</definedName>
    <definedName name="__123Graph_A" hidden="1">#REF!</definedName>
    <definedName name="__123Graph_B" localSheetId="1" hidden="1">#REF!</definedName>
    <definedName name="__123Graph_B" localSheetId="2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hidden="1">#REF!</definedName>
    <definedName name="__123Graph_D" localSheetId="1" hidden="1">#REF!</definedName>
    <definedName name="__123Graph_D" localSheetId="2" hidden="1">#REF!</definedName>
    <definedName name="__123Graph_D" hidden="1">#REF!</definedName>
    <definedName name="__123Graph_E" localSheetId="1" hidden="1">#REF!</definedName>
    <definedName name="__123Graph_E" localSheetId="2" hidden="1">#REF!</definedName>
    <definedName name="__123Graph_E" hidden="1">#REF!</definedName>
    <definedName name="__123Graph_F" localSheetId="1" hidden="1">#REF!</definedName>
    <definedName name="__123Graph_F" localSheetId="2" hidden="1">#REF!</definedName>
    <definedName name="__123Graph_F" hidden="1">#REF!</definedName>
    <definedName name="__123Graph_X" localSheetId="1" hidden="1">#REF!</definedName>
    <definedName name="__123Graph_X" localSheetId="2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hidden="1">#REF!</definedName>
    <definedName name="_Order1" hidden="1">0</definedName>
    <definedName name="_Order2" hidden="1">0</definedName>
    <definedName name="ahahahahaha" hidden="1">{"'Server Configuration'!$A$1:$DB$281"}</definedName>
    <definedName name="blip" hidden="1">{"'Server Configuration'!$A$1:$DB$281"}</definedName>
    <definedName name="BNE_MESSAGES_HIDDEN" localSheetId="1" hidden="1">#REF!</definedName>
    <definedName name="BNE_MESSAGES_HIDDEN" localSheetId="2" hidden="1">#REF!</definedName>
    <definedName name="BNE_MESSAGES_HIDDEN" hidden="1">#REF!</definedName>
    <definedName name="DolUnitFactor">[1]ListsValues!$M$29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9">'KU 2016 RC Frcst Billing Vols'!$A$1:$N$11</definedName>
    <definedName name="_xlnm.Print_Area" localSheetId="0">'KU TrueUp Filing'!$A$1:$D$27</definedName>
    <definedName name="_xlnm.Print_Area" localSheetId="6">'LGE 2016 RC Frcst Billing Vols'!$A$1:$N$19</definedName>
    <definedName name="_xlnm.Print_Area" localSheetId="1">'LGE-E TrueUp Filing'!$A$1:$D$27</definedName>
    <definedName name="_xlnm.Print_Area" localSheetId="2">'LGE-G TrueUp Filing'!$A$1:$D$27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9" i="1"/>
  <c r="G12" i="1"/>
  <c r="G8" i="1"/>
  <c r="G12" i="4"/>
  <c r="G8" i="4"/>
  <c r="D17" i="9" l="1"/>
  <c r="D16" i="9"/>
  <c r="B17" i="9"/>
  <c r="B16" i="9"/>
  <c r="H12" i="9"/>
  <c r="H11" i="9"/>
  <c r="D20" i="18" l="1"/>
  <c r="C20" i="18"/>
  <c r="D20" i="17"/>
  <c r="H12" i="5"/>
  <c r="C20" i="17"/>
  <c r="D20" i="16"/>
  <c r="C20" i="16"/>
  <c r="F16" i="6" l="1"/>
  <c r="H12" i="6" l="1"/>
  <c r="H11" i="6"/>
  <c r="H13" i="6" s="1"/>
  <c r="F17" i="6"/>
  <c r="H11" i="5"/>
  <c r="H13" i="5" s="1"/>
  <c r="F17" i="5"/>
  <c r="F16" i="5"/>
  <c r="F17" i="9" l="1"/>
  <c r="F16" i="9"/>
  <c r="H13" i="9"/>
  <c r="M7" i="11" l="1"/>
  <c r="L7" i="11"/>
  <c r="K7" i="11"/>
  <c r="J7" i="11"/>
  <c r="I7" i="11"/>
  <c r="H7" i="11"/>
  <c r="G7" i="11"/>
  <c r="F7" i="11"/>
  <c r="E7" i="11"/>
  <c r="D7" i="11"/>
  <c r="C7" i="11"/>
  <c r="B7" i="11"/>
  <c r="M16" i="11" l="1"/>
  <c r="L16" i="11"/>
  <c r="K16" i="11"/>
  <c r="J16" i="11"/>
  <c r="I16" i="11"/>
  <c r="H16" i="11"/>
  <c r="G16" i="11"/>
  <c r="F16" i="11"/>
  <c r="E16" i="11"/>
  <c r="D16" i="11"/>
  <c r="C16" i="11"/>
  <c r="B16" i="11"/>
  <c r="M8" i="11"/>
  <c r="L8" i="11"/>
  <c r="K8" i="11"/>
  <c r="J8" i="11"/>
  <c r="I8" i="11"/>
  <c r="H8" i="11"/>
  <c r="G8" i="11"/>
  <c r="F8" i="11"/>
  <c r="E8" i="11"/>
  <c r="D8" i="11"/>
  <c r="C8" i="11"/>
  <c r="B8" i="11"/>
  <c r="N15" i="11"/>
  <c r="N14" i="11"/>
  <c r="N16" i="11" s="1"/>
  <c r="P16" i="11" s="1"/>
  <c r="N7" i="11"/>
  <c r="N6" i="11"/>
  <c r="M7" i="10"/>
  <c r="L7" i="10"/>
  <c r="K7" i="10"/>
  <c r="J7" i="10"/>
  <c r="I7" i="10"/>
  <c r="H7" i="10"/>
  <c r="G7" i="10"/>
  <c r="F7" i="10"/>
  <c r="E7" i="10"/>
  <c r="D7" i="10"/>
  <c r="C7" i="10"/>
  <c r="B7" i="10"/>
  <c r="N6" i="10"/>
  <c r="M8" i="10"/>
  <c r="L8" i="10"/>
  <c r="K8" i="10"/>
  <c r="J8" i="10"/>
  <c r="H8" i="10"/>
  <c r="G8" i="10"/>
  <c r="F8" i="10"/>
  <c r="E8" i="10"/>
  <c r="D8" i="10"/>
  <c r="C8" i="10"/>
  <c r="B8" i="10"/>
  <c r="N8" i="11" l="1"/>
  <c r="P8" i="11" s="1"/>
  <c r="N7" i="10"/>
  <c r="I8" i="10"/>
  <c r="N8" i="10"/>
  <c r="P8" i="10" l="1"/>
  <c r="H19" i="1" l="1"/>
  <c r="F19" i="1"/>
  <c r="E19" i="1"/>
  <c r="D19" i="1"/>
  <c r="C19" i="1"/>
  <c r="B19" i="1"/>
  <c r="I18" i="1"/>
  <c r="D16" i="18" s="1"/>
  <c r="I17" i="1"/>
  <c r="C16" i="18" s="1"/>
  <c r="H8" i="1"/>
  <c r="F8" i="1"/>
  <c r="E8" i="1"/>
  <c r="D8" i="1"/>
  <c r="C8" i="1"/>
  <c r="B8" i="1"/>
  <c r="I7" i="1"/>
  <c r="D16" i="17" s="1"/>
  <c r="I6" i="1"/>
  <c r="C16" i="17" s="1"/>
  <c r="H8" i="4"/>
  <c r="F8" i="4"/>
  <c r="E8" i="4"/>
  <c r="D8" i="4"/>
  <c r="C8" i="4"/>
  <c r="B8" i="4"/>
  <c r="I7" i="4"/>
  <c r="I6" i="4"/>
  <c r="H12" i="4"/>
  <c r="F12" i="4"/>
  <c r="E12" i="4"/>
  <c r="D12" i="4"/>
  <c r="C12" i="4"/>
  <c r="B12" i="4"/>
  <c r="I11" i="4"/>
  <c r="B12" i="6" s="1"/>
  <c r="I10" i="4"/>
  <c r="B11" i="6" s="1"/>
  <c r="I22" i="1"/>
  <c r="B12" i="9" s="1"/>
  <c r="D10" i="18" s="1"/>
  <c r="I21" i="1"/>
  <c r="B11" i="9" s="1"/>
  <c r="C10" i="18" s="1"/>
  <c r="H23" i="1"/>
  <c r="F23" i="1"/>
  <c r="E23" i="1"/>
  <c r="D23" i="1"/>
  <c r="C23" i="1"/>
  <c r="B23" i="1"/>
  <c r="I11" i="1"/>
  <c r="B12" i="5" s="1"/>
  <c r="I10" i="1"/>
  <c r="B11" i="5" s="1"/>
  <c r="H12" i="1"/>
  <c r="F12" i="1"/>
  <c r="E12" i="1"/>
  <c r="D12" i="1"/>
  <c r="C12" i="1"/>
  <c r="B12" i="1"/>
  <c r="I15" i="1"/>
  <c r="C16" i="16" l="1"/>
  <c r="B6" i="6"/>
  <c r="C10" i="16" s="1"/>
  <c r="C14" i="16" s="1"/>
  <c r="C18" i="16" s="1"/>
  <c r="C22" i="16" s="1"/>
  <c r="C24" i="16" s="1"/>
  <c r="B7" i="6"/>
  <c r="D16" i="16"/>
  <c r="B7" i="5"/>
  <c r="B7" i="9"/>
  <c r="B6" i="9"/>
  <c r="D14" i="18"/>
  <c r="D18" i="18" s="1"/>
  <c r="D22" i="18" s="1"/>
  <c r="D24" i="18" s="1"/>
  <c r="D10" i="17"/>
  <c r="D14" i="17" s="1"/>
  <c r="D18" i="17" s="1"/>
  <c r="D22" i="17" s="1"/>
  <c r="D24" i="17" s="1"/>
  <c r="I12" i="1"/>
  <c r="I19" i="1"/>
  <c r="I12" i="4"/>
  <c r="I8" i="4"/>
  <c r="I8" i="1"/>
  <c r="B6" i="5"/>
  <c r="B8" i="6" l="1"/>
  <c r="B8" i="9"/>
  <c r="C14" i="18"/>
  <c r="C18" i="18" s="1"/>
  <c r="C22" i="18" s="1"/>
  <c r="C24" i="18" s="1"/>
  <c r="D10" i="16"/>
  <c r="D14" i="16" s="1"/>
  <c r="D18" i="16" s="1"/>
  <c r="D22" i="16" s="1"/>
  <c r="D24" i="16" s="1"/>
  <c r="D12" i="6"/>
  <c r="D7" i="6" s="1"/>
  <c r="F7" i="6" s="1"/>
  <c r="H7" i="6" s="1"/>
  <c r="H17" i="6" s="1"/>
  <c r="F12" i="6"/>
  <c r="D11" i="6"/>
  <c r="F11" i="6"/>
  <c r="F12" i="5"/>
  <c r="D12" i="5"/>
  <c r="D7" i="5" s="1"/>
  <c r="F7" i="5" s="1"/>
  <c r="H7" i="5" s="1"/>
  <c r="H17" i="5" s="1"/>
  <c r="F12" i="9"/>
  <c r="D12" i="9"/>
  <c r="B13" i="6"/>
  <c r="C10" i="17"/>
  <c r="C14" i="17" s="1"/>
  <c r="C18" i="17" s="1"/>
  <c r="C22" i="17" s="1"/>
  <c r="C24" i="17" s="1"/>
  <c r="F13" i="6" l="1"/>
  <c r="B13" i="9"/>
  <c r="F11" i="9"/>
  <c r="F13" i="9" s="1"/>
  <c r="D11" i="9"/>
  <c r="D13" i="9" s="1"/>
  <c r="I17" i="5"/>
  <c r="I17" i="6"/>
  <c r="D13" i="6"/>
  <c r="D6" i="6"/>
  <c r="D11" i="5"/>
  <c r="D6" i="5" s="1"/>
  <c r="F6" i="5" s="1"/>
  <c r="F8" i="5" s="1"/>
  <c r="F11" i="5"/>
  <c r="F13" i="5" s="1"/>
  <c r="D7" i="9"/>
  <c r="D6" i="9" l="1"/>
  <c r="F6" i="9" s="1"/>
  <c r="H6" i="5"/>
  <c r="H8" i="5" s="1"/>
  <c r="D8" i="6"/>
  <c r="F6" i="6"/>
  <c r="F7" i="9"/>
  <c r="H7" i="9" s="1"/>
  <c r="H17" i="9" s="1"/>
  <c r="D8" i="9" l="1"/>
  <c r="H16" i="5"/>
  <c r="H6" i="6"/>
  <c r="F8" i="6"/>
  <c r="F8" i="9"/>
  <c r="H6" i="9"/>
  <c r="I17" i="9"/>
  <c r="B13" i="5"/>
  <c r="I16" i="5" l="1"/>
  <c r="H8" i="6"/>
  <c r="H16" i="6"/>
  <c r="H16" i="9"/>
  <c r="H8" i="9"/>
  <c r="D8" i="5"/>
  <c r="B8" i="5"/>
  <c r="I16" i="6" l="1"/>
  <c r="I16" i="9"/>
  <c r="D13" i="5"/>
  <c r="I23" i="1" l="1"/>
</calcChain>
</file>

<file path=xl/comments1.xml><?xml version="1.0" encoding="utf-8"?>
<comments xmlns="http://schemas.openxmlformats.org/spreadsheetml/2006/main">
  <authors>
    <author>Andrea Fackler</author>
  </authors>
  <commentList>
    <comment ref="O8" authorId="0" shapeId="0">
      <text>
        <r>
          <rPr>
            <sz val="9"/>
            <color indexed="81"/>
            <rFont val="Tahoma"/>
            <family val="2"/>
          </rPr>
          <t>Sch M-2.2, Sum of kWh</t>
        </r>
      </text>
    </comment>
    <comment ref="O16" authorId="0" shapeId="0">
      <text>
        <r>
          <rPr>
            <sz val="9"/>
            <color indexed="81"/>
            <rFont val="Tahoma"/>
            <family val="2"/>
          </rPr>
          <t>Sch M-2.2, Sum of forecasted MCF</t>
        </r>
      </text>
    </comment>
  </commentList>
</comments>
</file>

<file path=xl/comments2.xml><?xml version="1.0" encoding="utf-8"?>
<comments xmlns="http://schemas.openxmlformats.org/spreadsheetml/2006/main">
  <authors>
    <author>Andrea Fackler</author>
  </authors>
  <commentList>
    <comment ref="O8" authorId="0" shapeId="0">
      <text>
        <r>
          <rPr>
            <sz val="9"/>
            <color indexed="81"/>
            <rFont val="Tahoma"/>
            <family val="2"/>
          </rPr>
          <t>Sch M-2.2, Sum of Total kWh</t>
        </r>
      </text>
    </comment>
  </commentList>
</comments>
</file>

<file path=xl/sharedStrings.xml><?xml version="1.0" encoding="utf-8"?>
<sst xmlns="http://schemas.openxmlformats.org/spreadsheetml/2006/main" count="170" uniqueCount="64">
  <si>
    <t>Test Year Total</t>
  </si>
  <si>
    <t>ELECTRIC</t>
  </si>
  <si>
    <t>GAS</t>
  </si>
  <si>
    <t>Kentucky Utilities</t>
  </si>
  <si>
    <t>Difference</t>
  </si>
  <si>
    <t>All Other Rates</t>
  </si>
  <si>
    <t>Total kWh</t>
  </si>
  <si>
    <t>Total TCJA Revenue Credits</t>
  </si>
  <si>
    <t>Total</t>
  </si>
  <si>
    <t>TCJA Revenue Credits Based on Rates in Effect at Time of Filing and Rates per KPSC's September 28, 2018 Order</t>
  </si>
  <si>
    <t>Rates RGS, VFD</t>
  </si>
  <si>
    <t>Rates RS, VFD, RTOD-D, RTOD-E</t>
  </si>
  <si>
    <t>TCJA Revenue Credits Based on Interim Settlement Rates - Billing Periods April 2018 - September 2018</t>
  </si>
  <si>
    <r>
      <rPr>
        <vertAlign val="superscript"/>
        <sz val="9.3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Excludes kWh for Rate EVC since TCJA credit does not apply to Rate EVC tariff.</t>
    </r>
  </si>
  <si>
    <t>Based on Interim Settlement Rates</t>
  </si>
  <si>
    <t>Based on
Rates per KPSC September 28, 2018 Order</t>
  </si>
  <si>
    <t>Sch M-2.3/
Sch M-2.2 Totals</t>
  </si>
  <si>
    <t>Forecasted Test Year Data - 2016 Rate Case Schedule M</t>
  </si>
  <si>
    <r>
      <t>Based on Interim Settlement Rates</t>
    </r>
    <r>
      <rPr>
        <u val="singleAccounting"/>
        <vertAlign val="superscript"/>
        <sz val="9.35"/>
        <color theme="1"/>
        <rFont val="Calibri"/>
        <family val="2"/>
      </rPr>
      <t>1</t>
    </r>
  </si>
  <si>
    <t>True-up Rate and Volumes</t>
  </si>
  <si>
    <t>KENTUCKY UTILITIES COMPANY</t>
  </si>
  <si>
    <t>CASE NO. 2018-00034</t>
  </si>
  <si>
    <t>LINE NO.</t>
  </si>
  <si>
    <t>DESCRIPTION</t>
  </si>
  <si>
    <t>RESIDENTIAL                                 (RS, VFD, RTOD-D, RTOD-E)</t>
  </si>
  <si>
    <t>NONRESIDENTIAL                     (ALL OTHER RATE SCHEDULES)</t>
  </si>
  <si>
    <t>RATE TCJA SURCREDIT PER KWH (PER SEPTEMBER 28, 2018 ORDER)</t>
  </si>
  <si>
    <t>RATE TCJA SURCREDIT TRUE-UP PER KWH (5 / 6)</t>
  </si>
  <si>
    <t>RATE TCJA SURCREDIT PER KWH (EFFECTIVE DECEMBER 1, 2018 THROUGH APRIL 30, 2019) (2 + 7)</t>
  </si>
  <si>
    <t>RATE TCJA - TAX CUTS AND JOBS ACT SURCREDIT TRUE-UP</t>
  </si>
  <si>
    <t>LOUISVILLE GAS AND ELECTRIC COMPANY</t>
  </si>
  <si>
    <t>CASE NO. 2018-00034 - ELECTRIC OPERATIONS</t>
  </si>
  <si>
    <t>RESIDENTIAL                                 (RGS, VFD)</t>
  </si>
  <si>
    <t>CASE NO. 2018-00034 - GAS OPERATIONS</t>
  </si>
  <si>
    <t>RATE TCJA SURCREDIT PER CCF (PER SEPTEMBER 28, 2018 ORDER)</t>
  </si>
  <si>
    <t>RATE TCJA SURCREDIT TRUE-UP PER CCF (5 / 6)</t>
  </si>
  <si>
    <t>RATE TCJA SURCREDIT PER CCF (EFFECTIVE DECEMBER 1, 2018 THROUGH APRIL 30, 2019) (2 + 7)</t>
  </si>
  <si>
    <t>RATE TCJA SURCREDIT PER KWH EFFECTIVE MAY 1, 2019 (PER SEPTEMBER 28, 2018 ORDER)</t>
  </si>
  <si>
    <t>RATE TCJA SURCREDIT PER CCF EFFECTIVE MAY 1, 2019 (PER SEPTEMBER 28, 2018 ORDER)</t>
  </si>
  <si>
    <t>Apr-18</t>
  </si>
  <si>
    <r>
      <t>Sep-18</t>
    </r>
    <r>
      <rPr>
        <u val="singleAccounting"/>
        <vertAlign val="superscript"/>
        <sz val="11"/>
        <color theme="1"/>
        <rFont val="Calibri"/>
        <family val="2"/>
        <scheme val="minor"/>
      </rPr>
      <t>1</t>
    </r>
  </si>
  <si>
    <r>
      <t>Oct-18</t>
    </r>
    <r>
      <rPr>
        <u val="singleAccounting"/>
        <vertAlign val="superscript"/>
        <sz val="11"/>
        <color theme="1"/>
        <rFont val="Calibri"/>
        <family val="2"/>
        <scheme val="minor"/>
      </rPr>
      <t>1</t>
    </r>
  </si>
  <si>
    <t>ordered by the Commission.  Therefore, this month only includes activity for services rendered prior to September 28, 2018.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</si>
  <si>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Per Commission Order on September 28, 2018, the interim settlement rates for the TCJA Surcredit were changed Services Rendered September 28, 2018 to new rates </t>
    </r>
  </si>
  <si>
    <t>TCJA Revenue Credits Based on Interim Settlement Rates - Service Rendered April 1, 2018 - September 27, 2018</t>
  </si>
  <si>
    <t>Louisville Gas and Electric</t>
  </si>
  <si>
    <t>Louisville Gas and Electric - Gas Operations</t>
  </si>
  <si>
    <t>Louisville Gas and Electric - Electric Operations</t>
  </si>
  <si>
    <t>ACTUAL TCJA ENERGY BILLING UNITS (SERVICE RENDERED APRIL 1, 2018 THROUGH SEPTEMBER 27, 2018)</t>
  </si>
  <si>
    <t>TCJA SURCREDIT PER SEPTEMBER 28, 2018 ORDER RATE TCJA (APRIL 1, 2018 THROUGH SEPTEMBER 27, 2018) (1 X 2)</t>
  </si>
  <si>
    <t>ACTUAL INTERIM TCJA SURCREDIT (SERVICE RENDERED APRIL 1, 2018 THROUGH SEPTEMBER 27, 2018)</t>
  </si>
  <si>
    <t>TRUE-UP TCJA SURCREDIT AMOUNT (3 - 4)</t>
  </si>
  <si>
    <t>ACTUAL TCJA GAS BILLING UNITS (SERVICE RENDERED APRIL 1, 2018 THROUGH SEPTEMBER 27, 2018)</t>
  </si>
  <si>
    <t>Total CCF</t>
  </si>
  <si>
    <t>ENERGY BILLING UNITS (TEST YEAR KWH DECEMBER THROUGH APRIL)</t>
  </si>
  <si>
    <t>GAS BILLING UNITS (TEST YEAR CCF DECEMBER THROUGH APRIL)</t>
  </si>
  <si>
    <t>Energy Billing Units (kWh)</t>
  </si>
  <si>
    <t>TCJA Surcredit ($/kWh)</t>
  </si>
  <si>
    <t xml:space="preserve">Divided by 2016 Test Year Billing Units for Dec - Apr </t>
  </si>
  <si>
    <t>Gas Billing Units (Ccf)</t>
  </si>
  <si>
    <t>TCJA Surcredit ($/Ccf)</t>
  </si>
  <si>
    <t>Total MCF</t>
  </si>
  <si>
    <t>TCJA Surcredit ($)</t>
  </si>
  <si>
    <t>Adjusted TCJA Surcredit for             Dec 2018 - Apr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</si>
</sst>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0.0%"/>
    <numFmt numFmtId="168" formatCode="###0;###0"/>
    <numFmt numFmtId="169" formatCode="_(* #,##0.00000_);_(* \(#,##0.00000\);_(* &quot;-&quot;??_);_(@_)"/>
    <numFmt numFmtId="170" formatCode="&quot;$&quot;#,##0.00000_);\(&quot;$&quot;#,##0.000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vertAlign val="superscript"/>
      <sz val="9.35"/>
      <color theme="1"/>
      <name val="Calibri"/>
      <family val="2"/>
    </font>
    <font>
      <b/>
      <u val="singleAccounting"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000000"/>
      <name val="Arial"/>
      <family val="2"/>
    </font>
    <font>
      <u val="singleAccounting"/>
      <vertAlign val="superscript"/>
      <sz val="9.35"/>
      <color theme="1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u val="singleAccounting"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0" fontId="17" fillId="0" borderId="0"/>
  </cellStyleXfs>
  <cellXfs count="68">
    <xf numFmtId="0" fontId="0" fillId="0" borderId="0" xfId="0"/>
    <xf numFmtId="17" fontId="2" fillId="0" borderId="0" xfId="0" applyNumberFormat="1" applyFont="1" applyAlignment="1">
      <alignment horizontal="center" wrapText="1"/>
    </xf>
    <xf numFmtId="0" fontId="4" fillId="2" borderId="0" xfId="0" applyFont="1" applyFill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0" fillId="0" borderId="0" xfId="0" applyAlignment="1">
      <alignment horizontal="left" indent="2"/>
    </xf>
    <xf numFmtId="164" fontId="0" fillId="0" borderId="0" xfId="2" applyNumberFormat="1" applyFont="1"/>
    <xf numFmtId="164" fontId="2" fillId="0" borderId="0" xfId="2" applyNumberFormat="1" applyFont="1"/>
    <xf numFmtId="164" fontId="8" fillId="0" borderId="0" xfId="2" applyNumberFormat="1" applyFont="1"/>
    <xf numFmtId="0" fontId="3" fillId="0" borderId="0" xfId="0" applyFont="1" applyFill="1"/>
    <xf numFmtId="0" fontId="0" fillId="0" borderId="0" xfId="0" applyFont="1"/>
    <xf numFmtId="165" fontId="8" fillId="0" borderId="0" xfId="1" applyNumberFormat="1" applyFont="1"/>
    <xf numFmtId="166" fontId="8" fillId="0" borderId="0" xfId="2" applyNumberFormat="1" applyFont="1"/>
    <xf numFmtId="17" fontId="9" fillId="4" borderId="0" xfId="0" applyNumberFormat="1" applyFont="1" applyFill="1" applyAlignment="1">
      <alignment horizontal="center" wrapText="1"/>
    </xf>
    <xf numFmtId="0" fontId="4" fillId="3" borderId="0" xfId="0" applyFont="1" applyFill="1"/>
    <xf numFmtId="0" fontId="0" fillId="0" borderId="0" xfId="0" applyFill="1"/>
    <xf numFmtId="164" fontId="0" fillId="0" borderId="0" xfId="2" applyNumberFormat="1" applyFont="1" applyFill="1"/>
    <xf numFmtId="164" fontId="2" fillId="0" borderId="0" xfId="2" applyNumberFormat="1" applyFont="1" applyFill="1"/>
    <xf numFmtId="0" fontId="0" fillId="0" borderId="0" xfId="0" applyAlignment="1"/>
    <xf numFmtId="0" fontId="0" fillId="0" borderId="0" xfId="0" applyAlignment="1">
      <alignment vertical="top"/>
    </xf>
    <xf numFmtId="165" fontId="0" fillId="0" borderId="0" xfId="1" applyNumberFormat="1" applyFont="1"/>
    <xf numFmtId="165" fontId="2" fillId="0" borderId="0" xfId="1" applyNumberFormat="1" applyFont="1"/>
    <xf numFmtId="166" fontId="0" fillId="0" borderId="0" xfId="2" applyNumberFormat="1" applyFont="1"/>
    <xf numFmtId="167" fontId="0" fillId="0" borderId="0" xfId="3" applyNumberFormat="1" applyFont="1"/>
    <xf numFmtId="167" fontId="8" fillId="0" borderId="0" xfId="3" applyNumberFormat="1" applyFont="1"/>
    <xf numFmtId="167" fontId="2" fillId="0" borderId="0" xfId="3" applyNumberFormat="1" applyFont="1"/>
    <xf numFmtId="17" fontId="9" fillId="5" borderId="0" xfId="0" applyNumberFormat="1" applyFont="1" applyFill="1" applyAlignment="1">
      <alignment horizontal="center" wrapText="1"/>
    </xf>
    <xf numFmtId="165" fontId="0" fillId="0" borderId="0" xfId="1" applyNumberFormat="1" applyFont="1" applyFill="1"/>
    <xf numFmtId="165" fontId="2" fillId="0" borderId="0" xfId="1" applyNumberFormat="1" applyFont="1" applyFill="1"/>
    <xf numFmtId="44" fontId="0" fillId="0" borderId="0" xfId="0" applyNumberFormat="1"/>
    <xf numFmtId="164" fontId="0" fillId="0" borderId="0" xfId="0" applyNumberFormat="1"/>
    <xf numFmtId="165" fontId="8" fillId="0" borderId="0" xfId="1" applyNumberFormat="1" applyFont="1" applyFill="1"/>
    <xf numFmtId="166" fontId="1" fillId="0" borderId="0" xfId="2" applyNumberFormat="1" applyFont="1"/>
    <xf numFmtId="17" fontId="2" fillId="0" borderId="0" xfId="0" quotePrefix="1" applyNumberFormat="1" applyFont="1" applyAlignment="1">
      <alignment horizontal="center" wrapText="1"/>
    </xf>
    <xf numFmtId="166" fontId="0" fillId="0" borderId="0" xfId="2" applyNumberFormat="1" applyFont="1" applyFill="1"/>
    <xf numFmtId="166" fontId="1" fillId="0" borderId="0" xfId="2" applyNumberFormat="1" applyFont="1" applyFill="1"/>
    <xf numFmtId="167" fontId="0" fillId="0" borderId="0" xfId="3" applyNumberFormat="1" applyFont="1" applyFill="1"/>
    <xf numFmtId="167" fontId="2" fillId="0" borderId="0" xfId="3" applyNumberFormat="1" applyFont="1" applyFill="1"/>
    <xf numFmtId="167" fontId="8" fillId="0" borderId="0" xfId="3" applyNumberFormat="1" applyFont="1" applyFill="1"/>
    <xf numFmtId="0" fontId="16" fillId="0" borderId="0" xfId="5" applyFont="1" applyFill="1" applyBorder="1" applyAlignment="1">
      <alignment horizontal="left" vertical="top"/>
    </xf>
    <xf numFmtId="0" fontId="16" fillId="0" borderId="0" xfId="5" applyFont="1" applyFill="1" applyBorder="1" applyAlignment="1">
      <alignment horizontal="right"/>
    </xf>
    <xf numFmtId="0" fontId="16" fillId="0" borderId="0" xfId="5" applyFont="1" applyFill="1" applyBorder="1" applyAlignment="1">
      <alignment horizontal="left"/>
    </xf>
    <xf numFmtId="0" fontId="17" fillId="0" borderId="1" xfId="5" applyFont="1" applyFill="1" applyBorder="1" applyAlignment="1">
      <alignment horizontal="center" wrapText="1"/>
    </xf>
    <xf numFmtId="0" fontId="16" fillId="0" borderId="0" xfId="5" applyFont="1" applyFill="1" applyBorder="1" applyAlignment="1">
      <alignment horizontal="center" wrapText="1"/>
    </xf>
    <xf numFmtId="0" fontId="17" fillId="0" borderId="0" xfId="5" applyFont="1" applyFill="1" applyBorder="1" applyAlignment="1">
      <alignment horizontal="left" vertical="center" wrapText="1"/>
    </xf>
    <xf numFmtId="165" fontId="16" fillId="0" borderId="0" xfId="6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left" wrapText="1"/>
    </xf>
    <xf numFmtId="165" fontId="16" fillId="0" borderId="0" xfId="6" applyNumberFormat="1" applyFont="1" applyFill="1" applyBorder="1" applyAlignment="1">
      <alignment horizontal="right" wrapText="1"/>
    </xf>
    <xf numFmtId="168" fontId="16" fillId="0" borderId="0" xfId="5" applyNumberFormat="1" applyFont="1" applyFill="1" applyBorder="1" applyAlignment="1">
      <alignment horizontal="center" wrapText="1"/>
    </xf>
    <xf numFmtId="169" fontId="13" fillId="0" borderId="0" xfId="6" applyNumberFormat="1" applyFont="1" applyFill="1" applyBorder="1" applyAlignment="1">
      <alignment horizontal="right" wrapText="1"/>
    </xf>
    <xf numFmtId="0" fontId="17" fillId="0" borderId="0" xfId="5" applyFont="1" applyFill="1" applyBorder="1" applyAlignment="1">
      <alignment horizontal="center" wrapText="1"/>
    </xf>
    <xf numFmtId="5" fontId="16" fillId="0" borderId="0" xfId="6" applyNumberFormat="1" applyFont="1" applyFill="1" applyBorder="1" applyAlignment="1">
      <alignment horizontal="right" wrapText="1"/>
    </xf>
    <xf numFmtId="170" fontId="16" fillId="0" borderId="0" xfId="6" applyNumberFormat="1" applyFont="1" applyFill="1" applyBorder="1" applyAlignment="1">
      <alignment horizontal="right" wrapText="1"/>
    </xf>
    <xf numFmtId="170" fontId="13" fillId="0" borderId="0" xfId="6" applyNumberFormat="1" applyFont="1" applyFill="1" applyBorder="1" applyAlignment="1">
      <alignment horizontal="right" wrapText="1"/>
    </xf>
    <xf numFmtId="17" fontId="11" fillId="0" borderId="0" xfId="0" applyNumberFormat="1" applyFont="1" applyFill="1" applyAlignment="1">
      <alignment horizontal="left" wrapText="1"/>
    </xf>
    <xf numFmtId="0" fontId="20" fillId="0" borderId="0" xfId="0" applyFont="1"/>
    <xf numFmtId="0" fontId="0" fillId="0" borderId="0" xfId="0" applyFont="1" applyFill="1"/>
    <xf numFmtId="17" fontId="2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indent="2"/>
    </xf>
    <xf numFmtId="164" fontId="8" fillId="0" borderId="0" xfId="2" applyNumberFormat="1" applyFont="1" applyFill="1"/>
    <xf numFmtId="0" fontId="20" fillId="0" borderId="0" xfId="0" applyFont="1" applyFill="1"/>
    <xf numFmtId="166" fontId="8" fillId="0" borderId="0" xfId="2" applyNumberFormat="1" applyFont="1" applyFill="1"/>
    <xf numFmtId="49" fontId="17" fillId="0" borderId="0" xfId="5" applyNumberFormat="1" applyFont="1" applyFill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</cellXfs>
  <cellStyles count="8">
    <cellStyle name="Comma" xfId="1" builtinId="3"/>
    <cellStyle name="Comma 86" xfId="6"/>
    <cellStyle name="Currency" xfId="2" builtinId="4"/>
    <cellStyle name="Normal" xfId="0" builtinId="0"/>
    <cellStyle name="Normal 2" xfId="7"/>
    <cellStyle name="Normal 48" xfId="5"/>
    <cellStyle name="Normal 79" xfId="4"/>
    <cellStyle name="Percent" xfId="3" builtinId="5"/>
  </cellStyles>
  <dxfs count="0"/>
  <tableStyles count="0" defaultTableStyle="TableStyleMedium2" defaultPivotStyle="PivotStyleLight16"/>
  <colors>
    <mruColors>
      <color rgb="FFFFCCCC"/>
      <color rgb="FFFFFF99"/>
      <color rgb="FF66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76"/>
  <sheetViews>
    <sheetView tabSelected="1" zoomScale="85" zoomScaleNormal="85" workbookViewId="0">
      <selection activeCell="B29" sqref="B29"/>
    </sheetView>
  </sheetViews>
  <sheetFormatPr defaultColWidth="9.140625" defaultRowHeight="12.75" x14ac:dyDescent="0.25"/>
  <cols>
    <col min="1" max="1" width="6.85546875" style="40" customWidth="1"/>
    <col min="2" max="2" width="104.140625" style="40" customWidth="1"/>
    <col min="3" max="4" width="29.7109375" style="40" customWidth="1"/>
    <col min="5" max="5" width="9.140625" style="40"/>
    <col min="6" max="6" width="12" style="40" customWidth="1"/>
    <col min="7" max="7" width="13.28515625" style="40" customWidth="1"/>
    <col min="8" max="16384" width="9.140625" style="40"/>
  </cols>
  <sheetData>
    <row r="1" spans="1:7" ht="20.100000000000001" customHeight="1" x14ac:dyDescent="0.2">
      <c r="C1" s="41"/>
      <c r="D1" s="41"/>
    </row>
    <row r="2" spans="1:7" ht="20.100000000000001" customHeight="1" x14ac:dyDescent="0.2">
      <c r="C2" s="41"/>
      <c r="D2" s="41"/>
    </row>
    <row r="3" spans="1:7" s="42" customFormat="1" ht="20.100000000000001" customHeight="1" x14ac:dyDescent="0.2">
      <c r="A3" s="64" t="s">
        <v>20</v>
      </c>
      <c r="B3" s="64"/>
      <c r="C3" s="64"/>
      <c r="D3" s="64"/>
    </row>
    <row r="4" spans="1:7" s="42" customFormat="1" ht="20.100000000000001" customHeight="1" x14ac:dyDescent="0.2">
      <c r="A4" s="64" t="s">
        <v>21</v>
      </c>
      <c r="B4" s="64"/>
      <c r="C4" s="64"/>
      <c r="D4" s="64"/>
    </row>
    <row r="5" spans="1:7" s="42" customFormat="1" ht="20.100000000000001" customHeight="1" x14ac:dyDescent="0.2">
      <c r="A5" s="65" t="s">
        <v>29</v>
      </c>
      <c r="B5" s="65"/>
      <c r="C5" s="65"/>
      <c r="D5" s="65"/>
    </row>
    <row r="6" spans="1:7" s="42" customFormat="1" ht="20.100000000000001" customHeight="1" x14ac:dyDescent="0.2"/>
    <row r="7" spans="1:7" s="42" customFormat="1" ht="20.100000000000001" customHeight="1" x14ac:dyDescent="0.2"/>
    <row r="8" spans="1:7" ht="45" customHeight="1" x14ac:dyDescent="0.2">
      <c r="A8" s="43" t="s">
        <v>22</v>
      </c>
      <c r="B8" s="43" t="s">
        <v>23</v>
      </c>
      <c r="C8" s="43" t="s">
        <v>24</v>
      </c>
      <c r="D8" s="43" t="s">
        <v>25</v>
      </c>
    </row>
    <row r="9" spans="1:7" ht="18.95" customHeight="1" x14ac:dyDescent="0.2">
      <c r="A9" s="44"/>
      <c r="B9" s="45"/>
      <c r="C9" s="46"/>
      <c r="D9" s="46"/>
    </row>
    <row r="10" spans="1:7" ht="18.95" customHeight="1" x14ac:dyDescent="0.2">
      <c r="A10" s="49">
        <v>1</v>
      </c>
      <c r="B10" s="47" t="s">
        <v>48</v>
      </c>
      <c r="C10" s="48">
        <f>'KU True-up'!B11</f>
        <v>2865539371</v>
      </c>
      <c r="D10" s="48">
        <f>'KU True-up'!B12</f>
        <v>6093135799</v>
      </c>
    </row>
    <row r="11" spans="1:7" ht="18.95" customHeight="1" x14ac:dyDescent="0.25"/>
    <row r="12" spans="1:7" ht="18.95" customHeight="1" x14ac:dyDescent="0.2">
      <c r="A12" s="49">
        <v>2</v>
      </c>
      <c r="B12" s="47" t="s">
        <v>26</v>
      </c>
      <c r="C12" s="53">
        <v>-4.7099999999999998E-3</v>
      </c>
      <c r="D12" s="53">
        <v>-3.6700000000000001E-3</v>
      </c>
    </row>
    <row r="13" spans="1:7" ht="18.95" customHeight="1" x14ac:dyDescent="0.2">
      <c r="A13" s="49"/>
      <c r="B13" s="47"/>
      <c r="C13" s="50"/>
      <c r="D13" s="50"/>
    </row>
    <row r="14" spans="1:7" ht="18.95" customHeight="1" x14ac:dyDescent="0.2">
      <c r="A14" s="49">
        <v>3</v>
      </c>
      <c r="B14" s="47" t="s">
        <v>49</v>
      </c>
      <c r="C14" s="52">
        <f>C10*C12</f>
        <v>-13496690.437409999</v>
      </c>
      <c r="D14" s="52">
        <f>D10*D12</f>
        <v>-22361808.38233</v>
      </c>
      <c r="F14" s="48"/>
      <c r="G14" s="48"/>
    </row>
    <row r="15" spans="1:7" ht="18.95" customHeight="1" x14ac:dyDescent="0.2">
      <c r="C15" s="51"/>
      <c r="D15" s="51"/>
    </row>
    <row r="16" spans="1:7" ht="18.95" customHeight="1" x14ac:dyDescent="0.2">
      <c r="A16" s="49">
        <v>4</v>
      </c>
      <c r="B16" s="47" t="s">
        <v>50</v>
      </c>
      <c r="C16" s="52">
        <f>KU!$I6</f>
        <v>-11891988.390000001</v>
      </c>
      <c r="D16" s="52">
        <f>KU!$I7</f>
        <v>-19680828.629999999</v>
      </c>
    </row>
    <row r="17" spans="1:4" ht="18.95" customHeight="1" x14ac:dyDescent="0.2">
      <c r="A17" s="49"/>
      <c r="B17" s="47"/>
      <c r="C17" s="48"/>
      <c r="D17" s="48"/>
    </row>
    <row r="18" spans="1:4" ht="18.95" customHeight="1" x14ac:dyDescent="0.2">
      <c r="A18" s="49">
        <v>5</v>
      </c>
      <c r="B18" s="47" t="s">
        <v>51</v>
      </c>
      <c r="C18" s="52">
        <f>C14-C16</f>
        <v>-1604702.0474099983</v>
      </c>
      <c r="D18" s="52">
        <f>D14-D16</f>
        <v>-2680979.7523300014</v>
      </c>
    </row>
    <row r="19" spans="1:4" ht="18.95" customHeight="1" x14ac:dyDescent="0.2">
      <c r="A19" s="49"/>
      <c r="B19" s="47"/>
      <c r="C19" s="48"/>
      <c r="D19" s="48"/>
    </row>
    <row r="20" spans="1:4" ht="18.95" customHeight="1" x14ac:dyDescent="0.2">
      <c r="A20" s="49">
        <v>6</v>
      </c>
      <c r="B20" s="47" t="s">
        <v>54</v>
      </c>
      <c r="C20" s="48">
        <f>SUM('KU 2016 RC Frcst Billing Vols'!$G$6:$K$6)</f>
        <v>2889659553.9951811</v>
      </c>
      <c r="D20" s="48">
        <f>SUM('KU 2016 RC Frcst Billing Vols'!$G$7:$K$7)</f>
        <v>4890239512.7731867</v>
      </c>
    </row>
    <row r="21" spans="1:4" ht="18.95" customHeight="1" x14ac:dyDescent="0.2">
      <c r="A21" s="49"/>
      <c r="B21" s="47"/>
      <c r="C21" s="48"/>
      <c r="D21" s="48"/>
    </row>
    <row r="22" spans="1:4" ht="18.95" customHeight="1" x14ac:dyDescent="0.2">
      <c r="A22" s="49">
        <v>7</v>
      </c>
      <c r="B22" s="47" t="s">
        <v>27</v>
      </c>
      <c r="C22" s="53">
        <f>C18/C20</f>
        <v>-5.5532564214748814E-4</v>
      </c>
      <c r="D22" s="53">
        <f>D18/D20</f>
        <v>-5.4823076565623169E-4</v>
      </c>
    </row>
    <row r="23" spans="1:4" ht="18.95" customHeight="1" x14ac:dyDescent="0.2">
      <c r="A23" s="49"/>
      <c r="B23" s="47"/>
      <c r="C23" s="48"/>
      <c r="D23" s="48"/>
    </row>
    <row r="24" spans="1:4" ht="18.95" customHeight="1" x14ac:dyDescent="0.2">
      <c r="A24" s="49">
        <v>8</v>
      </c>
      <c r="B24" s="47" t="s">
        <v>28</v>
      </c>
      <c r="C24" s="54">
        <f>C12+C22</f>
        <v>-5.2653256421474875E-3</v>
      </c>
      <c r="D24" s="54">
        <f>D12+D22</f>
        <v>-4.2182307656562319E-3</v>
      </c>
    </row>
    <row r="25" spans="1:4" ht="18.95" customHeight="1" x14ac:dyDescent="0.2">
      <c r="A25" s="49"/>
      <c r="B25" s="47"/>
      <c r="C25" s="48"/>
      <c r="D25" s="48"/>
    </row>
    <row r="26" spans="1:4" ht="18.95" customHeight="1" x14ac:dyDescent="0.2">
      <c r="A26" s="49">
        <v>9</v>
      </c>
      <c r="B26" s="47" t="s">
        <v>37</v>
      </c>
      <c r="C26" s="53">
        <v>-3.8300000000000001E-3</v>
      </c>
      <c r="D26" s="53">
        <v>-2.98E-3</v>
      </c>
    </row>
    <row r="27" spans="1:4" ht="18.95" customHeight="1" x14ac:dyDescent="0.2">
      <c r="A27" s="49"/>
      <c r="B27" s="47"/>
      <c r="C27" s="48"/>
      <c r="D27" s="48"/>
    </row>
    <row r="28" spans="1:4" ht="18.95" customHeight="1" x14ac:dyDescent="0.2">
      <c r="A28" s="49"/>
      <c r="B28" s="47"/>
      <c r="C28" s="48"/>
      <c r="D28" s="48"/>
    </row>
    <row r="29" spans="1:4" ht="18.95" customHeight="1" x14ac:dyDescent="0.25"/>
    <row r="30" spans="1:4" ht="18.95" customHeight="1" x14ac:dyDescent="0.25"/>
    <row r="31" spans="1:4" ht="18.95" customHeight="1" x14ac:dyDescent="0.25"/>
    <row r="32" spans="1:4" ht="18.95" customHeight="1" x14ac:dyDescent="0.25"/>
    <row r="33" ht="18.95" customHeight="1" x14ac:dyDescent="0.25"/>
    <row r="34" ht="18.95" customHeight="1" x14ac:dyDescent="0.25"/>
    <row r="35" ht="18.95" customHeight="1" x14ac:dyDescent="0.25"/>
    <row r="36" ht="18.95" customHeight="1" x14ac:dyDescent="0.25"/>
    <row r="37" ht="18.95" customHeight="1" x14ac:dyDescent="0.25"/>
    <row r="38" ht="18.95" customHeight="1" x14ac:dyDescent="0.25"/>
    <row r="39" ht="18.95" customHeight="1" x14ac:dyDescent="0.25"/>
    <row r="40" ht="18.95" customHeight="1" x14ac:dyDescent="0.25"/>
    <row r="41" ht="18.95" customHeight="1" x14ac:dyDescent="0.25"/>
    <row r="42" ht="18.95" customHeight="1" x14ac:dyDescent="0.25"/>
    <row r="43" ht="18.95" customHeight="1" x14ac:dyDescent="0.25"/>
    <row r="44" ht="18.95" customHeight="1" x14ac:dyDescent="0.25"/>
    <row r="45" ht="18.95" customHeight="1" x14ac:dyDescent="0.25"/>
    <row r="46" ht="18.95" customHeight="1" x14ac:dyDescent="0.25"/>
    <row r="47" ht="18.95" customHeight="1" x14ac:dyDescent="0.25"/>
    <row r="48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</sheetData>
  <mergeCells count="3">
    <mergeCell ref="A3:D3"/>
    <mergeCell ref="A4:D4"/>
    <mergeCell ref="A5:D5"/>
  </mergeCells>
  <printOptions horizontalCentered="1"/>
  <pageMargins left="0.75" right="0.75" top="0.75" bottom="0.75" header="0.3" footer="0.3"/>
  <pageSetup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  <pageSetUpPr fitToPage="1"/>
  </sheetPr>
  <dimension ref="A1:Q11"/>
  <sheetViews>
    <sheetView zoomScale="85" zoomScaleNormal="85" workbookViewId="0">
      <pane xSplit="1" ySplit="4" topLeftCell="B5" activePane="bottomRight" state="frozen"/>
      <selection activeCell="B31" sqref="B31"/>
      <selection pane="topRight" activeCell="B31" sqref="B31"/>
      <selection pane="bottomLeft" activeCell="B31" sqref="B31"/>
      <selection pane="bottomRight" activeCell="A9" sqref="A9"/>
    </sheetView>
  </sheetViews>
  <sheetFormatPr defaultRowHeight="15" x14ac:dyDescent="0.25"/>
  <cols>
    <col min="1" max="1" width="28.7109375" bestFit="1" customWidth="1"/>
    <col min="2" max="16" width="15.7109375" customWidth="1"/>
  </cols>
  <sheetData>
    <row r="1" spans="1:17" s="3" customFormat="1" ht="18.75" x14ac:dyDescent="0.3">
      <c r="A1" s="1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5"/>
    </row>
    <row r="2" spans="1:17" s="11" customFormat="1" x14ac:dyDescent="0.25">
      <c r="A2" s="10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11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34.5" x14ac:dyDescent="0.4">
      <c r="A4" s="27" t="s">
        <v>1</v>
      </c>
      <c r="B4" s="1">
        <v>42917</v>
      </c>
      <c r="C4" s="1">
        <v>42948</v>
      </c>
      <c r="D4" s="1">
        <v>42979</v>
      </c>
      <c r="E4" s="1">
        <v>43009</v>
      </c>
      <c r="F4" s="1">
        <v>43040</v>
      </c>
      <c r="G4" s="1">
        <v>43070</v>
      </c>
      <c r="H4" s="1">
        <v>43101</v>
      </c>
      <c r="I4" s="1">
        <v>43132</v>
      </c>
      <c r="J4" s="1">
        <v>43160</v>
      </c>
      <c r="K4" s="1">
        <v>43191</v>
      </c>
      <c r="L4" s="1">
        <v>43221</v>
      </c>
      <c r="M4" s="1">
        <v>43252</v>
      </c>
      <c r="N4" s="1" t="s">
        <v>0</v>
      </c>
      <c r="O4" s="1" t="s">
        <v>16</v>
      </c>
      <c r="P4" s="1" t="s">
        <v>4</v>
      </c>
    </row>
    <row r="6" spans="1:17" x14ac:dyDescent="0.25">
      <c r="A6" t="s">
        <v>11</v>
      </c>
      <c r="B6" s="21">
        <v>556162998.16056526</v>
      </c>
      <c r="C6" s="21">
        <v>569946895.52547562</v>
      </c>
      <c r="D6" s="21">
        <v>419057958.62031484</v>
      </c>
      <c r="E6" s="21">
        <v>361122074.09537554</v>
      </c>
      <c r="F6" s="21">
        <v>456877357.6341694</v>
      </c>
      <c r="G6" s="21">
        <v>643584709.32225084</v>
      </c>
      <c r="H6" s="21">
        <v>736904932.2418735</v>
      </c>
      <c r="I6" s="21">
        <v>608819914.378178</v>
      </c>
      <c r="J6" s="21">
        <v>532467111.74600899</v>
      </c>
      <c r="K6" s="21">
        <v>367882886.30687016</v>
      </c>
      <c r="L6" s="21">
        <v>373489493.0071702</v>
      </c>
      <c r="M6" s="21">
        <v>465315108.72552228</v>
      </c>
      <c r="N6" s="21">
        <f t="shared" ref="N6:N7" si="0">SUM(B6:M6)</f>
        <v>6091631439.7637739</v>
      </c>
      <c r="O6" s="21"/>
      <c r="P6" s="21"/>
    </row>
    <row r="7" spans="1:17" ht="17.25" x14ac:dyDescent="0.4">
      <c r="A7" s="20" t="s">
        <v>5</v>
      </c>
      <c r="B7" s="22">
        <f>1089094997.34035+8280548.47398006</f>
        <v>1097375545.8143299</v>
      </c>
      <c r="C7" s="22">
        <f>1117876796.4913+8908717.611929</f>
        <v>1126785514.103229</v>
      </c>
      <c r="D7" s="22">
        <f>970958662.185971+8963617.25843976</f>
        <v>979922279.4444108</v>
      </c>
      <c r="E7" s="22">
        <f>994395792.648397+10303223.5557111</f>
        <v>1004699016.2041081</v>
      </c>
      <c r="F7" s="22">
        <f>994027940.761205+11839142.4730922</f>
        <v>1005867083.2342972</v>
      </c>
      <c r="G7" s="22">
        <f>1016400931.51968+13118710.0079984</f>
        <v>1029519641.5276784</v>
      </c>
      <c r="H7" s="22">
        <f>1028642206.6893+13200555.3787003</f>
        <v>1041842762.0680002</v>
      </c>
      <c r="I7" s="22">
        <f>955104555.570987+11085782.5689829</f>
        <v>966190338.13996983</v>
      </c>
      <c r="J7" s="22">
        <f>936342993.829792+10340497.4122707</f>
        <v>946683491.24206269</v>
      </c>
      <c r="K7" s="22">
        <f>896565686.395139+9437593.40033678</f>
        <v>906003279.79547572</v>
      </c>
      <c r="L7" s="22">
        <f>1028380611.90587+8932314.67327034</f>
        <v>1037312926.5791403</v>
      </c>
      <c r="M7" s="22">
        <f>1086860185.47749+9223950.12905278</f>
        <v>1096084135.6065428</v>
      </c>
      <c r="N7" s="22">
        <f t="shared" si="0"/>
        <v>12238286013.759243</v>
      </c>
      <c r="O7" s="21"/>
      <c r="P7" s="21"/>
    </row>
    <row r="8" spans="1:17" ht="17.25" x14ac:dyDescent="0.4">
      <c r="A8" t="s">
        <v>6</v>
      </c>
      <c r="B8" s="12">
        <f>SUM(B6:B7)</f>
        <v>1653538543.974895</v>
      </c>
      <c r="C8" s="12">
        <f t="shared" ref="C8:M8" si="1">SUM(C6:C7)</f>
        <v>1696732409.6287045</v>
      </c>
      <c r="D8" s="12">
        <f t="shared" si="1"/>
        <v>1398980238.0647256</v>
      </c>
      <c r="E8" s="12">
        <f t="shared" si="1"/>
        <v>1365821090.2994838</v>
      </c>
      <c r="F8" s="12">
        <f t="shared" si="1"/>
        <v>1462744440.8684666</v>
      </c>
      <c r="G8" s="12">
        <f t="shared" si="1"/>
        <v>1673104350.8499293</v>
      </c>
      <c r="H8" s="12">
        <f t="shared" si="1"/>
        <v>1778747694.3098736</v>
      </c>
      <c r="I8" s="12">
        <f t="shared" si="1"/>
        <v>1575010252.5181479</v>
      </c>
      <c r="J8" s="12">
        <f t="shared" si="1"/>
        <v>1479150602.9880717</v>
      </c>
      <c r="K8" s="12">
        <f t="shared" si="1"/>
        <v>1273886166.1023459</v>
      </c>
      <c r="L8" s="12">
        <f t="shared" si="1"/>
        <v>1410802419.5863104</v>
      </c>
      <c r="M8" s="12">
        <f t="shared" si="1"/>
        <v>1561399244.3320651</v>
      </c>
      <c r="N8" s="12">
        <f>SUM(B8:M8)</f>
        <v>18329917453.523022</v>
      </c>
      <c r="O8" s="12">
        <v>18329917453.522999</v>
      </c>
      <c r="P8" s="12">
        <f>N8-O8</f>
        <v>0</v>
      </c>
    </row>
    <row r="11" spans="1:17" x14ac:dyDescent="0.25">
      <c r="A11" s="16"/>
    </row>
  </sheetData>
  <printOptions horizontalCentered="1"/>
  <pageMargins left="0.75" right="0.75" top="0.75" bottom="0.75" header="0.3" footer="0.3"/>
  <pageSetup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78"/>
  <sheetViews>
    <sheetView zoomScale="85" zoomScaleNormal="85" workbookViewId="0">
      <selection activeCell="B31" sqref="B31"/>
    </sheetView>
  </sheetViews>
  <sheetFormatPr defaultColWidth="9.140625" defaultRowHeight="12.75" x14ac:dyDescent="0.25"/>
  <cols>
    <col min="1" max="1" width="6.85546875" style="40" customWidth="1"/>
    <col min="2" max="2" width="104.140625" style="40" customWidth="1"/>
    <col min="3" max="4" width="29.7109375" style="40" customWidth="1"/>
    <col min="5" max="5" width="9.140625" style="40"/>
    <col min="6" max="6" width="12" style="40" customWidth="1"/>
    <col min="7" max="7" width="13.28515625" style="40" customWidth="1"/>
    <col min="8" max="16384" width="9.140625" style="40"/>
  </cols>
  <sheetData>
    <row r="1" spans="1:7" ht="20.100000000000001" customHeight="1" x14ac:dyDescent="0.2">
      <c r="C1" s="41"/>
      <c r="D1" s="41"/>
    </row>
    <row r="2" spans="1:7" ht="20.100000000000001" customHeight="1" x14ac:dyDescent="0.2">
      <c r="C2" s="41"/>
      <c r="D2" s="41"/>
    </row>
    <row r="3" spans="1:7" s="42" customFormat="1" ht="20.100000000000001" customHeight="1" x14ac:dyDescent="0.2">
      <c r="A3" s="64" t="s">
        <v>30</v>
      </c>
      <c r="B3" s="64"/>
      <c r="C3" s="64"/>
      <c r="D3" s="64"/>
    </row>
    <row r="4" spans="1:7" s="42" customFormat="1" ht="20.100000000000001" customHeight="1" x14ac:dyDescent="0.2">
      <c r="A4" s="64" t="s">
        <v>31</v>
      </c>
      <c r="B4" s="64"/>
      <c r="C4" s="64"/>
      <c r="D4" s="64"/>
    </row>
    <row r="5" spans="1:7" s="42" customFormat="1" ht="20.100000000000001" customHeight="1" x14ac:dyDescent="0.2">
      <c r="A5" s="65" t="s">
        <v>29</v>
      </c>
      <c r="B5" s="65"/>
      <c r="C5" s="65"/>
      <c r="D5" s="65"/>
    </row>
    <row r="6" spans="1:7" s="42" customFormat="1" ht="20.100000000000001" customHeight="1" x14ac:dyDescent="0.2"/>
    <row r="7" spans="1:7" s="42" customFormat="1" ht="20.100000000000001" customHeight="1" x14ac:dyDescent="0.2"/>
    <row r="8" spans="1:7" ht="45" customHeight="1" x14ac:dyDescent="0.2">
      <c r="A8" s="43" t="s">
        <v>22</v>
      </c>
      <c r="B8" s="43" t="s">
        <v>23</v>
      </c>
      <c r="C8" s="43" t="s">
        <v>24</v>
      </c>
      <c r="D8" s="43" t="s">
        <v>25</v>
      </c>
    </row>
    <row r="9" spans="1:7" ht="18.95" customHeight="1" x14ac:dyDescent="0.2">
      <c r="A9" s="44"/>
      <c r="B9" s="45"/>
      <c r="C9" s="46"/>
      <c r="D9" s="46"/>
    </row>
    <row r="10" spans="1:7" ht="18.95" customHeight="1" x14ac:dyDescent="0.2">
      <c r="A10" s="49">
        <v>1</v>
      </c>
      <c r="B10" s="47" t="s">
        <v>48</v>
      </c>
      <c r="C10" s="48">
        <f>'LGE Elec True-up'!B11</f>
        <v>2421978076</v>
      </c>
      <c r="D10" s="48">
        <f>'LGE Elec True-up'!B12</f>
        <v>3989936160</v>
      </c>
    </row>
    <row r="11" spans="1:7" ht="18.95" customHeight="1" x14ac:dyDescent="0.25"/>
    <row r="12" spans="1:7" ht="18.95" customHeight="1" x14ac:dyDescent="0.2">
      <c r="A12" s="49">
        <v>2</v>
      </c>
      <c r="B12" s="47" t="s">
        <v>26</v>
      </c>
      <c r="C12" s="53">
        <v>-4.9399999999999999E-3</v>
      </c>
      <c r="D12" s="53">
        <v>-3.8400000000000001E-3</v>
      </c>
    </row>
    <row r="13" spans="1:7" ht="18.95" customHeight="1" x14ac:dyDescent="0.2">
      <c r="A13" s="49"/>
      <c r="B13" s="47"/>
      <c r="C13" s="50"/>
      <c r="D13" s="50"/>
    </row>
    <row r="14" spans="1:7" ht="18.95" customHeight="1" x14ac:dyDescent="0.2">
      <c r="A14" s="49">
        <v>3</v>
      </c>
      <c r="B14" s="47" t="s">
        <v>49</v>
      </c>
      <c r="C14" s="52">
        <f>C10*C12</f>
        <v>-11964571.69544</v>
      </c>
      <c r="D14" s="52">
        <f>D10*D12</f>
        <v>-15321354.8544</v>
      </c>
      <c r="F14" s="48"/>
      <c r="G14" s="48"/>
    </row>
    <row r="15" spans="1:7" ht="18.95" customHeight="1" x14ac:dyDescent="0.2">
      <c r="C15" s="51"/>
      <c r="D15" s="51"/>
    </row>
    <row r="16" spans="1:7" ht="18.95" customHeight="1" x14ac:dyDescent="0.2">
      <c r="A16" s="49">
        <v>4</v>
      </c>
      <c r="B16" s="47" t="s">
        <v>50</v>
      </c>
      <c r="C16" s="52">
        <f>LGE!$I6</f>
        <v>-10753582.66</v>
      </c>
      <c r="D16" s="52">
        <f>LGE!$I7</f>
        <v>-13725380.390000001</v>
      </c>
    </row>
    <row r="17" spans="1:4" ht="18.95" customHeight="1" x14ac:dyDescent="0.2">
      <c r="A17" s="49"/>
      <c r="B17" s="47"/>
      <c r="C17" s="48"/>
      <c r="D17" s="48"/>
    </row>
    <row r="18" spans="1:4" ht="18.95" customHeight="1" x14ac:dyDescent="0.2">
      <c r="A18" s="49">
        <v>5</v>
      </c>
      <c r="B18" s="47" t="s">
        <v>51</v>
      </c>
      <c r="C18" s="52">
        <f>C14-C16</f>
        <v>-1210989.0354399998</v>
      </c>
      <c r="D18" s="52">
        <f>D14-D16</f>
        <v>-1595974.464399999</v>
      </c>
    </row>
    <row r="19" spans="1:4" ht="18.95" customHeight="1" x14ac:dyDescent="0.2">
      <c r="A19" s="49"/>
      <c r="B19" s="47"/>
      <c r="C19" s="48"/>
      <c r="D19" s="48"/>
    </row>
    <row r="20" spans="1:4" ht="18.95" customHeight="1" x14ac:dyDescent="0.2">
      <c r="A20" s="49">
        <v>6</v>
      </c>
      <c r="B20" s="47" t="s">
        <v>54</v>
      </c>
      <c r="C20" s="48">
        <f>SUM('LGE 2016 RC Frcst Billing Vols'!$G$6:$K$6)</f>
        <v>1589539050.7677255</v>
      </c>
      <c r="D20" s="48">
        <f>SUM('LGE 2016 RC Frcst Billing Vols'!$G$7:$K$7)</f>
        <v>3011795160.1576176</v>
      </c>
    </row>
    <row r="21" spans="1:4" ht="18.95" customHeight="1" x14ac:dyDescent="0.2">
      <c r="A21" s="49"/>
      <c r="B21" s="47"/>
      <c r="C21" s="48"/>
      <c r="D21" s="48"/>
    </row>
    <row r="22" spans="1:4" ht="18.95" customHeight="1" x14ac:dyDescent="0.2">
      <c r="A22" s="49">
        <v>7</v>
      </c>
      <c r="B22" s="47" t="s">
        <v>27</v>
      </c>
      <c r="C22" s="53">
        <f>C18/C20</f>
        <v>-7.6184918820025767E-4</v>
      </c>
      <c r="D22" s="53">
        <f>D18/D20</f>
        <v>-5.2990803807403562E-4</v>
      </c>
    </row>
    <row r="23" spans="1:4" ht="18.95" customHeight="1" x14ac:dyDescent="0.2">
      <c r="A23" s="49"/>
      <c r="B23" s="47"/>
      <c r="C23" s="48"/>
      <c r="D23" s="48"/>
    </row>
    <row r="24" spans="1:4" ht="18.95" customHeight="1" x14ac:dyDescent="0.2">
      <c r="A24" s="49">
        <v>8</v>
      </c>
      <c r="B24" s="47" t="s">
        <v>28</v>
      </c>
      <c r="C24" s="54">
        <f>C12+C22</f>
        <v>-5.7018491882002576E-3</v>
      </c>
      <c r="D24" s="54">
        <f>D12+D22</f>
        <v>-4.3699080380740357E-3</v>
      </c>
    </row>
    <row r="25" spans="1:4" ht="18.95" customHeight="1" x14ac:dyDescent="0.2">
      <c r="A25" s="49"/>
      <c r="B25" s="47"/>
      <c r="C25" s="48"/>
      <c r="D25" s="48"/>
    </row>
    <row r="26" spans="1:4" ht="18.95" customHeight="1" x14ac:dyDescent="0.2">
      <c r="A26" s="49">
        <v>9</v>
      </c>
      <c r="B26" s="47" t="s">
        <v>37</v>
      </c>
      <c r="C26" s="53">
        <v>-4.0200000000000001E-3</v>
      </c>
      <c r="D26" s="53">
        <v>-3.1199999999999999E-3</v>
      </c>
    </row>
    <row r="27" spans="1:4" ht="18.95" customHeight="1" x14ac:dyDescent="0.2">
      <c r="A27" s="49"/>
      <c r="B27" s="47"/>
      <c r="C27" s="48"/>
      <c r="D27" s="48"/>
    </row>
    <row r="28" spans="1:4" ht="18.95" customHeight="1" x14ac:dyDescent="0.2">
      <c r="A28" s="49"/>
      <c r="B28" s="47"/>
      <c r="C28" s="48"/>
      <c r="D28" s="48"/>
    </row>
    <row r="29" spans="1:4" ht="18.95" customHeight="1" x14ac:dyDescent="0.2">
      <c r="A29" s="49"/>
      <c r="B29" s="47"/>
      <c r="C29" s="48"/>
      <c r="D29" s="48"/>
    </row>
    <row r="30" spans="1:4" ht="18.95" customHeight="1" x14ac:dyDescent="0.2">
      <c r="A30" s="49"/>
      <c r="B30" s="47"/>
      <c r="C30" s="48"/>
      <c r="D30" s="48"/>
    </row>
    <row r="31" spans="1:4" ht="18.95" customHeight="1" x14ac:dyDescent="0.25"/>
    <row r="32" spans="1:4" ht="18.95" customHeight="1" x14ac:dyDescent="0.25"/>
    <row r="33" ht="18.95" customHeight="1" x14ac:dyDescent="0.25"/>
    <row r="34" ht="18.95" customHeight="1" x14ac:dyDescent="0.25"/>
    <row r="35" ht="18.95" customHeight="1" x14ac:dyDescent="0.25"/>
    <row r="36" ht="18.95" customHeight="1" x14ac:dyDescent="0.25"/>
    <row r="37" ht="18.95" customHeight="1" x14ac:dyDescent="0.25"/>
    <row r="38" ht="18.95" customHeight="1" x14ac:dyDescent="0.25"/>
    <row r="39" ht="18.95" customHeight="1" x14ac:dyDescent="0.25"/>
    <row r="40" ht="18.95" customHeight="1" x14ac:dyDescent="0.25"/>
    <row r="41" ht="18.95" customHeight="1" x14ac:dyDescent="0.25"/>
    <row r="42" ht="18.95" customHeight="1" x14ac:dyDescent="0.25"/>
    <row r="43" ht="18.95" customHeight="1" x14ac:dyDescent="0.25"/>
    <row r="44" ht="18.95" customHeight="1" x14ac:dyDescent="0.25"/>
    <row r="45" ht="18.95" customHeight="1" x14ac:dyDescent="0.25"/>
    <row r="46" ht="18.95" customHeight="1" x14ac:dyDescent="0.25"/>
    <row r="47" ht="18.95" customHeight="1" x14ac:dyDescent="0.25"/>
    <row r="48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</sheetData>
  <mergeCells count="3">
    <mergeCell ref="A3:D3"/>
    <mergeCell ref="A4:D4"/>
    <mergeCell ref="A5:D5"/>
  </mergeCells>
  <printOptions horizontalCentered="1"/>
  <pageMargins left="0.75" right="0.75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78"/>
  <sheetViews>
    <sheetView zoomScale="85" zoomScaleNormal="85" workbookViewId="0">
      <selection activeCell="B23" sqref="B23"/>
    </sheetView>
  </sheetViews>
  <sheetFormatPr defaultColWidth="9.140625" defaultRowHeight="12.75" x14ac:dyDescent="0.25"/>
  <cols>
    <col min="1" max="1" width="6.85546875" style="40" customWidth="1"/>
    <col min="2" max="2" width="104.140625" style="40" customWidth="1"/>
    <col min="3" max="4" width="29.7109375" style="40" customWidth="1"/>
    <col min="5" max="5" width="9.140625" style="40"/>
    <col min="6" max="6" width="12" style="40" customWidth="1"/>
    <col min="7" max="7" width="13.28515625" style="40" customWidth="1"/>
    <col min="8" max="16384" width="9.140625" style="40"/>
  </cols>
  <sheetData>
    <row r="1" spans="1:7" ht="20.100000000000001" customHeight="1" x14ac:dyDescent="0.2">
      <c r="C1" s="41"/>
      <c r="D1" s="41"/>
    </row>
    <row r="2" spans="1:7" ht="20.100000000000001" customHeight="1" x14ac:dyDescent="0.2">
      <c r="C2" s="41"/>
      <c r="D2" s="41"/>
    </row>
    <row r="3" spans="1:7" s="42" customFormat="1" ht="20.100000000000001" customHeight="1" x14ac:dyDescent="0.2">
      <c r="A3" s="64" t="s">
        <v>30</v>
      </c>
      <c r="B3" s="64"/>
      <c r="C3" s="64"/>
      <c r="D3" s="64"/>
    </row>
    <row r="4" spans="1:7" s="42" customFormat="1" ht="20.100000000000001" customHeight="1" x14ac:dyDescent="0.2">
      <c r="A4" s="64" t="s">
        <v>33</v>
      </c>
      <c r="B4" s="64"/>
      <c r="C4" s="64"/>
      <c r="D4" s="64"/>
    </row>
    <row r="5" spans="1:7" s="42" customFormat="1" ht="20.100000000000001" customHeight="1" x14ac:dyDescent="0.2">
      <c r="A5" s="65" t="s">
        <v>29</v>
      </c>
      <c r="B5" s="65"/>
      <c r="C5" s="65"/>
      <c r="D5" s="65"/>
    </row>
    <row r="6" spans="1:7" s="42" customFormat="1" ht="20.100000000000001" customHeight="1" x14ac:dyDescent="0.2"/>
    <row r="7" spans="1:7" s="42" customFormat="1" ht="20.100000000000001" customHeight="1" x14ac:dyDescent="0.2"/>
    <row r="8" spans="1:7" ht="45" customHeight="1" x14ac:dyDescent="0.2">
      <c r="A8" s="43" t="s">
        <v>22</v>
      </c>
      <c r="B8" s="43" t="s">
        <v>23</v>
      </c>
      <c r="C8" s="43" t="s">
        <v>32</v>
      </c>
      <c r="D8" s="43" t="s">
        <v>25</v>
      </c>
    </row>
    <row r="9" spans="1:7" ht="18.95" customHeight="1" x14ac:dyDescent="0.2">
      <c r="A9" s="44"/>
      <c r="B9" s="45"/>
      <c r="C9" s="46"/>
      <c r="D9" s="46"/>
    </row>
    <row r="10" spans="1:7" ht="18.95" customHeight="1" x14ac:dyDescent="0.2">
      <c r="A10" s="49">
        <v>1</v>
      </c>
      <c r="B10" s="47" t="s">
        <v>52</v>
      </c>
      <c r="C10" s="48">
        <f>'LGE Gas True-up'!B11</f>
        <v>31509754</v>
      </c>
      <c r="D10" s="48">
        <f>'LGE Gas True-up'!B12</f>
        <v>84097071</v>
      </c>
    </row>
    <row r="11" spans="1:7" ht="18.95" customHeight="1" x14ac:dyDescent="0.25"/>
    <row r="12" spans="1:7" ht="18.95" customHeight="1" x14ac:dyDescent="0.2">
      <c r="A12" s="49">
        <v>2</v>
      </c>
      <c r="B12" s="47" t="s">
        <v>34</v>
      </c>
      <c r="C12" s="53">
        <v>-4.7750000000000001E-2</v>
      </c>
      <c r="D12" s="53">
        <v>-1.9769999999999999E-2</v>
      </c>
    </row>
    <row r="13" spans="1:7" ht="18.95" customHeight="1" x14ac:dyDescent="0.2">
      <c r="A13" s="49"/>
      <c r="B13" s="47"/>
      <c r="C13" s="50"/>
      <c r="D13" s="50"/>
    </row>
    <row r="14" spans="1:7" ht="18.95" customHeight="1" x14ac:dyDescent="0.2">
      <c r="A14" s="49">
        <v>3</v>
      </c>
      <c r="B14" s="47" t="s">
        <v>49</v>
      </c>
      <c r="C14" s="52">
        <f>C10*C12</f>
        <v>-1504590.7535000001</v>
      </c>
      <c r="D14" s="52">
        <f>D10*D12</f>
        <v>-1662599.0936699999</v>
      </c>
      <c r="F14" s="48"/>
      <c r="G14" s="48"/>
    </row>
    <row r="15" spans="1:7" ht="18.95" customHeight="1" x14ac:dyDescent="0.2">
      <c r="C15" s="51"/>
      <c r="D15" s="51"/>
    </row>
    <row r="16" spans="1:7" ht="18.95" customHeight="1" x14ac:dyDescent="0.2">
      <c r="A16" s="49">
        <v>4</v>
      </c>
      <c r="B16" s="47" t="s">
        <v>50</v>
      </c>
      <c r="C16" s="52">
        <f>LGE!$I17</f>
        <v>-1588721.7500000005</v>
      </c>
      <c r="D16" s="52">
        <f>LGE!$I18</f>
        <v>-1755105.8699999999</v>
      </c>
    </row>
    <row r="17" spans="1:4" ht="18.95" customHeight="1" x14ac:dyDescent="0.2">
      <c r="A17" s="49"/>
      <c r="B17" s="47"/>
      <c r="C17" s="48"/>
      <c r="D17" s="48"/>
    </row>
    <row r="18" spans="1:4" ht="18.95" customHeight="1" x14ac:dyDescent="0.2">
      <c r="A18" s="49">
        <v>5</v>
      </c>
      <c r="B18" s="47" t="s">
        <v>51</v>
      </c>
      <c r="C18" s="52">
        <f>C14-C16</f>
        <v>84130.996500000358</v>
      </c>
      <c r="D18" s="52">
        <f>D14-D16</f>
        <v>92506.776330000022</v>
      </c>
    </row>
    <row r="19" spans="1:4" ht="18.95" customHeight="1" x14ac:dyDescent="0.2">
      <c r="A19" s="49"/>
      <c r="B19" s="47"/>
      <c r="C19" s="48"/>
      <c r="D19" s="48"/>
    </row>
    <row r="20" spans="1:4" ht="18.95" customHeight="1" x14ac:dyDescent="0.2">
      <c r="A20" s="49">
        <v>6</v>
      </c>
      <c r="B20" s="47" t="s">
        <v>55</v>
      </c>
      <c r="C20" s="48">
        <f>SUM('LGE 2016 RC Frcst Billing Vols'!$G$14:$K$14)*10</f>
        <v>149447784.31465185</v>
      </c>
      <c r="D20" s="48">
        <f>SUM('LGE 2016 RC Frcst Billing Vols'!$G$15:$K$15)*10</f>
        <v>145524937.50005987</v>
      </c>
    </row>
    <row r="21" spans="1:4" ht="18.95" customHeight="1" x14ac:dyDescent="0.2">
      <c r="A21" s="49"/>
      <c r="B21" s="47"/>
      <c r="C21" s="48"/>
      <c r="D21" s="48"/>
    </row>
    <row r="22" spans="1:4" ht="18.95" customHeight="1" x14ac:dyDescent="0.2">
      <c r="A22" s="49">
        <v>7</v>
      </c>
      <c r="B22" s="47" t="s">
        <v>35</v>
      </c>
      <c r="C22" s="53">
        <f>C18/C20</f>
        <v>5.6294575985729191E-4</v>
      </c>
      <c r="D22" s="53">
        <f>D18/D20</f>
        <v>6.3567645462800468E-4</v>
      </c>
    </row>
    <row r="23" spans="1:4" ht="18.95" customHeight="1" x14ac:dyDescent="0.2">
      <c r="A23" s="49"/>
      <c r="B23" s="47"/>
      <c r="C23" s="48"/>
      <c r="D23" s="48"/>
    </row>
    <row r="24" spans="1:4" ht="18.95" customHeight="1" x14ac:dyDescent="0.2">
      <c r="A24" s="49">
        <v>8</v>
      </c>
      <c r="B24" s="47" t="s">
        <v>36</v>
      </c>
      <c r="C24" s="54">
        <f>C12+C22</f>
        <v>-4.718705424014271E-2</v>
      </c>
      <c r="D24" s="54">
        <f>D12+D22</f>
        <v>-1.9134323545371996E-2</v>
      </c>
    </row>
    <row r="25" spans="1:4" ht="18.95" customHeight="1" x14ac:dyDescent="0.2">
      <c r="A25" s="49"/>
      <c r="B25" s="47"/>
      <c r="C25" s="48"/>
      <c r="D25" s="48"/>
    </row>
    <row r="26" spans="1:4" ht="18.95" customHeight="1" x14ac:dyDescent="0.2">
      <c r="A26" s="49">
        <v>9</v>
      </c>
      <c r="B26" s="47" t="s">
        <v>38</v>
      </c>
      <c r="C26" s="53">
        <v>-3.8800000000000001E-2</v>
      </c>
      <c r="D26" s="53">
        <v>-1.6060000000000001E-2</v>
      </c>
    </row>
    <row r="27" spans="1:4" ht="18.95" customHeight="1" x14ac:dyDescent="0.2">
      <c r="A27" s="49"/>
      <c r="B27" s="47"/>
      <c r="C27" s="48"/>
      <c r="D27" s="48"/>
    </row>
    <row r="28" spans="1:4" ht="18.95" customHeight="1" x14ac:dyDescent="0.2">
      <c r="A28" s="49"/>
      <c r="B28" s="47"/>
      <c r="C28" s="48"/>
      <c r="D28" s="48"/>
    </row>
    <row r="29" spans="1:4" ht="18.95" customHeight="1" x14ac:dyDescent="0.2">
      <c r="A29" s="49"/>
      <c r="B29" s="47"/>
      <c r="C29" s="48"/>
      <c r="D29" s="48"/>
    </row>
    <row r="30" spans="1:4" ht="18.95" customHeight="1" x14ac:dyDescent="0.2">
      <c r="A30" s="49"/>
      <c r="B30" s="47"/>
      <c r="C30" s="48"/>
      <c r="D30" s="48"/>
    </row>
    <row r="31" spans="1:4" ht="18.95" customHeight="1" x14ac:dyDescent="0.25"/>
    <row r="32" spans="1:4" ht="18.95" customHeight="1" x14ac:dyDescent="0.25"/>
    <row r="33" ht="18.95" customHeight="1" x14ac:dyDescent="0.25"/>
    <row r="34" ht="18.95" customHeight="1" x14ac:dyDescent="0.25"/>
    <row r="35" ht="18.95" customHeight="1" x14ac:dyDescent="0.25"/>
    <row r="36" ht="18.95" customHeight="1" x14ac:dyDescent="0.25"/>
    <row r="37" ht="18.95" customHeight="1" x14ac:dyDescent="0.25"/>
    <row r="38" ht="18.95" customHeight="1" x14ac:dyDescent="0.25"/>
    <row r="39" ht="18.95" customHeight="1" x14ac:dyDescent="0.25"/>
    <row r="40" ht="18.95" customHeight="1" x14ac:dyDescent="0.25"/>
    <row r="41" ht="18.95" customHeight="1" x14ac:dyDescent="0.25"/>
    <row r="42" ht="18.95" customHeight="1" x14ac:dyDescent="0.25"/>
    <row r="43" ht="18.95" customHeight="1" x14ac:dyDescent="0.25"/>
    <row r="44" ht="18.95" customHeight="1" x14ac:dyDescent="0.25"/>
    <row r="45" ht="18.95" customHeight="1" x14ac:dyDescent="0.25"/>
    <row r="46" ht="18.95" customHeight="1" x14ac:dyDescent="0.25"/>
    <row r="47" ht="18.95" customHeight="1" x14ac:dyDescent="0.25"/>
    <row r="48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</sheetData>
  <mergeCells count="3">
    <mergeCell ref="A3:D3"/>
    <mergeCell ref="A4:D4"/>
    <mergeCell ref="A5:D5"/>
  </mergeCells>
  <printOptions horizontalCentered="1"/>
  <pageMargins left="0.75" right="0.75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20"/>
  <sheetViews>
    <sheetView showGridLines="0" zoomScaleNormal="100" workbookViewId="0">
      <pane ySplit="2" topLeftCell="A3" activePane="bottomLeft" state="frozen"/>
      <selection activeCell="B31" sqref="B31"/>
      <selection pane="bottomLeft" activeCell="D27" sqref="D27"/>
    </sheetView>
  </sheetViews>
  <sheetFormatPr defaultRowHeight="15" x14ac:dyDescent="0.25"/>
  <cols>
    <col min="1" max="1" width="39" customWidth="1"/>
    <col min="2" max="2" width="15.7109375" customWidth="1"/>
    <col min="3" max="3" width="3.7109375" customWidth="1"/>
    <col min="4" max="4" width="18.7109375" customWidth="1"/>
    <col min="5" max="5" width="3.85546875" customWidth="1"/>
    <col min="6" max="6" width="15.7109375" customWidth="1"/>
    <col min="7" max="7" width="3.85546875" customWidth="1"/>
    <col min="8" max="9" width="19" customWidth="1"/>
  </cols>
  <sheetData>
    <row r="1" spans="1:9" s="3" customFormat="1" ht="18.75" x14ac:dyDescent="0.3">
      <c r="A1" s="66" t="s">
        <v>47</v>
      </c>
      <c r="B1" s="66"/>
      <c r="C1" s="4"/>
      <c r="D1" s="4"/>
      <c r="E1" s="4"/>
      <c r="F1" s="4"/>
      <c r="G1" s="5"/>
    </row>
    <row r="2" spans="1:9" s="11" customFormat="1" x14ac:dyDescent="0.25">
      <c r="A2" s="10" t="s">
        <v>9</v>
      </c>
      <c r="B2" s="10"/>
      <c r="C2" s="10"/>
      <c r="D2" s="10"/>
      <c r="E2" s="10"/>
      <c r="F2" s="10"/>
      <c r="G2" s="10"/>
      <c r="H2" s="57"/>
      <c r="I2" s="57"/>
    </row>
    <row r="3" spans="1:9" s="11" customFormat="1" x14ac:dyDescent="0.25">
      <c r="A3" s="10"/>
      <c r="B3" s="10"/>
      <c r="C3" s="10"/>
      <c r="D3" s="10"/>
      <c r="E3" s="10"/>
      <c r="F3" s="10"/>
      <c r="G3" s="10"/>
      <c r="H3" s="57"/>
      <c r="I3" s="57"/>
    </row>
    <row r="4" spans="1:9" ht="72" x14ac:dyDescent="0.45">
      <c r="A4" s="55" t="s">
        <v>19</v>
      </c>
      <c r="B4" s="58" t="s">
        <v>18</v>
      </c>
      <c r="C4" s="58"/>
      <c r="D4" s="58" t="s">
        <v>15</v>
      </c>
      <c r="E4" s="58"/>
      <c r="F4" s="58" t="s">
        <v>4</v>
      </c>
      <c r="G4" s="16"/>
      <c r="H4" s="58" t="s">
        <v>58</v>
      </c>
      <c r="I4" s="58" t="s">
        <v>63</v>
      </c>
    </row>
    <row r="5" spans="1:9" x14ac:dyDescent="0.25">
      <c r="A5" s="62" t="s">
        <v>62</v>
      </c>
      <c r="B5" s="16"/>
      <c r="C5" s="16"/>
      <c r="D5" s="16"/>
      <c r="E5" s="16"/>
      <c r="F5" s="16"/>
      <c r="G5" s="16"/>
      <c r="H5" s="16"/>
      <c r="I5" s="16"/>
    </row>
    <row r="6" spans="1:9" ht="17.25" customHeight="1" x14ac:dyDescent="0.25">
      <c r="A6" s="16" t="s">
        <v>11</v>
      </c>
      <c r="B6" s="17">
        <f>LGE!I6</f>
        <v>-10753582.66</v>
      </c>
      <c r="C6" s="37"/>
      <c r="D6" s="17">
        <f>ROUND(D11*D16,2)</f>
        <v>-11964571.699999999</v>
      </c>
      <c r="E6" s="37"/>
      <c r="F6" s="17">
        <f>D6-B6</f>
        <v>-1210989.0399999991</v>
      </c>
      <c r="G6" s="16"/>
      <c r="H6" s="17">
        <f>F6</f>
        <v>-1210989.0399999991</v>
      </c>
      <c r="I6" s="16"/>
    </row>
    <row r="7" spans="1:9" ht="17.25" customHeight="1" x14ac:dyDescent="0.4">
      <c r="A7" s="59" t="s">
        <v>5</v>
      </c>
      <c r="B7" s="18">
        <f>LGE!I7</f>
        <v>-13725380.390000001</v>
      </c>
      <c r="C7" s="38"/>
      <c r="D7" s="18">
        <f>ROUND(D12*D17,2)</f>
        <v>-15321354.85</v>
      </c>
      <c r="E7" s="38"/>
      <c r="F7" s="18">
        <f>D7-B7</f>
        <v>-1595974.459999999</v>
      </c>
      <c r="G7" s="16"/>
      <c r="H7" s="18">
        <f>F7</f>
        <v>-1595974.459999999</v>
      </c>
      <c r="I7" s="16"/>
    </row>
    <row r="8" spans="1:9" ht="17.25" x14ac:dyDescent="0.4">
      <c r="A8" s="60" t="s">
        <v>7</v>
      </c>
      <c r="B8" s="61">
        <f>SUM(B6:B7)</f>
        <v>-24478963.050000001</v>
      </c>
      <c r="C8" s="39"/>
      <c r="D8" s="61">
        <f>SUM(D6:D7)</f>
        <v>-27285926.549999997</v>
      </c>
      <c r="E8" s="39"/>
      <c r="F8" s="61">
        <f>SUM(F6:F7)</f>
        <v>-2806963.4999999981</v>
      </c>
      <c r="G8" s="16"/>
      <c r="H8" s="61">
        <f>SUM(H6:H7)</f>
        <v>-2806963.4999999981</v>
      </c>
      <c r="I8" s="16"/>
    </row>
    <row r="9" spans="1:9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9" x14ac:dyDescent="0.25">
      <c r="A10" s="62" t="s">
        <v>56</v>
      </c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6" t="s">
        <v>11</v>
      </c>
      <c r="B11" s="28">
        <f>LGE!I10</f>
        <v>2421978076</v>
      </c>
      <c r="C11" s="37"/>
      <c r="D11" s="28">
        <f>B11</f>
        <v>2421978076</v>
      </c>
      <c r="E11" s="37"/>
      <c r="F11" s="28">
        <f>B11</f>
        <v>2421978076</v>
      </c>
      <c r="G11" s="16"/>
      <c r="H11" s="28">
        <f>SUM('LGE 2016 RC Frcst Billing Vols'!$G$6:$K$6)</f>
        <v>1589539050.7677255</v>
      </c>
      <c r="I11" s="16"/>
    </row>
    <row r="12" spans="1:9" ht="17.25" x14ac:dyDescent="0.4">
      <c r="A12" s="59" t="s">
        <v>5</v>
      </c>
      <c r="B12" s="29">
        <f>LGE!I11</f>
        <v>3989936160</v>
      </c>
      <c r="C12" s="38"/>
      <c r="D12" s="29">
        <f>B12</f>
        <v>3989936160</v>
      </c>
      <c r="E12" s="38"/>
      <c r="F12" s="29">
        <f>B12</f>
        <v>3989936160</v>
      </c>
      <c r="G12" s="16"/>
      <c r="H12" s="29">
        <f>SUM('LGE 2016 RC Frcst Billing Vols'!$G$7:$K$7)</f>
        <v>3011795160.1576176</v>
      </c>
      <c r="I12" s="16"/>
    </row>
    <row r="13" spans="1:9" ht="17.25" x14ac:dyDescent="0.4">
      <c r="A13" s="60" t="s">
        <v>6</v>
      </c>
      <c r="B13" s="32">
        <f>SUM(B11:B12)</f>
        <v>6411914236</v>
      </c>
      <c r="C13" s="39"/>
      <c r="D13" s="32">
        <f>SUM(D11:D12)</f>
        <v>6411914236</v>
      </c>
      <c r="E13" s="39"/>
      <c r="F13" s="32">
        <f>SUM(F11:F12)</f>
        <v>6411914236</v>
      </c>
      <c r="G13" s="16"/>
      <c r="H13" s="32">
        <f>SUM(H11:H12)</f>
        <v>4601334210.9253426</v>
      </c>
      <c r="I13" s="16"/>
    </row>
    <row r="14" spans="1:9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5">
      <c r="A15" s="62" t="s">
        <v>57</v>
      </c>
      <c r="B15" s="16"/>
      <c r="C15" s="16"/>
      <c r="D15" s="16"/>
      <c r="E15" s="16"/>
      <c r="F15" s="16"/>
      <c r="G15" s="16"/>
      <c r="H15" s="16"/>
      <c r="I15" s="16"/>
    </row>
    <row r="16" spans="1:9" x14ac:dyDescent="0.25">
      <c r="A16" s="16" t="s">
        <v>11</v>
      </c>
      <c r="B16" s="35">
        <v>-4.4400000000000004E-3</v>
      </c>
      <c r="C16" s="35"/>
      <c r="D16" s="35">
        <v>-4.9399999999999999E-3</v>
      </c>
      <c r="E16" s="35"/>
      <c r="F16" s="35">
        <f>D16-B16</f>
        <v>-4.9999999999999958E-4</v>
      </c>
      <c r="G16" s="16"/>
      <c r="H16" s="35">
        <f>ROUND(H6/H11,5)</f>
        <v>-7.6000000000000004E-4</v>
      </c>
      <c r="I16" s="35">
        <f>D16+H16</f>
        <v>-5.7000000000000002E-3</v>
      </c>
    </row>
    <row r="17" spans="1:9" x14ac:dyDescent="0.25">
      <c r="A17" s="59" t="s">
        <v>5</v>
      </c>
      <c r="B17" s="36">
        <v>-3.4399999999999999E-3</v>
      </c>
      <c r="C17" s="36"/>
      <c r="D17" s="36">
        <v>-3.8400000000000001E-3</v>
      </c>
      <c r="E17" s="36"/>
      <c r="F17" s="36">
        <f>D17-B17</f>
        <v>-4.0000000000000018E-4</v>
      </c>
      <c r="G17" s="16"/>
      <c r="H17" s="36">
        <f>ROUND(H7/H12,5)</f>
        <v>-5.2999999999999998E-4</v>
      </c>
      <c r="I17" s="35">
        <f>D17+H17</f>
        <v>-4.3699999999999998E-3</v>
      </c>
    </row>
    <row r="18" spans="1:9" ht="17.25" x14ac:dyDescent="0.4">
      <c r="A18" s="60"/>
      <c r="B18" s="63"/>
      <c r="C18" s="63"/>
      <c r="D18" s="63"/>
      <c r="E18" s="63"/>
      <c r="F18" s="63"/>
      <c r="G18" s="16"/>
      <c r="H18" s="17"/>
      <c r="I18" s="63"/>
    </row>
    <row r="19" spans="1:9" x14ac:dyDescent="0.25">
      <c r="A19" s="16"/>
      <c r="B19" s="16"/>
      <c r="C19" s="16"/>
      <c r="D19" s="16"/>
      <c r="E19" s="16"/>
      <c r="F19" s="16"/>
      <c r="G19" s="16"/>
      <c r="H19" s="17"/>
      <c r="I19" s="16"/>
    </row>
    <row r="20" spans="1:9" x14ac:dyDescent="0.25">
      <c r="A20" s="16" t="s">
        <v>13</v>
      </c>
      <c r="B20" s="16"/>
      <c r="C20" s="16"/>
      <c r="D20" s="16"/>
      <c r="E20" s="16"/>
      <c r="F20" s="16"/>
      <c r="G20" s="16"/>
      <c r="H20" s="17"/>
      <c r="I20" s="16"/>
    </row>
  </sheetData>
  <mergeCells count="1">
    <mergeCell ref="A1:B1"/>
  </mergeCells>
  <printOptions horizontalCentered="1"/>
  <pageMargins left="0.75" right="0.75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20"/>
  <sheetViews>
    <sheetView showGridLines="0" zoomScaleNormal="100" workbookViewId="0">
      <pane ySplit="2" topLeftCell="A3" activePane="bottomLeft" state="frozen"/>
      <selection activeCell="B31" sqref="B31"/>
      <selection pane="bottomLeft" activeCell="F27" sqref="F27"/>
    </sheetView>
  </sheetViews>
  <sheetFormatPr defaultRowHeight="15" x14ac:dyDescent="0.25"/>
  <cols>
    <col min="1" max="1" width="35.7109375" customWidth="1"/>
    <col min="2" max="2" width="15.7109375" customWidth="1"/>
    <col min="3" max="3" width="3.42578125" customWidth="1"/>
    <col min="4" max="4" width="18.42578125" customWidth="1"/>
    <col min="5" max="5" width="4.140625" customWidth="1"/>
    <col min="6" max="6" width="15.7109375" customWidth="1"/>
    <col min="7" max="7" width="3.7109375" customWidth="1"/>
    <col min="8" max="8" width="19" customWidth="1"/>
    <col min="9" max="9" width="19.140625" customWidth="1"/>
  </cols>
  <sheetData>
    <row r="1" spans="1:9" s="3" customFormat="1" ht="18.75" x14ac:dyDescent="0.3">
      <c r="A1" s="66" t="s">
        <v>46</v>
      </c>
      <c r="B1" s="66"/>
      <c r="C1" s="4"/>
      <c r="D1" s="4"/>
      <c r="E1" s="4"/>
      <c r="F1" s="4"/>
      <c r="G1" s="5"/>
    </row>
    <row r="2" spans="1:9" s="11" customFormat="1" x14ac:dyDescent="0.25">
      <c r="A2" s="10" t="s">
        <v>9</v>
      </c>
      <c r="B2" s="10"/>
      <c r="C2" s="10"/>
      <c r="D2" s="10"/>
      <c r="E2" s="10"/>
      <c r="F2" s="10"/>
      <c r="G2" s="10"/>
    </row>
    <row r="3" spans="1:9" s="11" customFormat="1" x14ac:dyDescent="0.25">
      <c r="A3" s="10"/>
      <c r="B3" s="10"/>
      <c r="C3" s="10"/>
      <c r="D3" s="10"/>
      <c r="E3" s="10"/>
      <c r="F3" s="10"/>
      <c r="G3" s="10"/>
    </row>
    <row r="4" spans="1:9" ht="69.75" x14ac:dyDescent="0.45">
      <c r="A4" s="55" t="s">
        <v>19</v>
      </c>
      <c r="B4" s="1" t="s">
        <v>14</v>
      </c>
      <c r="C4" s="1"/>
      <c r="D4" s="1" t="s">
        <v>15</v>
      </c>
      <c r="E4" s="1"/>
      <c r="F4" s="1" t="s">
        <v>4</v>
      </c>
      <c r="H4" s="1" t="s">
        <v>58</v>
      </c>
      <c r="I4" s="58" t="s">
        <v>63</v>
      </c>
    </row>
    <row r="5" spans="1:9" x14ac:dyDescent="0.25">
      <c r="A5" s="62" t="s">
        <v>62</v>
      </c>
      <c r="B5" s="16"/>
      <c r="C5" s="16"/>
      <c r="D5" s="16"/>
      <c r="E5" s="16"/>
      <c r="F5" s="16"/>
      <c r="G5" s="16"/>
      <c r="H5" s="16"/>
      <c r="I5" s="16"/>
    </row>
    <row r="6" spans="1:9" ht="17.25" customHeight="1" x14ac:dyDescent="0.25">
      <c r="A6" t="s">
        <v>10</v>
      </c>
      <c r="B6" s="17">
        <f>LGE!I17</f>
        <v>-1588721.7500000005</v>
      </c>
      <c r="C6" s="24"/>
      <c r="D6" s="17">
        <f>ROUND(D11*D16,2)</f>
        <v>-1504590.75</v>
      </c>
      <c r="E6" s="24"/>
      <c r="F6" s="7">
        <f>D6-B6</f>
        <v>84131.000000000466</v>
      </c>
      <c r="H6" s="17">
        <f>F6</f>
        <v>84131.000000000466</v>
      </c>
    </row>
    <row r="7" spans="1:9" ht="17.25" customHeight="1" x14ac:dyDescent="0.4">
      <c r="A7" s="20" t="s">
        <v>5</v>
      </c>
      <c r="B7" s="18">
        <f>LGE!I18</f>
        <v>-1755105.8699999999</v>
      </c>
      <c r="C7" s="26"/>
      <c r="D7" s="18">
        <f>ROUND(D12*D17,2)</f>
        <v>-1662599.09</v>
      </c>
      <c r="E7" s="26"/>
      <c r="F7" s="8">
        <f>D7-B7</f>
        <v>92506.779999999795</v>
      </c>
      <c r="H7" s="18">
        <f>F7</f>
        <v>92506.779999999795</v>
      </c>
    </row>
    <row r="8" spans="1:9" ht="17.25" x14ac:dyDescent="0.4">
      <c r="A8" s="6" t="s">
        <v>7</v>
      </c>
      <c r="B8" s="9">
        <f>SUM(B6:B7)</f>
        <v>-3343827.62</v>
      </c>
      <c r="C8" s="25"/>
      <c r="D8" s="9">
        <f>SUM(D6:D7)</f>
        <v>-3167189.84</v>
      </c>
      <c r="E8" s="25"/>
      <c r="F8" s="9">
        <f>SUM(F6:F7)</f>
        <v>176637.78000000026</v>
      </c>
      <c r="H8" s="9">
        <f>SUM(H6:H7)</f>
        <v>176637.78000000026</v>
      </c>
    </row>
    <row r="10" spans="1:9" x14ac:dyDescent="0.25">
      <c r="A10" s="56" t="s">
        <v>59</v>
      </c>
    </row>
    <row r="11" spans="1:9" x14ac:dyDescent="0.25">
      <c r="A11" t="s">
        <v>10</v>
      </c>
      <c r="B11" s="28">
        <f>LGE!I21</f>
        <v>31509754</v>
      </c>
      <c r="C11" s="37"/>
      <c r="D11" s="28">
        <f>B11</f>
        <v>31509754</v>
      </c>
      <c r="E11" s="24"/>
      <c r="F11" s="21">
        <f>B11</f>
        <v>31509754</v>
      </c>
      <c r="H11" s="21">
        <f>SUM('LGE 2016 RC Frcst Billing Vols'!$G$14:$K$14)*10</f>
        <v>149447784.31465185</v>
      </c>
    </row>
    <row r="12" spans="1:9" ht="17.25" x14ac:dyDescent="0.4">
      <c r="A12" s="20" t="s">
        <v>5</v>
      </c>
      <c r="B12" s="29">
        <f>LGE!I22</f>
        <v>84097071</v>
      </c>
      <c r="C12" s="38"/>
      <c r="D12" s="29">
        <f>B12</f>
        <v>84097071</v>
      </c>
      <c r="E12" s="26"/>
      <c r="F12" s="22">
        <f>B12</f>
        <v>84097071</v>
      </c>
      <c r="H12" s="22">
        <f>SUM('LGE 2016 RC Frcst Billing Vols'!$G$15:$K$15)*10</f>
        <v>145524937.50005987</v>
      </c>
    </row>
    <row r="13" spans="1:9" ht="17.25" x14ac:dyDescent="0.4">
      <c r="A13" s="6" t="s">
        <v>53</v>
      </c>
      <c r="B13" s="32">
        <f>SUM(B11:B12)</f>
        <v>115606825</v>
      </c>
      <c r="C13" s="39"/>
      <c r="D13" s="32">
        <f>SUM(D11:D12)</f>
        <v>115606825</v>
      </c>
      <c r="E13" s="25"/>
      <c r="F13" s="12">
        <f>SUM(F11:F12)</f>
        <v>115606825</v>
      </c>
      <c r="H13" s="12">
        <f>SUM(H11:H12)</f>
        <v>294972721.81471169</v>
      </c>
    </row>
    <row r="14" spans="1:9" x14ac:dyDescent="0.25">
      <c r="B14" s="16"/>
      <c r="C14" s="16"/>
      <c r="D14" s="16"/>
    </row>
    <row r="15" spans="1:9" x14ac:dyDescent="0.25">
      <c r="A15" s="56" t="s">
        <v>60</v>
      </c>
      <c r="B15" s="16"/>
      <c r="C15" s="16"/>
      <c r="D15" s="16"/>
    </row>
    <row r="16" spans="1:9" x14ac:dyDescent="0.25">
      <c r="A16" t="s">
        <v>10</v>
      </c>
      <c r="B16" s="35">
        <f>-0.05042</f>
        <v>-5.042E-2</v>
      </c>
      <c r="C16" s="35"/>
      <c r="D16" s="35">
        <f>-0.04775</f>
        <v>-4.7750000000000001E-2</v>
      </c>
      <c r="E16" s="23"/>
      <c r="F16" s="23">
        <f>D16-B16</f>
        <v>2.6699999999999988E-3</v>
      </c>
      <c r="H16" s="23">
        <f>ROUND(H6/H11,5)</f>
        <v>5.5999999999999995E-4</v>
      </c>
      <c r="I16" s="23">
        <f>D16+H16</f>
        <v>-4.7190000000000003E-2</v>
      </c>
    </row>
    <row r="17" spans="1:9" x14ac:dyDescent="0.25">
      <c r="A17" s="19" t="s">
        <v>5</v>
      </c>
      <c r="B17" s="36">
        <f>-0.02087</f>
        <v>-2.087E-2</v>
      </c>
      <c r="C17" s="36"/>
      <c r="D17" s="36">
        <f>-0.01977</f>
        <v>-1.9769999999999999E-2</v>
      </c>
      <c r="E17" s="33"/>
      <c r="F17" s="33">
        <f>D17-B17</f>
        <v>1.1000000000000003E-3</v>
      </c>
      <c r="H17" s="33">
        <f>ROUND(H7/H12,5)</f>
        <v>6.4000000000000005E-4</v>
      </c>
      <c r="I17" s="23">
        <f>D17+H17</f>
        <v>-1.9129999999999998E-2</v>
      </c>
    </row>
    <row r="18" spans="1:9" ht="17.25" x14ac:dyDescent="0.4">
      <c r="A18" s="6"/>
      <c r="B18" s="13"/>
      <c r="C18" s="13"/>
      <c r="D18" s="13"/>
      <c r="E18" s="13"/>
      <c r="F18" s="13"/>
      <c r="H18" s="13"/>
      <c r="I18" s="13"/>
    </row>
    <row r="20" spans="1:9" x14ac:dyDescent="0.25">
      <c r="A20" s="16"/>
      <c r="B20" s="16"/>
      <c r="C20" s="16"/>
      <c r="D20" s="16"/>
      <c r="E20" s="16"/>
    </row>
  </sheetData>
  <mergeCells count="1">
    <mergeCell ref="A1:B1"/>
  </mergeCells>
  <printOptions horizontalCentered="1"/>
  <pageMargins left="0.75" right="0.75" top="0.75" bottom="0.75" header="0.3" footer="0.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27"/>
  <sheetViews>
    <sheetView zoomScale="85" zoomScaleNormal="85" workbookViewId="0">
      <pane xSplit="1" ySplit="4" topLeftCell="B5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x14ac:dyDescent="0.25"/>
  <cols>
    <col min="1" max="1" width="35.7109375" customWidth="1"/>
    <col min="2" max="9" width="15.7109375" customWidth="1"/>
  </cols>
  <sheetData>
    <row r="1" spans="1:10" s="3" customFormat="1" ht="18.75" x14ac:dyDescent="0.3">
      <c r="A1" s="2" t="s">
        <v>45</v>
      </c>
      <c r="B1" s="4"/>
      <c r="C1" s="4"/>
      <c r="D1" s="4"/>
      <c r="E1" s="4"/>
      <c r="F1" s="4"/>
      <c r="G1" s="4"/>
      <c r="H1" s="4"/>
      <c r="I1" s="4"/>
      <c r="J1" s="5"/>
    </row>
    <row r="2" spans="1:10" s="11" customFormat="1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11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21.75" x14ac:dyDescent="0.4">
      <c r="A4" s="14" t="s">
        <v>1</v>
      </c>
      <c r="B4" s="34" t="s">
        <v>39</v>
      </c>
      <c r="C4" s="1">
        <v>43221</v>
      </c>
      <c r="D4" s="1">
        <v>43252</v>
      </c>
      <c r="E4" s="1">
        <v>43282</v>
      </c>
      <c r="F4" s="1">
        <v>43313</v>
      </c>
      <c r="G4" s="34" t="s">
        <v>40</v>
      </c>
      <c r="H4" s="34" t="s">
        <v>41</v>
      </c>
      <c r="I4" s="1" t="s">
        <v>8</v>
      </c>
    </row>
    <row r="6" spans="1:10" x14ac:dyDescent="0.25">
      <c r="A6" t="s">
        <v>11</v>
      </c>
      <c r="B6" s="17">
        <v>-583336.18000000005</v>
      </c>
      <c r="C6" s="17">
        <v>-1379290.5200000003</v>
      </c>
      <c r="D6" s="17">
        <v>-1934021.4</v>
      </c>
      <c r="E6" s="17">
        <v>-2292464.35</v>
      </c>
      <c r="F6" s="17">
        <v>-2060216.9799999997</v>
      </c>
      <c r="G6" s="17">
        <v>-1937287.49</v>
      </c>
      <c r="H6" s="17">
        <v>-566965.74000000011</v>
      </c>
      <c r="I6" s="17">
        <f>SUM(B6:H6)</f>
        <v>-10753582.66</v>
      </c>
    </row>
    <row r="7" spans="1:10" ht="17.25" x14ac:dyDescent="0.4">
      <c r="A7" s="20" t="s">
        <v>5</v>
      </c>
      <c r="B7" s="18">
        <v>-1213931.4899999998</v>
      </c>
      <c r="C7" s="18">
        <v>-2220595.9900000002</v>
      </c>
      <c r="D7" s="18">
        <v>-2362100.0200000009</v>
      </c>
      <c r="E7" s="18">
        <v>-2546217.59</v>
      </c>
      <c r="F7" s="18">
        <v>-2448877.3699999996</v>
      </c>
      <c r="G7" s="18">
        <v>-2380774.9899999998</v>
      </c>
      <c r="H7" s="18">
        <v>-552882.94000000006</v>
      </c>
      <c r="I7" s="18">
        <f>SUM(B7:H7)</f>
        <v>-13725380.390000001</v>
      </c>
    </row>
    <row r="8" spans="1:10" ht="17.25" x14ac:dyDescent="0.4">
      <c r="A8" s="6" t="s">
        <v>7</v>
      </c>
      <c r="B8" s="9">
        <f t="shared" ref="B8:H8" si="0">SUM(B6:B7)</f>
        <v>-1797267.67</v>
      </c>
      <c r="C8" s="9">
        <f t="shared" si="0"/>
        <v>-3599886.5100000007</v>
      </c>
      <c r="D8" s="9">
        <f t="shared" si="0"/>
        <v>-4296121.4200000009</v>
      </c>
      <c r="E8" s="9">
        <f t="shared" si="0"/>
        <v>-4838681.9399999995</v>
      </c>
      <c r="F8" s="9">
        <f t="shared" si="0"/>
        <v>-4509094.3499999996</v>
      </c>
      <c r="G8" s="9">
        <f t="shared" ref="G8" si="1">SUM(G6:G7)</f>
        <v>-4318062.4799999995</v>
      </c>
      <c r="H8" s="9">
        <f t="shared" si="0"/>
        <v>-1119848.6800000002</v>
      </c>
      <c r="I8" s="9">
        <f t="shared" ref="I8" si="2">SUM(B8:H8)</f>
        <v>-24478963.050000001</v>
      </c>
    </row>
    <row r="9" spans="1:10" ht="17.25" x14ac:dyDescent="0.4">
      <c r="A9" s="6"/>
      <c r="B9" s="12"/>
      <c r="C9" s="12"/>
      <c r="D9" s="12"/>
      <c r="E9" s="12"/>
      <c r="F9" s="12"/>
      <c r="G9" s="12"/>
      <c r="H9" s="12"/>
      <c r="I9" s="12"/>
    </row>
    <row r="10" spans="1:10" x14ac:dyDescent="0.25">
      <c r="A10" t="s">
        <v>11</v>
      </c>
      <c r="B10" s="28">
        <v>131382023</v>
      </c>
      <c r="C10" s="28">
        <v>310651018</v>
      </c>
      <c r="D10" s="28">
        <v>435590405</v>
      </c>
      <c r="E10" s="28">
        <v>516320800</v>
      </c>
      <c r="F10" s="28">
        <v>464012833</v>
      </c>
      <c r="G10" s="28">
        <v>436326011</v>
      </c>
      <c r="H10" s="28">
        <v>127694986</v>
      </c>
      <c r="I10" s="28">
        <f>SUM(B10:H10)</f>
        <v>2421978076</v>
      </c>
    </row>
    <row r="11" spans="1:10" ht="17.25" x14ac:dyDescent="0.4">
      <c r="A11" s="20" t="s">
        <v>5</v>
      </c>
      <c r="B11" s="29">
        <v>352887061</v>
      </c>
      <c r="C11" s="29">
        <v>645522090</v>
      </c>
      <c r="D11" s="29">
        <v>686656983</v>
      </c>
      <c r="E11" s="29">
        <v>740179532</v>
      </c>
      <c r="F11" s="29">
        <v>711882956</v>
      </c>
      <c r="G11" s="29">
        <v>692085753</v>
      </c>
      <c r="H11" s="29">
        <v>160721785</v>
      </c>
      <c r="I11" s="29">
        <f>SUM(B11:H11)</f>
        <v>3989936160</v>
      </c>
    </row>
    <row r="12" spans="1:10" ht="17.25" x14ac:dyDescent="0.4">
      <c r="A12" s="6" t="s">
        <v>6</v>
      </c>
      <c r="B12" s="12">
        <f t="shared" ref="B12:H12" si="3">SUM(B10:B11)</f>
        <v>484269084</v>
      </c>
      <c r="C12" s="12">
        <f t="shared" si="3"/>
        <v>956173108</v>
      </c>
      <c r="D12" s="12">
        <f t="shared" si="3"/>
        <v>1122247388</v>
      </c>
      <c r="E12" s="12">
        <f t="shared" si="3"/>
        <v>1256500332</v>
      </c>
      <c r="F12" s="12">
        <f t="shared" si="3"/>
        <v>1175895789</v>
      </c>
      <c r="G12" s="12">
        <f t="shared" ref="G12" si="4">SUM(G10:G11)</f>
        <v>1128411764</v>
      </c>
      <c r="H12" s="12">
        <f t="shared" si="3"/>
        <v>288416771</v>
      </c>
      <c r="I12" s="12">
        <f t="shared" ref="I12" si="5">SUM(B12:H12)</f>
        <v>6411914236</v>
      </c>
    </row>
    <row r="13" spans="1:10" x14ac:dyDescent="0.25">
      <c r="A13" s="6"/>
    </row>
    <row r="15" spans="1:10" ht="21.75" x14ac:dyDescent="0.4">
      <c r="A15" s="14" t="s">
        <v>2</v>
      </c>
      <c r="B15" s="34" t="s">
        <v>39</v>
      </c>
      <c r="C15" s="1">
        <v>43221</v>
      </c>
      <c r="D15" s="1">
        <v>43252</v>
      </c>
      <c r="E15" s="1">
        <v>43282</v>
      </c>
      <c r="F15" s="1">
        <v>43313</v>
      </c>
      <c r="G15" s="34" t="s">
        <v>40</v>
      </c>
      <c r="H15" s="34" t="s">
        <v>41</v>
      </c>
      <c r="I15" s="1" t="str">
        <f>I4</f>
        <v>Total</v>
      </c>
    </row>
    <row r="16" spans="1:10" s="16" customFormat="1" x14ac:dyDescent="0.25"/>
    <row r="17" spans="1:9" x14ac:dyDescent="0.25">
      <c r="A17" t="s">
        <v>10</v>
      </c>
      <c r="B17" s="17">
        <v>-364754.45</v>
      </c>
      <c r="C17" s="17">
        <v>-481300.67000000004</v>
      </c>
      <c r="D17" s="17">
        <v>-191484.32</v>
      </c>
      <c r="E17" s="17">
        <v>-168581.00999999998</v>
      </c>
      <c r="F17" s="17">
        <v>-158614.62</v>
      </c>
      <c r="G17" s="17">
        <v>-159714.81</v>
      </c>
      <c r="H17" s="17">
        <v>-64271.87</v>
      </c>
      <c r="I17" s="17">
        <f>SUM(B17:H17)</f>
        <v>-1588721.7500000005</v>
      </c>
    </row>
    <row r="18" spans="1:9" ht="17.25" x14ac:dyDescent="0.4">
      <c r="A18" s="20" t="s">
        <v>5</v>
      </c>
      <c r="B18" s="18">
        <v>-352435.36000000004</v>
      </c>
      <c r="C18" s="18">
        <v>-353499.95000000007</v>
      </c>
      <c r="D18" s="18">
        <v>-267522.19</v>
      </c>
      <c r="E18" s="18">
        <v>-254924.31999999998</v>
      </c>
      <c r="F18" s="18">
        <v>-247858.48999999996</v>
      </c>
      <c r="G18" s="18">
        <v>-250279.61</v>
      </c>
      <c r="H18" s="18">
        <v>-28585.949999999997</v>
      </c>
      <c r="I18" s="18">
        <f>SUM(B18:H18)</f>
        <v>-1755105.8699999999</v>
      </c>
    </row>
    <row r="19" spans="1:9" ht="17.25" x14ac:dyDescent="0.4">
      <c r="A19" s="6" t="s">
        <v>7</v>
      </c>
      <c r="B19" s="9">
        <f t="shared" ref="B19:H19" si="6">SUM(B17:B18)</f>
        <v>-717189.81</v>
      </c>
      <c r="C19" s="9">
        <f t="shared" si="6"/>
        <v>-834800.62000000011</v>
      </c>
      <c r="D19" s="9">
        <f t="shared" si="6"/>
        <v>-459006.51</v>
      </c>
      <c r="E19" s="9">
        <f t="shared" si="6"/>
        <v>-423505.32999999996</v>
      </c>
      <c r="F19" s="9">
        <f t="shared" si="6"/>
        <v>-406473.11</v>
      </c>
      <c r="G19" s="9">
        <f t="shared" ref="G19" si="7">SUM(G17:G18)</f>
        <v>-409994.42</v>
      </c>
      <c r="H19" s="9">
        <f t="shared" si="6"/>
        <v>-92857.82</v>
      </c>
      <c r="I19" s="9">
        <f t="shared" ref="I19" si="8">SUM(B19:H19)</f>
        <v>-3343827.6199999996</v>
      </c>
    </row>
    <row r="20" spans="1:9" ht="17.25" x14ac:dyDescent="0.4">
      <c r="A20" s="6"/>
      <c r="B20" s="12"/>
      <c r="C20" s="12"/>
      <c r="D20" s="12"/>
      <c r="E20" s="12"/>
      <c r="F20" s="12"/>
      <c r="G20" s="12"/>
      <c r="H20" s="12"/>
      <c r="I20" s="12"/>
    </row>
    <row r="21" spans="1:9" s="16" customFormat="1" x14ac:dyDescent="0.25">
      <c r="A21" t="s">
        <v>10</v>
      </c>
      <c r="B21" s="28">
        <v>7234321</v>
      </c>
      <c r="C21" s="28">
        <v>9545828</v>
      </c>
      <c r="D21" s="28">
        <v>3797785</v>
      </c>
      <c r="E21" s="28">
        <v>3343535</v>
      </c>
      <c r="F21" s="28">
        <v>3145867</v>
      </c>
      <c r="G21" s="28">
        <v>3167688</v>
      </c>
      <c r="H21" s="28">
        <v>1274730</v>
      </c>
      <c r="I21" s="28">
        <f>SUM(B21:H21)</f>
        <v>31509754</v>
      </c>
    </row>
    <row r="22" spans="1:9" s="16" customFormat="1" ht="17.25" x14ac:dyDescent="0.4">
      <c r="A22" s="20" t="s">
        <v>5</v>
      </c>
      <c r="B22" s="29">
        <v>16887176</v>
      </c>
      <c r="C22" s="29">
        <v>16938186</v>
      </c>
      <c r="D22" s="29">
        <v>12818505</v>
      </c>
      <c r="E22" s="29">
        <v>12214869</v>
      </c>
      <c r="F22" s="29">
        <v>11876305</v>
      </c>
      <c r="G22" s="29">
        <v>11992315</v>
      </c>
      <c r="H22" s="29">
        <v>1369715</v>
      </c>
      <c r="I22" s="29">
        <f>SUM(B22:H22)</f>
        <v>84097071</v>
      </c>
    </row>
    <row r="23" spans="1:9" s="16" customFormat="1" ht="17.25" x14ac:dyDescent="0.4">
      <c r="A23" s="6" t="s">
        <v>53</v>
      </c>
      <c r="B23" s="12">
        <f t="shared" ref="B23:H23" si="9">SUM(B21:B22)</f>
        <v>24121497</v>
      </c>
      <c r="C23" s="12">
        <f t="shared" si="9"/>
        <v>26484014</v>
      </c>
      <c r="D23" s="12">
        <f t="shared" si="9"/>
        <v>16616290</v>
      </c>
      <c r="E23" s="12">
        <f t="shared" si="9"/>
        <v>15558404</v>
      </c>
      <c r="F23" s="12">
        <f t="shared" si="9"/>
        <v>15022172</v>
      </c>
      <c r="G23" s="12">
        <f t="shared" ref="G23" si="10">SUM(G21:G22)</f>
        <v>15160003</v>
      </c>
      <c r="H23" s="12">
        <f t="shared" si="9"/>
        <v>2644445</v>
      </c>
      <c r="I23" s="12">
        <f>SUM(B23:H23)</f>
        <v>115606825</v>
      </c>
    </row>
    <row r="24" spans="1:9" s="16" customFormat="1" x14ac:dyDescent="0.25"/>
    <row r="25" spans="1:9" s="16" customFormat="1" x14ac:dyDescent="0.25"/>
    <row r="26" spans="1:9" ht="17.25" x14ac:dyDescent="0.25">
      <c r="A26" s="16" t="s">
        <v>43</v>
      </c>
      <c r="B26" s="30"/>
      <c r="C26" s="30"/>
      <c r="D26" s="30"/>
      <c r="E26" s="30"/>
      <c r="F26" s="30"/>
      <c r="G26" s="30"/>
      <c r="H26" s="30"/>
    </row>
    <row r="27" spans="1:9" x14ac:dyDescent="0.25">
      <c r="A27" s="16" t="s">
        <v>42</v>
      </c>
      <c r="B27" s="31"/>
      <c r="C27" s="31"/>
      <c r="D27" s="31"/>
      <c r="E27" s="31"/>
      <c r="F27" s="31"/>
      <c r="G27" s="31"/>
      <c r="H27" s="31"/>
    </row>
  </sheetData>
  <printOptions horizontalCentered="1"/>
  <pageMargins left="0.75" right="0.75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19"/>
  <sheetViews>
    <sheetView zoomScaleNormal="100" workbookViewId="0">
      <pane xSplit="1" ySplit="4" topLeftCell="B5" activePane="bottomRight" state="frozen"/>
      <selection activeCell="B31" sqref="B31"/>
      <selection pane="topRight" activeCell="B31" sqref="B31"/>
      <selection pane="bottomLeft" activeCell="B31" sqref="B31"/>
      <selection pane="bottomRight" activeCell="A17" sqref="A17"/>
    </sheetView>
  </sheetViews>
  <sheetFormatPr defaultRowHeight="15" x14ac:dyDescent="0.25"/>
  <cols>
    <col min="1" max="1" width="33.42578125" customWidth="1"/>
    <col min="2" max="16" width="15.7109375" customWidth="1"/>
  </cols>
  <sheetData>
    <row r="1" spans="1:17" s="3" customFormat="1" ht="18.75" x14ac:dyDescent="0.3">
      <c r="A1" s="2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5"/>
    </row>
    <row r="2" spans="1:17" s="11" customFormat="1" x14ac:dyDescent="0.25">
      <c r="A2" s="10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11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34.5" x14ac:dyDescent="0.4">
      <c r="A4" s="14" t="s">
        <v>1</v>
      </c>
      <c r="B4" s="1">
        <v>42917</v>
      </c>
      <c r="C4" s="1">
        <v>42948</v>
      </c>
      <c r="D4" s="1">
        <v>42979</v>
      </c>
      <c r="E4" s="1">
        <v>43009</v>
      </c>
      <c r="F4" s="1">
        <v>43040</v>
      </c>
      <c r="G4" s="1">
        <v>43070</v>
      </c>
      <c r="H4" s="1">
        <v>43101</v>
      </c>
      <c r="I4" s="1">
        <v>43132</v>
      </c>
      <c r="J4" s="1">
        <v>43160</v>
      </c>
      <c r="K4" s="1">
        <v>43191</v>
      </c>
      <c r="L4" s="1">
        <v>43221</v>
      </c>
      <c r="M4" s="1">
        <v>43252</v>
      </c>
      <c r="N4" s="1" t="s">
        <v>0</v>
      </c>
      <c r="O4" s="1" t="s">
        <v>16</v>
      </c>
      <c r="P4" s="1" t="s">
        <v>4</v>
      </c>
    </row>
    <row r="6" spans="1:17" x14ac:dyDescent="0.25">
      <c r="A6" t="s">
        <v>11</v>
      </c>
      <c r="B6" s="21">
        <v>501247440.63342708</v>
      </c>
      <c r="C6" s="21">
        <v>500112288.99618596</v>
      </c>
      <c r="D6" s="21">
        <v>348008133.37132418</v>
      </c>
      <c r="E6" s="21">
        <v>250438135.19631493</v>
      </c>
      <c r="F6" s="21">
        <v>261676337.08549067</v>
      </c>
      <c r="G6" s="21">
        <v>364721093.54035395</v>
      </c>
      <c r="H6" s="21">
        <v>382356687.16346145</v>
      </c>
      <c r="I6" s="21">
        <v>305979661.15264606</v>
      </c>
      <c r="J6" s="21">
        <v>295068909.17887533</v>
      </c>
      <c r="K6" s="21">
        <v>241412699.73238853</v>
      </c>
      <c r="L6" s="21">
        <v>312660686.43542194</v>
      </c>
      <c r="M6" s="21">
        <v>416406758.62491852</v>
      </c>
      <c r="N6" s="21">
        <f t="shared" ref="N6:N7" si="0">SUM(B6:M6)</f>
        <v>4180088831.1108084</v>
      </c>
      <c r="O6" s="21"/>
      <c r="P6" s="21"/>
    </row>
    <row r="7" spans="1:17" ht="17.25" x14ac:dyDescent="0.4">
      <c r="A7" s="20" t="s">
        <v>5</v>
      </c>
      <c r="B7" s="22">
        <f>725595654.682223+6904494.47746009</f>
        <v>732500149.15968311</v>
      </c>
      <c r="C7" s="22">
        <f>738279919.43987+7421320.52034295</f>
        <v>745701239.96021295</v>
      </c>
      <c r="D7" s="22">
        <f>619865910.82497+7333882.5337832</f>
        <v>627199793.3587532</v>
      </c>
      <c r="E7" s="22">
        <f>598161284.539045+8232424.57937234</f>
        <v>606393709.11841726</v>
      </c>
      <c r="F7" s="22">
        <f>594479663.000923+9677795.41055071</f>
        <v>604157458.41147375</v>
      </c>
      <c r="G7" s="22">
        <f>626686355.633911+10691544.7237155</f>
        <v>637377900.35762656</v>
      </c>
      <c r="H7" s="22">
        <f>614665534.319551+10162428.3455622</f>
        <v>624827962.66511321</v>
      </c>
      <c r="I7" s="22">
        <f>563566342.132678+9042625.35020312</f>
        <v>572608967.48288119</v>
      </c>
      <c r="J7" s="22">
        <f>585160722.842586+8926632.76948321</f>
        <v>594087355.61206925</v>
      </c>
      <c r="K7" s="22">
        <f>574898931.614123+7994042.42580479</f>
        <v>582892974.03992772</v>
      </c>
      <c r="L7" s="22">
        <f>673873516.643549+7711379.09374621</f>
        <v>681584895.73729515</v>
      </c>
      <c r="M7" s="22">
        <f>728986457.976257+7672011.89382429</f>
        <v>736658469.87008131</v>
      </c>
      <c r="N7" s="22">
        <f t="shared" si="0"/>
        <v>7745990875.7735338</v>
      </c>
      <c r="O7" s="21"/>
      <c r="P7" s="21"/>
    </row>
    <row r="8" spans="1:17" ht="17.25" x14ac:dyDescent="0.4">
      <c r="A8" t="s">
        <v>6</v>
      </c>
      <c r="B8" s="12">
        <f>SUM(B6:B7)</f>
        <v>1233747589.7931101</v>
      </c>
      <c r="C8" s="12">
        <f t="shared" ref="C8:N8" si="1">SUM(C6:C7)</f>
        <v>1245813528.956399</v>
      </c>
      <c r="D8" s="12">
        <f t="shared" si="1"/>
        <v>975207926.73007739</v>
      </c>
      <c r="E8" s="12">
        <f t="shared" si="1"/>
        <v>856831844.31473219</v>
      </c>
      <c r="F8" s="12">
        <f t="shared" si="1"/>
        <v>865833795.49696445</v>
      </c>
      <c r="G8" s="12">
        <f t="shared" si="1"/>
        <v>1002098993.8979805</v>
      </c>
      <c r="H8" s="12">
        <f t="shared" si="1"/>
        <v>1007184649.8285747</v>
      </c>
      <c r="I8" s="12">
        <f t="shared" si="1"/>
        <v>878588628.63552725</v>
      </c>
      <c r="J8" s="12">
        <f t="shared" si="1"/>
        <v>889156264.79094458</v>
      </c>
      <c r="K8" s="12">
        <f t="shared" si="1"/>
        <v>824305673.77231622</v>
      </c>
      <c r="L8" s="12">
        <f t="shared" si="1"/>
        <v>994245582.17271709</v>
      </c>
      <c r="M8" s="12">
        <f t="shared" si="1"/>
        <v>1153065228.4949999</v>
      </c>
      <c r="N8" s="12">
        <f t="shared" si="1"/>
        <v>11926079706.884342</v>
      </c>
      <c r="O8" s="12">
        <v>11926079706.884344</v>
      </c>
      <c r="P8" s="12">
        <f>N8-O8</f>
        <v>0</v>
      </c>
    </row>
    <row r="9" spans="1:17" x14ac:dyDescent="0.25">
      <c r="N9" s="21"/>
    </row>
    <row r="10" spans="1:17" x14ac:dyDescent="0.25">
      <c r="N10" s="21"/>
    </row>
    <row r="12" spans="1:17" ht="17.25" x14ac:dyDescent="0.4">
      <c r="A12" s="14" t="s">
        <v>2</v>
      </c>
      <c r="B12" s="1">
        <v>42917</v>
      </c>
      <c r="C12" s="1">
        <v>42948</v>
      </c>
      <c r="D12" s="1">
        <v>42979</v>
      </c>
      <c r="E12" s="1">
        <v>43009</v>
      </c>
      <c r="F12" s="1">
        <v>43040</v>
      </c>
      <c r="G12" s="1">
        <v>43070</v>
      </c>
      <c r="H12" s="1">
        <v>43101</v>
      </c>
      <c r="I12" s="1">
        <v>43132</v>
      </c>
      <c r="J12" s="1">
        <v>43160</v>
      </c>
      <c r="K12" s="1">
        <v>43191</v>
      </c>
      <c r="L12" s="1">
        <v>43221</v>
      </c>
      <c r="M12" s="1">
        <v>43252</v>
      </c>
      <c r="N12" s="1" t="s">
        <v>0</v>
      </c>
    </row>
    <row r="13" spans="1:17" s="16" customFormat="1" x14ac:dyDescent="0.25"/>
    <row r="14" spans="1:17" x14ac:dyDescent="0.25">
      <c r="A14" t="s">
        <v>10</v>
      </c>
      <c r="B14" s="21">
        <v>331379.92126692669</v>
      </c>
      <c r="C14" s="21">
        <v>325572.80696375971</v>
      </c>
      <c r="D14" s="21">
        <v>357906.511656238</v>
      </c>
      <c r="E14" s="21">
        <v>699066.75763024844</v>
      </c>
      <c r="F14" s="21">
        <v>1819908.0548454397</v>
      </c>
      <c r="G14" s="21">
        <v>3383204.8675337806</v>
      </c>
      <c r="H14" s="21">
        <v>4272129.1869554678</v>
      </c>
      <c r="I14" s="21">
        <v>3620817.0590800801</v>
      </c>
      <c r="J14" s="21">
        <v>2542353.722491404</v>
      </c>
      <c r="K14" s="21">
        <v>1126273.5954044515</v>
      </c>
      <c r="L14" s="21">
        <v>653514.63454635767</v>
      </c>
      <c r="M14" s="21">
        <v>384194.79199744179</v>
      </c>
      <c r="N14" s="21">
        <f t="shared" ref="N14:N15" si="2">SUM(B14:M14)</f>
        <v>19516321.910371594</v>
      </c>
      <c r="O14" s="21"/>
      <c r="P14" s="21"/>
    </row>
    <row r="15" spans="1:17" ht="17.25" x14ac:dyDescent="0.4">
      <c r="A15" s="20" t="s">
        <v>5</v>
      </c>
      <c r="B15" s="22">
        <v>1129354.753834038</v>
      </c>
      <c r="C15" s="22">
        <v>1195773.0605913326</v>
      </c>
      <c r="D15" s="22">
        <v>1250108.6176468364</v>
      </c>
      <c r="E15" s="22">
        <v>1884730.8374037596</v>
      </c>
      <c r="F15" s="22">
        <v>2566672.1122127036</v>
      </c>
      <c r="G15" s="22">
        <v>3345610.569038793</v>
      </c>
      <c r="H15" s="22">
        <v>3825314.4705563388</v>
      </c>
      <c r="I15" s="22">
        <v>3318021.9236276033</v>
      </c>
      <c r="J15" s="22">
        <v>2479558.4874099214</v>
      </c>
      <c r="K15" s="22">
        <v>1583988.299373331</v>
      </c>
      <c r="L15" s="22">
        <v>1242032.3218273632</v>
      </c>
      <c r="M15" s="22">
        <v>1118065.5826731087</v>
      </c>
      <c r="N15" s="22">
        <f t="shared" si="2"/>
        <v>24939231.036195129</v>
      </c>
      <c r="O15" s="21"/>
      <c r="P15" s="21"/>
    </row>
    <row r="16" spans="1:17" s="16" customFormat="1" ht="17.25" x14ac:dyDescent="0.4">
      <c r="A16" s="16" t="s">
        <v>61</v>
      </c>
      <c r="B16" s="32">
        <f t="shared" ref="B16:N16" si="3">SUM(B14:B15)</f>
        <v>1460734.6751009647</v>
      </c>
      <c r="C16" s="32">
        <f t="shared" si="3"/>
        <v>1521345.8675550923</v>
      </c>
      <c r="D16" s="32">
        <f t="shared" si="3"/>
        <v>1608015.1293030744</v>
      </c>
      <c r="E16" s="32">
        <f t="shared" si="3"/>
        <v>2583797.5950340079</v>
      </c>
      <c r="F16" s="32">
        <f t="shared" si="3"/>
        <v>4386580.1670581438</v>
      </c>
      <c r="G16" s="32">
        <f t="shared" si="3"/>
        <v>6728815.4365725741</v>
      </c>
      <c r="H16" s="32">
        <f t="shared" si="3"/>
        <v>8097443.6575118061</v>
      </c>
      <c r="I16" s="32">
        <f t="shared" si="3"/>
        <v>6938838.982707683</v>
      </c>
      <c r="J16" s="32">
        <f t="shared" si="3"/>
        <v>5021912.2099013254</v>
      </c>
      <c r="K16" s="32">
        <f t="shared" si="3"/>
        <v>2710261.8947777823</v>
      </c>
      <c r="L16" s="32">
        <f t="shared" si="3"/>
        <v>1895546.9563737209</v>
      </c>
      <c r="M16" s="32">
        <f t="shared" si="3"/>
        <v>1502260.3746705505</v>
      </c>
      <c r="N16" s="32">
        <f t="shared" si="3"/>
        <v>44455552.946566723</v>
      </c>
      <c r="O16" s="32">
        <v>44455552.946566723</v>
      </c>
      <c r="P16" s="12">
        <f>N16-O16</f>
        <v>0</v>
      </c>
    </row>
    <row r="19" spans="1:1" x14ac:dyDescent="0.25">
      <c r="A19" s="16"/>
    </row>
  </sheetData>
  <printOptions horizontalCentered="1"/>
  <pageMargins left="0.75" right="0.75" top="0.75" bottom="0.75" header="0.3" footer="0.3"/>
  <pageSetup scale="5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I24"/>
  <sheetViews>
    <sheetView showGridLines="0" zoomScaleNormal="100" workbookViewId="0">
      <pane ySplit="2" topLeftCell="A3" activePane="bottomLeft" state="frozen"/>
      <selection activeCell="B31" sqref="B31"/>
      <selection pane="bottomLeft" activeCell="H25" sqref="H25"/>
    </sheetView>
  </sheetViews>
  <sheetFormatPr defaultRowHeight="15" x14ac:dyDescent="0.25"/>
  <cols>
    <col min="1" max="1" width="40.7109375" customWidth="1"/>
    <col min="2" max="2" width="15.7109375" customWidth="1"/>
    <col min="3" max="3" width="3.85546875" customWidth="1"/>
    <col min="4" max="4" width="19" customWidth="1"/>
    <col min="5" max="5" width="3.85546875" customWidth="1"/>
    <col min="6" max="6" width="15.7109375" customWidth="1"/>
    <col min="7" max="7" width="4" customWidth="1"/>
    <col min="8" max="8" width="19" customWidth="1"/>
    <col min="9" max="9" width="18" customWidth="1"/>
    <col min="10" max="13" width="15.7109375" customWidth="1"/>
  </cols>
  <sheetData>
    <row r="1" spans="1:9" s="3" customFormat="1" ht="18.75" x14ac:dyDescent="0.3">
      <c r="A1" s="15" t="s">
        <v>3</v>
      </c>
      <c r="B1" s="4"/>
      <c r="C1" s="4"/>
      <c r="D1" s="4"/>
      <c r="E1" s="4"/>
      <c r="F1" s="4"/>
      <c r="G1" s="4"/>
    </row>
    <row r="2" spans="1:9" s="11" customFormat="1" x14ac:dyDescent="0.25">
      <c r="A2" s="10" t="s">
        <v>9</v>
      </c>
      <c r="B2" s="10"/>
      <c r="C2" s="10"/>
      <c r="D2" s="10"/>
      <c r="E2" s="10"/>
      <c r="F2" s="10"/>
      <c r="G2" s="10"/>
    </row>
    <row r="3" spans="1:9" s="11" customFormat="1" x14ac:dyDescent="0.25">
      <c r="A3" s="10"/>
      <c r="B3" s="10"/>
      <c r="C3" s="10"/>
      <c r="D3" s="10"/>
      <c r="E3" s="10"/>
      <c r="F3" s="10"/>
      <c r="G3" s="10"/>
    </row>
    <row r="4" spans="1:9" ht="72" x14ac:dyDescent="0.45">
      <c r="A4" s="55" t="s">
        <v>19</v>
      </c>
      <c r="B4" s="1" t="s">
        <v>18</v>
      </c>
      <c r="C4" s="1"/>
      <c r="D4" s="1" t="s">
        <v>15</v>
      </c>
      <c r="E4" s="1"/>
      <c r="F4" s="1" t="s">
        <v>4</v>
      </c>
      <c r="H4" s="1" t="s">
        <v>58</v>
      </c>
      <c r="I4" s="58" t="s">
        <v>63</v>
      </c>
    </row>
    <row r="5" spans="1:9" x14ac:dyDescent="0.25">
      <c r="A5" s="62" t="s">
        <v>62</v>
      </c>
      <c r="B5" s="16"/>
      <c r="C5" s="16"/>
      <c r="D5" s="16"/>
      <c r="E5" s="16"/>
      <c r="F5" s="16"/>
      <c r="G5" s="16"/>
      <c r="H5" s="16"/>
      <c r="I5" s="16"/>
    </row>
    <row r="6" spans="1:9" ht="17.25" customHeight="1" x14ac:dyDescent="0.25">
      <c r="A6" t="s">
        <v>11</v>
      </c>
      <c r="B6" s="17">
        <f>KU!I6</f>
        <v>-11891988.390000001</v>
      </c>
      <c r="C6" s="24"/>
      <c r="D6" s="17">
        <f>ROUND(D11*D16,2)</f>
        <v>-13496690.439999999</v>
      </c>
      <c r="E6" s="24"/>
      <c r="F6" s="7">
        <f>D6-B6</f>
        <v>-1604702.0499999989</v>
      </c>
      <c r="H6" s="17">
        <f>F6</f>
        <v>-1604702.0499999989</v>
      </c>
    </row>
    <row r="7" spans="1:9" ht="17.25" customHeight="1" x14ac:dyDescent="0.4">
      <c r="A7" s="20" t="s">
        <v>5</v>
      </c>
      <c r="B7" s="18">
        <f>KU!I7</f>
        <v>-19680828.629999999</v>
      </c>
      <c r="C7" s="26"/>
      <c r="D7" s="18">
        <f>ROUND(D12*D17,2)</f>
        <v>-22361808.379999999</v>
      </c>
      <c r="E7" s="26"/>
      <c r="F7" s="8">
        <f>D7-B7</f>
        <v>-2680979.75</v>
      </c>
      <c r="H7" s="18">
        <f>F7</f>
        <v>-2680979.75</v>
      </c>
    </row>
    <row r="8" spans="1:9" ht="17.25" x14ac:dyDescent="0.4">
      <c r="A8" s="6" t="s">
        <v>7</v>
      </c>
      <c r="B8" s="9">
        <f>SUM(B6:B7)</f>
        <v>-31572817.02</v>
      </c>
      <c r="C8" s="25"/>
      <c r="D8" s="9">
        <f>SUM(D6:D7)</f>
        <v>-35858498.82</v>
      </c>
      <c r="E8" s="25"/>
      <c r="F8" s="9">
        <f>SUM(F6:F7)</f>
        <v>-4285681.7999999989</v>
      </c>
      <c r="H8" s="9">
        <f>SUM(H6:H7)</f>
        <v>-4285681.7999999989</v>
      </c>
    </row>
    <row r="10" spans="1:9" x14ac:dyDescent="0.25">
      <c r="A10" s="56" t="s">
        <v>56</v>
      </c>
    </row>
    <row r="11" spans="1:9" x14ac:dyDescent="0.25">
      <c r="A11" t="s">
        <v>11</v>
      </c>
      <c r="B11" s="28">
        <f>KU!I10</f>
        <v>2865539371</v>
      </c>
      <c r="C11" s="37"/>
      <c r="D11" s="28">
        <f>B11</f>
        <v>2865539371</v>
      </c>
      <c r="E11" s="24"/>
      <c r="F11" s="21">
        <f>B11</f>
        <v>2865539371</v>
      </c>
      <c r="H11" s="21">
        <f>SUM('KU 2016 RC Frcst Billing Vols'!$G$6:$K$6)</f>
        <v>2889659553.9951811</v>
      </c>
    </row>
    <row r="12" spans="1:9" ht="17.25" x14ac:dyDescent="0.4">
      <c r="A12" s="20" t="s">
        <v>5</v>
      </c>
      <c r="B12" s="29">
        <f>KU!I11</f>
        <v>6093135799</v>
      </c>
      <c r="C12" s="38"/>
      <c r="D12" s="29">
        <f>B12</f>
        <v>6093135799</v>
      </c>
      <c r="E12" s="26"/>
      <c r="F12" s="22">
        <f>B12</f>
        <v>6093135799</v>
      </c>
      <c r="H12" s="22">
        <f>SUM('KU 2016 RC Frcst Billing Vols'!$G$7:$K$7)</f>
        <v>4890239512.7731867</v>
      </c>
    </row>
    <row r="13" spans="1:9" ht="17.25" x14ac:dyDescent="0.4">
      <c r="A13" s="6" t="s">
        <v>6</v>
      </c>
      <c r="B13" s="32">
        <f>SUM(B11:B12)</f>
        <v>8958675170</v>
      </c>
      <c r="C13" s="39"/>
      <c r="D13" s="32">
        <f>SUM(D11:D12)</f>
        <v>8958675170</v>
      </c>
      <c r="E13" s="25"/>
      <c r="F13" s="12">
        <f>SUM(F11:F12)</f>
        <v>8958675170</v>
      </c>
      <c r="H13" s="12">
        <f>SUM(H11:H12)</f>
        <v>7779899066.7683678</v>
      </c>
    </row>
    <row r="14" spans="1:9" x14ac:dyDescent="0.25">
      <c r="B14" s="16"/>
      <c r="C14" s="16"/>
      <c r="D14" s="16"/>
    </row>
    <row r="15" spans="1:9" x14ac:dyDescent="0.25">
      <c r="A15" s="56" t="s">
        <v>57</v>
      </c>
      <c r="B15" s="16"/>
      <c r="C15" s="16"/>
      <c r="D15" s="16"/>
    </row>
    <row r="16" spans="1:9" x14ac:dyDescent="0.25">
      <c r="A16" t="s">
        <v>11</v>
      </c>
      <c r="B16" s="35">
        <v>-4.15E-3</v>
      </c>
      <c r="C16" s="35"/>
      <c r="D16" s="35">
        <v>-4.7099999999999998E-3</v>
      </c>
      <c r="E16" s="23"/>
      <c r="F16" s="23">
        <f>D16-B16</f>
        <v>-5.5999999999999973E-4</v>
      </c>
      <c r="H16" s="23">
        <f>ROUND(H6/H11,5)</f>
        <v>-5.5999999999999995E-4</v>
      </c>
      <c r="I16" s="23">
        <f>D16+H16</f>
        <v>-5.2699999999999995E-3</v>
      </c>
    </row>
    <row r="17" spans="1:9" x14ac:dyDescent="0.25">
      <c r="A17" s="20" t="s">
        <v>5</v>
      </c>
      <c r="B17" s="36">
        <v>-3.2299999999999998E-3</v>
      </c>
      <c r="C17" s="36"/>
      <c r="D17" s="36">
        <v>-3.6700000000000001E-3</v>
      </c>
      <c r="E17" s="33"/>
      <c r="F17" s="33">
        <f>D17-B17</f>
        <v>-4.4000000000000029E-4</v>
      </c>
      <c r="H17" s="33">
        <f>ROUND(H7/H12,5)</f>
        <v>-5.5000000000000003E-4</v>
      </c>
      <c r="I17" s="23">
        <f>D17+H17</f>
        <v>-4.2199999999999998E-3</v>
      </c>
    </row>
    <row r="18" spans="1:9" ht="17.25" x14ac:dyDescent="0.4">
      <c r="A18" s="6"/>
      <c r="B18" s="13"/>
      <c r="C18" s="13"/>
      <c r="D18" s="13"/>
      <c r="E18" s="13"/>
      <c r="F18" s="13"/>
      <c r="H18" s="13"/>
      <c r="I18" s="13"/>
    </row>
    <row r="20" spans="1:9" x14ac:dyDescent="0.25">
      <c r="A20" s="16" t="s">
        <v>13</v>
      </c>
      <c r="B20" s="16"/>
      <c r="C20" s="16"/>
      <c r="D20" s="16"/>
      <c r="E20" s="16"/>
    </row>
    <row r="22" spans="1:9" x14ac:dyDescent="0.25">
      <c r="B22" s="21"/>
    </row>
    <row r="23" spans="1:9" x14ac:dyDescent="0.25">
      <c r="F23" s="21"/>
    </row>
    <row r="24" spans="1:9" x14ac:dyDescent="0.25">
      <c r="F24" s="21"/>
    </row>
  </sheetData>
  <printOptions horizontalCentered="1"/>
  <pageMargins left="0.75" right="0.75" top="0.75" bottom="0.75" header="0.3" footer="0.3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I17"/>
  <sheetViews>
    <sheetView zoomScale="85" zoomScaleNormal="85" workbookViewId="0">
      <pane xSplit="1" ySplit="4" topLeftCell="B5" activePane="bottomRight" state="frozen"/>
      <selection activeCell="B31" sqref="B31"/>
      <selection pane="topRight" activeCell="B31" sqref="B31"/>
      <selection pane="bottomLeft" activeCell="B31" sqref="B31"/>
      <selection pane="bottomRight" activeCell="J45" sqref="J45"/>
    </sheetView>
  </sheetViews>
  <sheetFormatPr defaultRowHeight="15" x14ac:dyDescent="0.25"/>
  <cols>
    <col min="1" max="1" width="35.7109375" customWidth="1"/>
    <col min="2" max="9" width="15.7109375" customWidth="1"/>
  </cols>
  <sheetData>
    <row r="1" spans="1:9" s="3" customFormat="1" ht="18.75" x14ac:dyDescent="0.3">
      <c r="A1" s="67" t="s">
        <v>3</v>
      </c>
      <c r="B1" s="67"/>
      <c r="C1" s="4"/>
      <c r="D1" s="4"/>
      <c r="E1" s="4"/>
      <c r="F1" s="4"/>
      <c r="G1" s="4"/>
      <c r="H1" s="4"/>
      <c r="I1" s="4"/>
    </row>
    <row r="2" spans="1:9" s="11" customFormat="1" x14ac:dyDescent="0.25">
      <c r="A2" s="10" t="s">
        <v>44</v>
      </c>
      <c r="B2" s="10"/>
      <c r="C2" s="10"/>
      <c r="D2" s="10"/>
      <c r="E2" s="10"/>
      <c r="F2" s="10"/>
      <c r="G2" s="10"/>
      <c r="H2" s="10"/>
      <c r="I2" s="10"/>
    </row>
    <row r="3" spans="1:9" s="11" customForma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ht="21.75" x14ac:dyDescent="0.4">
      <c r="A4" s="27" t="s">
        <v>1</v>
      </c>
      <c r="B4" s="34" t="s">
        <v>39</v>
      </c>
      <c r="C4" s="1">
        <v>43221</v>
      </c>
      <c r="D4" s="1">
        <v>43252</v>
      </c>
      <c r="E4" s="1">
        <v>43282</v>
      </c>
      <c r="F4" s="1">
        <v>43313</v>
      </c>
      <c r="G4" s="34" t="s">
        <v>40</v>
      </c>
      <c r="H4" s="34" t="s">
        <v>41</v>
      </c>
      <c r="I4" s="1" t="s">
        <v>8</v>
      </c>
    </row>
    <row r="6" spans="1:9" x14ac:dyDescent="0.25">
      <c r="A6" t="s">
        <v>11</v>
      </c>
      <c r="B6" s="17">
        <v>-894114.0199999999</v>
      </c>
      <c r="C6" s="17">
        <v>-1656441.8099999996</v>
      </c>
      <c r="D6" s="17">
        <v>-2022513.2699999998</v>
      </c>
      <c r="E6" s="17">
        <v>-2390497.27</v>
      </c>
      <c r="F6" s="17">
        <v>-2157222.1499999994</v>
      </c>
      <c r="G6" s="17">
        <v>-2114650.37</v>
      </c>
      <c r="H6" s="17">
        <v>-656549.5</v>
      </c>
      <c r="I6" s="17">
        <f>SUM(B6:H6)</f>
        <v>-11891988.390000001</v>
      </c>
    </row>
    <row r="7" spans="1:9" ht="17.25" x14ac:dyDescent="0.4">
      <c r="A7" s="20" t="s">
        <v>5</v>
      </c>
      <c r="B7" s="18">
        <v>-1756000.5099999998</v>
      </c>
      <c r="C7" s="18">
        <v>-3207574.1099999994</v>
      </c>
      <c r="D7" s="18">
        <v>-3381694.1400000006</v>
      </c>
      <c r="E7" s="18">
        <v>-3524826.4499999993</v>
      </c>
      <c r="F7" s="18">
        <v>-3490536.74</v>
      </c>
      <c r="G7" s="18">
        <v>-3399994.98</v>
      </c>
      <c r="H7" s="18">
        <v>-920201.69999999972</v>
      </c>
      <c r="I7" s="18">
        <f>SUM(B7:H7)</f>
        <v>-19680828.629999999</v>
      </c>
    </row>
    <row r="8" spans="1:9" ht="17.25" x14ac:dyDescent="0.4">
      <c r="A8" s="6" t="s">
        <v>7</v>
      </c>
      <c r="B8" s="9">
        <f t="shared" ref="B8:H8" si="0">SUM(B6:B7)</f>
        <v>-2650114.5299999998</v>
      </c>
      <c r="C8" s="9">
        <f t="shared" si="0"/>
        <v>-4864015.919999999</v>
      </c>
      <c r="D8" s="9">
        <f t="shared" si="0"/>
        <v>-5404207.4100000001</v>
      </c>
      <c r="E8" s="9">
        <f t="shared" si="0"/>
        <v>-5915323.7199999988</v>
      </c>
      <c r="F8" s="9">
        <f t="shared" si="0"/>
        <v>-5647758.8899999997</v>
      </c>
      <c r="G8" s="9">
        <f t="shared" ref="G8" si="1">SUM(G6:G7)</f>
        <v>-5514645.3499999996</v>
      </c>
      <c r="H8" s="9">
        <f t="shared" si="0"/>
        <v>-1576751.1999999997</v>
      </c>
      <c r="I8" s="9">
        <f t="shared" ref="I8" si="2">SUM(B8:H8)</f>
        <v>-31572817.02</v>
      </c>
    </row>
    <row r="9" spans="1:9" ht="17.25" x14ac:dyDescent="0.4">
      <c r="A9" s="6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t="s">
        <v>11</v>
      </c>
      <c r="B10" s="28">
        <v>215449161</v>
      </c>
      <c r="C10" s="28">
        <v>399142605</v>
      </c>
      <c r="D10" s="28">
        <v>487352595</v>
      </c>
      <c r="E10" s="28">
        <v>576023439</v>
      </c>
      <c r="F10" s="28">
        <v>519812566</v>
      </c>
      <c r="G10" s="28">
        <v>509554306</v>
      </c>
      <c r="H10" s="28">
        <v>158204699</v>
      </c>
      <c r="I10" s="28">
        <f>SUM(B10:H10)</f>
        <v>2865539371</v>
      </c>
    </row>
    <row r="11" spans="1:9" ht="17.25" x14ac:dyDescent="0.4">
      <c r="A11" s="20" t="s">
        <v>5</v>
      </c>
      <c r="B11" s="29">
        <v>543653409</v>
      </c>
      <c r="C11" s="29">
        <v>993057000</v>
      </c>
      <c r="D11" s="29">
        <v>1046964130</v>
      </c>
      <c r="E11" s="29">
        <v>1091277539</v>
      </c>
      <c r="F11" s="29">
        <v>1080661529</v>
      </c>
      <c r="G11" s="29">
        <v>1052630025</v>
      </c>
      <c r="H11" s="29">
        <v>284892167</v>
      </c>
      <c r="I11" s="29">
        <f>SUM(B11:H11)</f>
        <v>6093135799</v>
      </c>
    </row>
    <row r="12" spans="1:9" ht="17.25" x14ac:dyDescent="0.4">
      <c r="A12" s="6" t="s">
        <v>6</v>
      </c>
      <c r="B12" s="12">
        <f t="shared" ref="B12:H12" si="3">SUM(B10:B11)</f>
        <v>759102570</v>
      </c>
      <c r="C12" s="12">
        <f t="shared" si="3"/>
        <v>1392199605</v>
      </c>
      <c r="D12" s="12">
        <f t="shared" si="3"/>
        <v>1534316725</v>
      </c>
      <c r="E12" s="12">
        <f t="shared" si="3"/>
        <v>1667300978</v>
      </c>
      <c r="F12" s="12">
        <f t="shared" si="3"/>
        <v>1600474095</v>
      </c>
      <c r="G12" s="12">
        <f t="shared" ref="G12" si="4">SUM(G10:G11)</f>
        <v>1562184331</v>
      </c>
      <c r="H12" s="12">
        <f t="shared" si="3"/>
        <v>443096866</v>
      </c>
      <c r="I12" s="12">
        <f t="shared" ref="I12" si="5">SUM(B12:H12)</f>
        <v>8958675170</v>
      </c>
    </row>
    <row r="13" spans="1:9" x14ac:dyDescent="0.25">
      <c r="A13" s="6"/>
    </row>
    <row r="14" spans="1:9" s="16" customFormat="1" x14ac:dyDescent="0.25"/>
    <row r="15" spans="1:9" s="16" customFormat="1" ht="17.25" x14ac:dyDescent="0.25">
      <c r="A15" s="16" t="s">
        <v>43</v>
      </c>
    </row>
    <row r="16" spans="1:9" s="16" customFormat="1" x14ac:dyDescent="0.25">
      <c r="A16" s="16" t="s">
        <v>42</v>
      </c>
    </row>
    <row r="17" s="16" customFormat="1" x14ac:dyDescent="0.25"/>
  </sheetData>
  <mergeCells count="1">
    <mergeCell ref="A1:B1"/>
  </mergeCells>
  <printOptions horizontalCentered="1"/>
  <pageMargins left="0.75" right="0.7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KU TrueUp Filing</vt:lpstr>
      <vt:lpstr>LGE-E TrueUp Filing</vt:lpstr>
      <vt:lpstr>LGE-G TrueUp Filing</vt:lpstr>
      <vt:lpstr>LGE Elec True-up</vt:lpstr>
      <vt:lpstr>LGE Gas True-up</vt:lpstr>
      <vt:lpstr>LGE</vt:lpstr>
      <vt:lpstr>LGE 2016 RC Frcst Billing Vols</vt:lpstr>
      <vt:lpstr>KU True-up</vt:lpstr>
      <vt:lpstr>KU</vt:lpstr>
      <vt:lpstr>KU 2016 RC Frcst Billing Vols</vt:lpstr>
      <vt:lpstr>'KU 2016 RC Frcst Billing Vols'!Print_Area</vt:lpstr>
      <vt:lpstr>'KU TrueUp Filing'!Print_Area</vt:lpstr>
      <vt:lpstr>'LGE 2016 RC Frcst Billing Vols'!Print_Area</vt:lpstr>
      <vt:lpstr>'LGE-E TrueUp Filing'!Print_Area</vt:lpstr>
      <vt:lpstr>'LGE-G TrueUp Filing'!Print_Area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Fackler</dc:creator>
  <cp:lastModifiedBy>Leichty, Doug</cp:lastModifiedBy>
  <cp:lastPrinted>2018-10-24T13:26:37Z</cp:lastPrinted>
  <dcterms:created xsi:type="dcterms:W3CDTF">2018-01-15T20:58:53Z</dcterms:created>
  <dcterms:modified xsi:type="dcterms:W3CDTF">2018-10-24T13:30:03Z</dcterms:modified>
</cp:coreProperties>
</file>