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80" windowWidth="14940" windowHeight="9165" tabRatio="855"/>
  </bookViews>
  <sheets>
    <sheet name="PSC-3-8" sheetId="48" r:id="rId1"/>
    <sheet name="IMPORT&gt;&gt;&gt;" sheetId="7" r:id="rId2"/>
    <sheet name="Effective Tax Rate" sheetId="31" r:id="rId3"/>
    <sheet name="LGE Composite Tax Rate" sheetId="49" r:id="rId4"/>
    <sheet name="TY TARIFF BILLING" sheetId="46" r:id="rId5"/>
    <sheet name="TY BILLING" sheetId="39" r:id="rId6"/>
    <sheet name="Excess DIT (Unprot 15yr)" sheetId="38" r:id="rId7"/>
    <sheet name="Excess DIT (Unprot 5yr)" sheetId="47" r:id="rId8"/>
  </sheets>
  <externalReferences>
    <externalReference r:id="rId9"/>
  </externalReferences>
  <definedNames>
    <definedName name="\\" localSheetId="7" hidden="1">#REF!</definedName>
    <definedName name="\\" localSheetId="3" hidden="1">#REF!</definedName>
    <definedName name="\\" localSheetId="0" hidden="1">#REF!</definedName>
    <definedName name="\\" hidden="1">#REF!</definedName>
    <definedName name="\\\" localSheetId="7" hidden="1">#REF!</definedName>
    <definedName name="\\\" localSheetId="3" hidden="1">#REF!</definedName>
    <definedName name="\\\" localSheetId="0" hidden="1">#REF!</definedName>
    <definedName name="\\\" hidden="1">#REF!</definedName>
    <definedName name="\\\\" localSheetId="7" hidden="1">#REF!</definedName>
    <definedName name="\\\\" localSheetId="3" hidden="1">#REF!</definedName>
    <definedName name="\\\\" localSheetId="0" hidden="1">#REF!</definedName>
    <definedName name="\\\\" hidden="1">#REF!</definedName>
    <definedName name="__123Graph_1" localSheetId="7" hidden="1">#REF!</definedName>
    <definedName name="__123Graph_1" localSheetId="3" hidden="1">#REF!</definedName>
    <definedName name="__123Graph_1" localSheetId="0" hidden="1">#REF!</definedName>
    <definedName name="__123Graph_1" hidden="1">#REF!</definedName>
    <definedName name="__123Graph_2" localSheetId="7" hidden="1">#REF!</definedName>
    <definedName name="__123Graph_2" localSheetId="3" hidden="1">#REF!</definedName>
    <definedName name="__123Graph_2" localSheetId="0" hidden="1">#REF!</definedName>
    <definedName name="__123Graph_2" hidden="1">#REF!</definedName>
    <definedName name="__123Graph_3" localSheetId="7" hidden="1">#REF!</definedName>
    <definedName name="__123Graph_3" localSheetId="3" hidden="1">#REF!</definedName>
    <definedName name="__123Graph_3" localSheetId="0" hidden="1">#REF!</definedName>
    <definedName name="__123Graph_3" hidden="1">#REF!</definedName>
    <definedName name="__123Graph_4" localSheetId="7" hidden="1">#REF!</definedName>
    <definedName name="__123Graph_4" localSheetId="3" hidden="1">#REF!</definedName>
    <definedName name="__123Graph_4" localSheetId="0" hidden="1">#REF!</definedName>
    <definedName name="__123Graph_4" hidden="1">#REF!</definedName>
    <definedName name="__123Graph_5" localSheetId="7" hidden="1">#REF!</definedName>
    <definedName name="__123Graph_5" localSheetId="3" hidden="1">#REF!</definedName>
    <definedName name="__123Graph_5" localSheetId="0" hidden="1">#REF!</definedName>
    <definedName name="__123Graph_5" hidden="1">#REF!</definedName>
    <definedName name="__123Graph_6" localSheetId="7" hidden="1">#REF!</definedName>
    <definedName name="__123Graph_6" localSheetId="3" hidden="1">#REF!</definedName>
    <definedName name="__123Graph_6" localSheetId="0" hidden="1">#REF!</definedName>
    <definedName name="__123Graph_6" hidden="1">#REF!</definedName>
    <definedName name="__123Graph_8" localSheetId="7" hidden="1">#REF!</definedName>
    <definedName name="__123Graph_8" localSheetId="3" hidden="1">#REF!</definedName>
    <definedName name="__123Graph_8" localSheetId="0" hidden="1">#REF!</definedName>
    <definedName name="__123Graph_8" hidden="1">#REF!</definedName>
    <definedName name="__123Graph_A" localSheetId="7" hidden="1">#REF!</definedName>
    <definedName name="__123Graph_A" localSheetId="3" hidden="1">#REF!</definedName>
    <definedName name="__123Graph_A" localSheetId="0" hidden="1">#REF!</definedName>
    <definedName name="__123Graph_A" hidden="1">#REF!</definedName>
    <definedName name="__123Graph_B" localSheetId="7" hidden="1">#REF!</definedName>
    <definedName name="__123Graph_B" localSheetId="3" hidden="1">#REF!</definedName>
    <definedName name="__123Graph_B" localSheetId="0" hidden="1">#REF!</definedName>
    <definedName name="__123Graph_B" hidden="1">#REF!</definedName>
    <definedName name="__123Graph_C" localSheetId="7" hidden="1">#REF!</definedName>
    <definedName name="__123Graph_C" localSheetId="3" hidden="1">#REF!</definedName>
    <definedName name="__123Graph_C" localSheetId="0" hidden="1">#REF!</definedName>
    <definedName name="__123Graph_C" hidden="1">#REF!</definedName>
    <definedName name="__123Graph_D" localSheetId="7" hidden="1">#REF!</definedName>
    <definedName name="__123Graph_D" localSheetId="3" hidden="1">#REF!</definedName>
    <definedName name="__123Graph_D" localSheetId="0" hidden="1">#REF!</definedName>
    <definedName name="__123Graph_D" hidden="1">#REF!</definedName>
    <definedName name="__123Graph_E" localSheetId="7" hidden="1">#REF!</definedName>
    <definedName name="__123Graph_E" localSheetId="3" hidden="1">#REF!</definedName>
    <definedName name="__123Graph_E" localSheetId="0" hidden="1">#REF!</definedName>
    <definedName name="__123Graph_E" hidden="1">#REF!</definedName>
    <definedName name="__123Graph_F" localSheetId="7" hidden="1">#REF!</definedName>
    <definedName name="__123Graph_F" localSheetId="3" hidden="1">#REF!</definedName>
    <definedName name="__123Graph_F" localSheetId="0" hidden="1">#REF!</definedName>
    <definedName name="__123Graph_F" hidden="1">#REF!</definedName>
    <definedName name="__123Graph_X" localSheetId="7" hidden="1">#REF!</definedName>
    <definedName name="__123Graph_X" localSheetId="3" hidden="1">#REF!</definedName>
    <definedName name="__123Graph_X" localSheetId="0" hidden="1">#REF!</definedName>
    <definedName name="__123Graph_X" hidden="1">#REF!</definedName>
    <definedName name="_Fill" localSheetId="7" hidden="1">#REF!</definedName>
    <definedName name="_Fill" localSheetId="3" hidden="1">#REF!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ahahahahaha" localSheetId="3" hidden="1">{"'Server Configuration'!$A$1:$DB$281"}</definedName>
    <definedName name="ahahahahaha" localSheetId="0" hidden="1">{"'Server Configuration'!$A$1:$DB$281"}</definedName>
    <definedName name="ahahahahaha" localSheetId="4" hidden="1">{"'Server Configuration'!$A$1:$DB$281"}</definedName>
    <definedName name="ahahahahaha" hidden="1">{"'Server Configuration'!$A$1:$DB$281"}</definedName>
    <definedName name="blip" localSheetId="3" hidden="1">{"'Server Configuration'!$A$1:$DB$281"}</definedName>
    <definedName name="blip" localSheetId="0" hidden="1">{"'Server Configuration'!$A$1:$DB$281"}</definedName>
    <definedName name="blip" localSheetId="4" hidden="1">{"'Server Configuration'!$A$1:$DB$281"}</definedName>
    <definedName name="blip" hidden="1">{"'Server Configuration'!$A$1:$DB$281"}</definedName>
    <definedName name="BNE_MESSAGES_HIDDEN" localSheetId="7" hidden="1">#REF!</definedName>
    <definedName name="BNE_MESSAGES_HIDDEN" localSheetId="3" hidden="1">#REF!</definedName>
    <definedName name="BNE_MESSAGES_HIDDEN" localSheetId="0" hidden="1">#REF!</definedName>
    <definedName name="BNE_MESSAGES_HIDDEN" hidden="1">#REF!</definedName>
    <definedName name="DolUnitFactor">[1]ListsValues!$M$29</definedName>
    <definedName name="HTML_CodePage" hidden="1">1252</definedName>
    <definedName name="HTML_Control" localSheetId="3" hidden="1">{"'Server Configuration'!$A$1:$DB$281"}</definedName>
    <definedName name="HTML_Control" localSheetId="0" hidden="1">{"'Server Configuration'!$A$1:$DB$281"}</definedName>
    <definedName name="HTML_Control" localSheetId="4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0">'PSC-3-8'!$A$1:$E$141</definedName>
    <definedName name="_xlnm.Print_Area" localSheetId="5">'TY BILLING'!$A$1:$N$17</definedName>
    <definedName name="_xlnm.Print_Area" localSheetId="4">'TY TARIFF BILLING'!$A$1:$N$41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0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3" hidden="1">{"Wkp ComEquity",#N/A,FALSE,"Cap Struct WPs"}</definedName>
    <definedName name="wrn.Wkp._.ComEquity." localSheetId="0" hidden="1">{"Wkp ComEquity",#N/A,FALSE,"Cap Struct WPs"}</definedName>
    <definedName name="wrn.Wkp._.ComEquity." localSheetId="4" hidden="1">{"Wkp ComEquity",#N/A,FALSE,"Cap Struct WPs"}</definedName>
    <definedName name="wrn.Wkp._.ComEquity." hidden="1">{"Wkp ComEquity",#N/A,FALSE,"Cap Struct WPs"}</definedName>
    <definedName name="wrn.Wkp._.JDITC." localSheetId="3" hidden="1">{"Wkp JDITC",#N/A,FALSE,"Cap Struct WPs"}</definedName>
    <definedName name="wrn.Wkp._.JDITC." localSheetId="0" hidden="1">{"Wkp JDITC",#N/A,FALSE,"Cap Struct WPs"}</definedName>
    <definedName name="wrn.Wkp._.JDITC." localSheetId="4" hidden="1">{"Wkp JDITC",#N/A,FALSE,"Cap Struct WPs"}</definedName>
    <definedName name="wrn.Wkp._.JDITC." hidden="1">{"Wkp JDITC",#N/A,FALSE,"Cap Struct WPs"}</definedName>
    <definedName name="wrn.Wkp._.LTerm._.Debt." localSheetId="3" hidden="1">{"Wkp LTerm Debt",#N/A,FALSE,"Cap Struct WPs"}</definedName>
    <definedName name="wrn.Wkp._.LTerm._.Debt." localSheetId="0" hidden="1">{"Wkp LTerm Debt",#N/A,FALSE,"Cap Struct WPs"}</definedName>
    <definedName name="wrn.Wkp._.LTerm._.Debt." localSheetId="4" hidden="1">{"Wkp LTerm Debt",#N/A,FALSE,"Cap Struct WPs"}</definedName>
    <definedName name="wrn.Wkp._.LTerm._.Debt." hidden="1">{"Wkp LTerm Debt",#N/A,FALSE,"Cap Struct WPs"}</definedName>
    <definedName name="wrn.Wkp._.LTerm._.Debt._.13Mo._.Avg." localSheetId="3" hidden="1">{"Wkp LTerm Debt 13MoAvg",#N/A,FALSE,"Cap Struct WPs"}</definedName>
    <definedName name="wrn.Wkp._.LTerm._.Debt._.13Mo._.Avg." localSheetId="0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3" hidden="1">{"Wkp Lterm Debt Amort",#N/A,FALSE,"Cap Struct WPs"}</definedName>
    <definedName name="wrn.Wkp._.LTerm._.Debt._.Amort." localSheetId="0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3" hidden="1">{"Wkp LTerm Debt Int",#N/A,FALSE,"Cap Struct WPs"}</definedName>
    <definedName name="wrn.Wkp._.LTerm._.Debt._.Int." localSheetId="0" hidden="1">{"Wkp LTerm Debt Int",#N/A,FALSE,"Cap Struct WPs"}</definedName>
    <definedName name="wrn.Wkp._.LTerm._.Debt._.Int." localSheetId="4" hidden="1">{"Wkp LTerm Debt Int",#N/A,FALSE,"Cap Struct WPs"}</definedName>
    <definedName name="wrn.Wkp._.LTerm._.Debt._.Int." hidden="1">{"Wkp LTerm Debt Int",#N/A,FALSE,"Cap Struct WPs"}</definedName>
    <definedName name="wrn.Wkp._.PreStock." localSheetId="3" hidden="1">{"Wkp PreStock",#N/A,FALSE,"Cap Struct WPs"}</definedName>
    <definedName name="wrn.Wkp._.PreStock." localSheetId="0" hidden="1">{"Wkp PreStock",#N/A,FALSE,"Cap Struct WPs"}</definedName>
    <definedName name="wrn.Wkp._.PreStock." localSheetId="4" hidden="1">{"Wkp PreStock",#N/A,FALSE,"Cap Struct WPs"}</definedName>
    <definedName name="wrn.Wkp._.PreStock." hidden="1">{"Wkp PreStock",#N/A,FALSE,"Cap Struct WPs"}</definedName>
    <definedName name="wrn.Wkp._.PreStock._.13MoAvg." localSheetId="3" hidden="1">{"Wkp PreStock 13MoAvg",#N/A,FALSE,"Cap Struct WPs"}</definedName>
    <definedName name="wrn.Wkp._.PreStock._.13MoAvg." localSheetId="0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hidden="1">{"Wkp PreStock 13MoAvg",#N/A,FALSE,"Cap Struct WPs"}</definedName>
    <definedName name="wrn.Wkp._.PreStock._.Amort." localSheetId="3" hidden="1">{"Wkp PreStock Amort",#N/A,FALSE,"Cap Struct WPs"}</definedName>
    <definedName name="wrn.Wkp._.PreStock._.Amort." localSheetId="0" hidden="1">{"Wkp PreStock Amort",#N/A,FALSE,"Cap Struct WPs"}</definedName>
    <definedName name="wrn.Wkp._.PreStock._.Amort." localSheetId="4" hidden="1">{"Wkp PreStock Amort",#N/A,FALSE,"Cap Struct WPs"}</definedName>
    <definedName name="wrn.Wkp._.PreStock._.Amort." hidden="1">{"Wkp PreStock Amort",#N/A,FALSE,"Cap Struct WPs"}</definedName>
    <definedName name="wrn.Wkp._.PreStock._.Dividend." localSheetId="3" hidden="1">{"Wkp PreStock Dividend",#N/A,FALSE,"Cap Struct WPs"}</definedName>
    <definedName name="wrn.Wkp._.PreStock._.Dividend." localSheetId="0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hidden="1">{"Wkp PreStock Dividend",#N/A,FALSE,"Cap Struct WPs"}</definedName>
    <definedName name="wrn.Wkp._.STerm._.Debt." localSheetId="3" hidden="1">{"Wkp STerm Debt",#N/A,FALSE,"Cap Struct WPs"}</definedName>
    <definedName name="wrn.Wkp._.STerm._.Debt." localSheetId="0" hidden="1">{"Wkp STerm Debt",#N/A,FALSE,"Cap Struct WPs"}</definedName>
    <definedName name="wrn.Wkp._.STerm._.Debt." localSheetId="4" hidden="1">{"Wkp STerm Debt",#N/A,FALSE,"Cap Struct WPs"}</definedName>
    <definedName name="wrn.Wkp._.STerm._.Debt." hidden="1">{"Wkp STerm Debt",#N/A,FALSE,"Cap Struct WPs"}</definedName>
    <definedName name="wrn.Wkp._.Unamort._.Debt._.Exp." localSheetId="3" hidden="1">{"Wkp Unamort Debt Exp",#N/A,FALSE,"Cap Struct WPs"}</definedName>
    <definedName name="wrn.Wkp._.Unamort._.Debt._.Exp." localSheetId="0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3" hidden="1">{"Wkp Unamort PreStock Exp",#N/A,FALSE,"Cap Struct WPs"}</definedName>
    <definedName name="wrn.Wkp._.Unamort._.PreStock._.Exp." localSheetId="0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hidden="1">{"Wkp Unamort PreStock Exp",#N/A,FALSE,"Cap Struct WPs"}</definedName>
  </definedNames>
  <calcPr calcId="152511"/>
  <webPublishing codePage="0"/>
</workbook>
</file>

<file path=xl/calcChain.xml><?xml version="1.0" encoding="utf-8"?>
<calcChain xmlns="http://schemas.openxmlformats.org/spreadsheetml/2006/main">
  <c r="C79" i="48" l="1"/>
  <c r="C61" i="48"/>
  <c r="D90" i="48"/>
  <c r="D83" i="48"/>
  <c r="D72" i="48"/>
  <c r="D65" i="48"/>
  <c r="C59" i="48"/>
  <c r="C63" i="48" l="1"/>
  <c r="C70" i="48" s="1"/>
  <c r="D18" i="49"/>
  <c r="D20" i="49" s="1"/>
  <c r="E20" i="49" s="1"/>
  <c r="E16" i="49"/>
  <c r="E14" i="49"/>
  <c r="C106" i="48"/>
  <c r="D137" i="48"/>
  <c r="D130" i="48"/>
  <c r="D119" i="48"/>
  <c r="D112" i="48"/>
  <c r="D43" i="48"/>
  <c r="D36" i="48"/>
  <c r="D25" i="48"/>
  <c r="D18" i="48"/>
  <c r="C12" i="48"/>
  <c r="E18" i="49" l="1"/>
  <c r="E22" i="49" s="1"/>
  <c r="E24" i="49" s="1"/>
  <c r="E26" i="49" s="1"/>
  <c r="B79" i="48" s="1"/>
  <c r="E23" i="47"/>
  <c r="C77" i="48" s="1"/>
  <c r="C81" i="48" s="1"/>
  <c r="C88" i="48" s="1"/>
  <c r="D23" i="47"/>
  <c r="C124" i="48" l="1"/>
  <c r="C30" i="48"/>
  <c r="B108" i="48"/>
  <c r="C108" i="48"/>
  <c r="C110" i="48" s="1"/>
  <c r="C126" i="48"/>
  <c r="C128" i="48" s="1"/>
  <c r="B126" i="48"/>
  <c r="E70" i="47"/>
  <c r="D70" i="47"/>
  <c r="C70" i="47"/>
  <c r="F69" i="47"/>
  <c r="F68" i="47"/>
  <c r="F67" i="47"/>
  <c r="F66" i="47"/>
  <c r="F65" i="47"/>
  <c r="F64" i="47"/>
  <c r="F63" i="47"/>
  <c r="F62" i="47"/>
  <c r="F61" i="47"/>
  <c r="L60" i="47"/>
  <c r="L62" i="47" s="1"/>
  <c r="L63" i="47" s="1"/>
  <c r="L64" i="47" s="1"/>
  <c r="L65" i="47" s="1"/>
  <c r="K60" i="47"/>
  <c r="J60" i="47"/>
  <c r="I60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C30" i="47"/>
  <c r="C23" i="47"/>
  <c r="F22" i="47"/>
  <c r="F24" i="47" s="1"/>
  <c r="J16" i="47"/>
  <c r="I16" i="47"/>
  <c r="H16" i="47"/>
  <c r="F15" i="47"/>
  <c r="F16" i="47" s="1"/>
  <c r="D15" i="47"/>
  <c r="D16" i="47" s="1"/>
  <c r="J8" i="47"/>
  <c r="J9" i="47" s="1"/>
  <c r="I8" i="47"/>
  <c r="I9" i="47" s="1"/>
  <c r="H8" i="47"/>
  <c r="H9" i="47" s="1"/>
  <c r="F7" i="47"/>
  <c r="C29" i="47" s="1"/>
  <c r="D7" i="47"/>
  <c r="C28" i="47" s="1"/>
  <c r="D8" i="47" l="1"/>
  <c r="D9" i="47" s="1"/>
  <c r="C135" i="48"/>
  <c r="C117" i="48"/>
  <c r="E14" i="47"/>
  <c r="C7" i="47"/>
  <c r="G14" i="47"/>
  <c r="G8" i="47" s="1"/>
  <c r="C31" i="47"/>
  <c r="E15" i="47"/>
  <c r="F70" i="47"/>
  <c r="E8" i="47"/>
  <c r="F8" i="47"/>
  <c r="F9" i="47" s="1"/>
  <c r="G15" i="47"/>
  <c r="G16" i="47" s="1"/>
  <c r="E22" i="47" s="1"/>
  <c r="E24" i="47" s="1"/>
  <c r="F30" i="46"/>
  <c r="F29" i="46"/>
  <c r="G27" i="46"/>
  <c r="G32" i="46" s="1"/>
  <c r="E27" i="46"/>
  <c r="E32" i="46" s="1"/>
  <c r="D27" i="46"/>
  <c r="D32" i="46" s="1"/>
  <c r="C27" i="46"/>
  <c r="C32" i="46" s="1"/>
  <c r="B27" i="46"/>
  <c r="B32" i="46" s="1"/>
  <c r="N25" i="46"/>
  <c r="M25" i="46"/>
  <c r="K25" i="46"/>
  <c r="J25" i="46"/>
  <c r="F25" i="46"/>
  <c r="N23" i="46"/>
  <c r="M23" i="46"/>
  <c r="K23" i="46"/>
  <c r="J23" i="46"/>
  <c r="F23" i="46"/>
  <c r="N21" i="46"/>
  <c r="M21" i="46"/>
  <c r="K21" i="46"/>
  <c r="J21" i="46"/>
  <c r="F21" i="46"/>
  <c r="N19" i="46"/>
  <c r="M19" i="46"/>
  <c r="K19" i="46"/>
  <c r="J19" i="46"/>
  <c r="F19" i="46"/>
  <c r="N17" i="46"/>
  <c r="M17" i="46"/>
  <c r="K17" i="46"/>
  <c r="J17" i="46"/>
  <c r="F17" i="46"/>
  <c r="N15" i="46"/>
  <c r="M15" i="46"/>
  <c r="K15" i="46"/>
  <c r="J15" i="46"/>
  <c r="F15" i="46"/>
  <c r="N13" i="46"/>
  <c r="M13" i="46"/>
  <c r="K13" i="46"/>
  <c r="J13" i="46"/>
  <c r="F13" i="46"/>
  <c r="N11" i="46"/>
  <c r="M11" i="46"/>
  <c r="K11" i="46"/>
  <c r="J11" i="46"/>
  <c r="F11" i="46"/>
  <c r="G38" i="46" s="1"/>
  <c r="E16" i="47" l="1"/>
  <c r="D22" i="47" s="1"/>
  <c r="C32" i="47"/>
  <c r="E9" i="47"/>
  <c r="C14" i="47"/>
  <c r="C16" i="47" s="1"/>
  <c r="C15" i="47"/>
  <c r="G9" i="47"/>
  <c r="K27" i="46"/>
  <c r="K40" i="46" s="1"/>
  <c r="D24" i="47"/>
  <c r="C22" i="47"/>
  <c r="C24" i="47" s="1"/>
  <c r="M27" i="46"/>
  <c r="N27" i="46"/>
  <c r="N40" i="46" s="1"/>
  <c r="J27" i="46"/>
  <c r="N38" i="46"/>
  <c r="M38" i="46" s="1"/>
  <c r="K38" i="46"/>
  <c r="J38" i="46" s="1"/>
  <c r="F27" i="46"/>
  <c r="C8" i="47" l="1"/>
  <c r="C9" i="47" s="1"/>
  <c r="C17" i="47"/>
  <c r="K39" i="46"/>
  <c r="N39" i="46"/>
  <c r="G40" i="46"/>
  <c r="F32" i="46"/>
  <c r="H32" i="46" s="1"/>
  <c r="H27" i="46"/>
  <c r="G39" i="46" l="1"/>
  <c r="H38" i="46"/>
  <c r="J40" i="46"/>
  <c r="M40" i="46"/>
  <c r="M39" i="46"/>
  <c r="D63" i="48" l="1"/>
  <c r="D81" i="48"/>
  <c r="D128" i="48"/>
  <c r="D110" i="48"/>
  <c r="H39" i="46"/>
  <c r="J39" i="46"/>
  <c r="D67" i="48" l="1"/>
  <c r="E63" i="48"/>
  <c r="D70" i="48"/>
  <c r="D74" i="48" s="1"/>
  <c r="D85" i="48"/>
  <c r="D88" i="48"/>
  <c r="D92" i="48" s="1"/>
  <c r="E81" i="48"/>
  <c r="E110" i="48"/>
  <c r="D117" i="48"/>
  <c r="D121" i="48" s="1"/>
  <c r="D114" i="48"/>
  <c r="D132" i="48"/>
  <c r="D135" i="48"/>
  <c r="D139" i="48" s="1"/>
  <c r="E128" i="48"/>
  <c r="F29" i="31"/>
  <c r="A29" i="31"/>
  <c r="E70" i="38"/>
  <c r="D70" i="38"/>
  <c r="C70" i="38"/>
  <c r="F69" i="38"/>
  <c r="F68" i="38"/>
  <c r="F67" i="38"/>
  <c r="F66" i="38"/>
  <c r="F65" i="38"/>
  <c r="F64" i="38"/>
  <c r="F63" i="38"/>
  <c r="F62" i="38"/>
  <c r="F61" i="38"/>
  <c r="L60" i="38"/>
  <c r="K60" i="38"/>
  <c r="J60" i="38"/>
  <c r="I60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C30" i="38"/>
  <c r="C23" i="38"/>
  <c r="F22" i="38"/>
  <c r="F24" i="38" s="1"/>
  <c r="J16" i="38"/>
  <c r="I16" i="38"/>
  <c r="H16" i="38"/>
  <c r="F15" i="38"/>
  <c r="F16" i="38" s="1"/>
  <c r="D15" i="38"/>
  <c r="D16" i="38" s="1"/>
  <c r="J8" i="38"/>
  <c r="J9" i="38" s="1"/>
  <c r="I8" i="38"/>
  <c r="I9" i="38" s="1"/>
  <c r="H8" i="38"/>
  <c r="H9" i="38" s="1"/>
  <c r="F7" i="38"/>
  <c r="C29" i="38" s="1"/>
  <c r="D7" i="38"/>
  <c r="E14" i="38" s="1"/>
  <c r="E88" i="48" l="1"/>
  <c r="E70" i="48"/>
  <c r="E135" i="48"/>
  <c r="E117" i="48"/>
  <c r="G14" i="38"/>
  <c r="C14" i="38" s="1"/>
  <c r="F70" i="38"/>
  <c r="E8" i="38"/>
  <c r="C28" i="38"/>
  <c r="C31" i="38" s="1"/>
  <c r="F8" i="38"/>
  <c r="F9" i="38" s="1"/>
  <c r="G15" i="38"/>
  <c r="G16" i="38" s="1"/>
  <c r="E22" i="38" s="1"/>
  <c r="C7" i="38"/>
  <c r="D8" i="38"/>
  <c r="D9" i="38" s="1"/>
  <c r="E15" i="38"/>
  <c r="G8" i="38" l="1"/>
  <c r="C8" i="38"/>
  <c r="C15" i="38"/>
  <c r="C16" i="38" s="1"/>
  <c r="E24" i="38"/>
  <c r="E16" i="38"/>
  <c r="D22" i="38" s="1"/>
  <c r="D24" i="38" s="1"/>
  <c r="E9" i="38"/>
  <c r="G9" i="38"/>
  <c r="C22" i="38"/>
  <c r="C24" i="38" s="1"/>
  <c r="C32" i="38"/>
  <c r="C9" i="38" l="1"/>
  <c r="C17" i="38"/>
  <c r="F31" i="31" l="1"/>
  <c r="F35" i="31" s="1"/>
  <c r="F11" i="31" s="1"/>
  <c r="A17" i="31"/>
  <c r="F13" i="31" l="1"/>
  <c r="F17" i="31" l="1"/>
  <c r="F19" i="31" s="1"/>
  <c r="F21" i="31" s="1"/>
  <c r="F23" i="31" s="1"/>
  <c r="B14" i="48" l="1"/>
  <c r="B32" i="48"/>
  <c r="C14" i="48"/>
  <c r="C16" i="48" s="1"/>
  <c r="C32" i="48"/>
  <c r="C34" i="48" s="1"/>
  <c r="N10" i="39"/>
  <c r="M8" i="39"/>
  <c r="M12" i="39" s="1"/>
  <c r="L8" i="39"/>
  <c r="L12" i="39" s="1"/>
  <c r="K8" i="39"/>
  <c r="K12" i="39" s="1"/>
  <c r="J8" i="39"/>
  <c r="J12" i="39" s="1"/>
  <c r="I8" i="39"/>
  <c r="I12" i="39" s="1"/>
  <c r="H8" i="39"/>
  <c r="H12" i="39" s="1"/>
  <c r="G8" i="39"/>
  <c r="G12" i="39" s="1"/>
  <c r="F8" i="39"/>
  <c r="F12" i="39" s="1"/>
  <c r="E8" i="39"/>
  <c r="E12" i="39" s="1"/>
  <c r="D8" i="39"/>
  <c r="D12" i="39" s="1"/>
  <c r="C8" i="39"/>
  <c r="C12" i="39" s="1"/>
  <c r="B8" i="39"/>
  <c r="B12" i="39" s="1"/>
  <c r="N7" i="39"/>
  <c r="N6" i="39"/>
  <c r="N5" i="39"/>
  <c r="C72" i="48" l="1"/>
  <c r="C74" i="48" s="1"/>
  <c r="C90" i="48"/>
  <c r="C92" i="48" s="1"/>
  <c r="C43" i="48"/>
  <c r="C119" i="48"/>
  <c r="C121" i="48" s="1"/>
  <c r="C137" i="48"/>
  <c r="C139" i="48" s="1"/>
  <c r="C25" i="48"/>
  <c r="D34" i="48"/>
  <c r="C41" i="48"/>
  <c r="D16" i="48"/>
  <c r="C23" i="48"/>
  <c r="C27" i="48" s="1"/>
  <c r="N17" i="39"/>
  <c r="N8" i="39"/>
  <c r="N12" i="39" s="1"/>
  <c r="P10" i="39"/>
  <c r="P8" i="39"/>
  <c r="C45" i="48" l="1"/>
  <c r="E83" i="48"/>
  <c r="E85" i="48" s="1"/>
  <c r="E72" i="48"/>
  <c r="E74" i="48" s="1"/>
  <c r="E90" i="48"/>
  <c r="E92" i="48" s="1"/>
  <c r="E65" i="48"/>
  <c r="E67" i="48" s="1"/>
  <c r="E130" i="48"/>
  <c r="E132" i="48" s="1"/>
  <c r="E43" i="48"/>
  <c r="E18" i="48"/>
  <c r="E25" i="48"/>
  <c r="E112" i="48"/>
  <c r="E114" i="48" s="1"/>
  <c r="E137" i="48"/>
  <c r="E139" i="48" s="1"/>
  <c r="E119" i="48"/>
  <c r="E121" i="48" s="1"/>
  <c r="E36" i="48"/>
  <c r="D20" i="48"/>
  <c r="D23" i="48"/>
  <c r="D27" i="48" s="1"/>
  <c r="E16" i="48"/>
  <c r="E34" i="48"/>
  <c r="D38" i="48"/>
  <c r="D41" i="48"/>
  <c r="D45" i="48" s="1"/>
  <c r="E38" i="48" l="1"/>
  <c r="E41" i="48"/>
  <c r="E45" i="48" s="1"/>
  <c r="E20" i="48"/>
  <c r="E23" i="48"/>
  <c r="E27" i="48" s="1"/>
</calcChain>
</file>

<file path=xl/sharedStrings.xml><?xml version="1.0" encoding="utf-8"?>
<sst xmlns="http://schemas.openxmlformats.org/spreadsheetml/2006/main" count="437" uniqueCount="188">
  <si>
    <t>DESCRIPTION</t>
  </si>
  <si>
    <t>STATE</t>
  </si>
  <si>
    <t>LINE NO.</t>
  </si>
  <si>
    <t>$</t>
  </si>
  <si>
    <t>FEDERAL</t>
  </si>
  <si>
    <t>OPERATING REVENUE</t>
  </si>
  <si>
    <t>LESS: UNCOLLECTIBLE ACCOUNTS EXPENSE</t>
  </si>
  <si>
    <t>LESS: PSC FEES</t>
  </si>
  <si>
    <t>Calculation of Composite Federal and Kentucky</t>
  </si>
  <si>
    <t>Income Tax Rate</t>
  </si>
  <si>
    <t>(Based on Law in Effect January 1, 2018)</t>
  </si>
  <si>
    <t xml:space="preserve">1. Assume pre-tax income of </t>
  </si>
  <si>
    <t>2.  State income tax (see SIT calc below)</t>
  </si>
  <si>
    <t>3.  Taxable income for Federal income tax before production activities deduction</t>
  </si>
  <si>
    <t xml:space="preserve">     a. Production Rate</t>
  </si>
  <si>
    <t xml:space="preserve">     b. Allocation to Production Income</t>
  </si>
  <si>
    <t>5.  Taxable income for Federal income tax (Line 3 - Line 4)</t>
  </si>
  <si>
    <t>6.  Federal income tax at 21% (Line 5 x 21%)</t>
  </si>
  <si>
    <t>7.  Total State and Federal income taxes (Line 2 + Line 6)</t>
  </si>
  <si>
    <t>State Income Tax Calculation</t>
  </si>
  <si>
    <t xml:space="preserve">3.  Taxable income for State income tax </t>
  </si>
  <si>
    <t>4.  State Tax Rate</t>
  </si>
  <si>
    <t>5.  State Income Tax</t>
  </si>
  <si>
    <t>Excess Deferred Tax Forecast</t>
  </si>
  <si>
    <t>Reg Liab before Gross Up</t>
  </si>
  <si>
    <t>Excess Deferred Amortization</t>
  </si>
  <si>
    <t>Total</t>
  </si>
  <si>
    <t>Electric</t>
  </si>
  <si>
    <t>ECR</t>
  </si>
  <si>
    <t>1/1/18</t>
  </si>
  <si>
    <t>12/31/18</t>
  </si>
  <si>
    <t>2018</t>
  </si>
  <si>
    <t>4/30/19</t>
  </si>
  <si>
    <t>16 Month Period from 01/18 - 04/19</t>
  </si>
  <si>
    <t>Protected Excess Deferreds</t>
  </si>
  <si>
    <t>Unprotected Excess Deferreds</t>
  </si>
  <si>
    <t>Total Excess Deferreds</t>
  </si>
  <si>
    <t>Forecasted Test Year Data - Base Revenues Based on Rates in Effect at Time of Filing</t>
  </si>
  <si>
    <t>ELECTRIC</t>
  </si>
  <si>
    <t>Test Year Total</t>
  </si>
  <si>
    <t>Basic Service Charge</t>
  </si>
  <si>
    <t>Total Base Revenues</t>
  </si>
  <si>
    <t>LOUISVILLE GAS AND ELECTRIC COMPANY</t>
  </si>
  <si>
    <t>NOL - ELECTRIC</t>
  </si>
  <si>
    <t>Gas</t>
  </si>
  <si>
    <t>4 Months 2019</t>
  </si>
  <si>
    <t>Louisville Gas &amp; Electric</t>
  </si>
  <si>
    <t>GAS</t>
  </si>
  <si>
    <t>Distribution Charge</t>
  </si>
  <si>
    <t>Demand Charge</t>
  </si>
  <si>
    <t>MCF</t>
  </si>
  <si>
    <t>Total Base Revenues per MCF</t>
  </si>
  <si>
    <t xml:space="preserve">     c. Allocated Production Rate</t>
  </si>
  <si>
    <t>Louisville Gas and Electric Company</t>
  </si>
  <si>
    <t>Non Plant Related Excess Deferred Taxes</t>
  </si>
  <si>
    <t>Description</t>
  </si>
  <si>
    <t>Cumulative Timing Difference</t>
  </si>
  <si>
    <t>Deferred Tax Balance at Old Rates</t>
  </si>
  <si>
    <t>Deferred Tax Balance at New Rates</t>
  </si>
  <si>
    <t>Excess Deferred Taxes</t>
  </si>
  <si>
    <t>2009 Winter Storm Damages</t>
  </si>
  <si>
    <t>African American Venture Fund</t>
  </si>
  <si>
    <t>Amortization Loss on Reacquired Debt</t>
  </si>
  <si>
    <t>Bad Debts Reserves</t>
  </si>
  <si>
    <t>CAFC</t>
  </si>
  <si>
    <t>Demand Side Management</t>
  </si>
  <si>
    <t>FAS 106 Cost Write-Off (Post Retirement)</t>
  </si>
  <si>
    <t>FAS 112 Cost Write-Off (Post Employment)</t>
  </si>
  <si>
    <t>FAS 87 Pensions</t>
  </si>
  <si>
    <t>Interest Rate Swaps</t>
  </si>
  <si>
    <t>Performance Incentive</t>
  </si>
  <si>
    <t>Prepaid Insurance</t>
  </si>
  <si>
    <t>Regulatory Expenses</t>
  </si>
  <si>
    <t>State Tax Current</t>
  </si>
  <si>
    <t>Unclaimed Checks</t>
  </si>
  <si>
    <t>Vacation Pay</t>
  </si>
  <si>
    <t>Workers Compensation</t>
  </si>
  <si>
    <t>Capitalized Gas Inventory Costs</t>
  </si>
  <si>
    <t>Gas Line Tracker Reg Liab - Current</t>
  </si>
  <si>
    <t>Line Pack - IRS Audit</t>
  </si>
  <si>
    <t>Purchased Gas Adjustment - Current</t>
  </si>
  <si>
    <t>GAS BILLING UNITS (TY CCF / 12 MO x 13 MO)</t>
  </si>
  <si>
    <t>AMORTIZATION OF EXCESS ADIT (UNPROTECTED) - (SL OVER 15 YEARS)</t>
  </si>
  <si>
    <t>BASE RATES</t>
  </si>
  <si>
    <t>MECHANISMS</t>
  </si>
  <si>
    <t>NOL - GAS</t>
  </si>
  <si>
    <t>GLT</t>
  </si>
  <si>
    <t>DSM</t>
  </si>
  <si>
    <t>16 Month Period</t>
  </si>
  <si>
    <t>Protected Deferreds under ARAM</t>
  </si>
  <si>
    <t>Electric - Base</t>
  </si>
  <si>
    <t>Gas - Base</t>
  </si>
  <si>
    <t>Mechanisms</t>
  </si>
  <si>
    <t>2008 Wind Storm Damages</t>
  </si>
  <si>
    <t>2011 Summer Storm Damages</t>
  </si>
  <si>
    <t>CCR ARO Ponds</t>
  </si>
  <si>
    <t>CMRG Regulatory Asset</t>
  </si>
  <si>
    <t>Contingency Reserve</t>
  </si>
  <si>
    <t>Emission Allowances</t>
  </si>
  <si>
    <t>Environmental Cost Recovery - Current</t>
  </si>
  <si>
    <t>FAC Under Recovery KY - Current</t>
  </si>
  <si>
    <t>Off-System Sales Tracker - Reg Liab</t>
  </si>
  <si>
    <t xml:space="preserve">Plant Outage Normalization - Reg Asset </t>
  </si>
  <si>
    <t>Refined Coal - KY - Reg Liab</t>
  </si>
  <si>
    <t>Research Dev. &amp; Demo Exp.</t>
  </si>
  <si>
    <t>Swap Termination</t>
  </si>
  <si>
    <t>Tenant Incentive Amortization</t>
  </si>
  <si>
    <t>PAGE 6 OF 6</t>
  </si>
  <si>
    <t>(15 year amort for unprotected - Base)</t>
  </si>
  <si>
    <t>EXHIBIT KWB-6</t>
  </si>
  <si>
    <t>CASE NO. 2018-00034</t>
  </si>
  <si>
    <t>Residential</t>
  </si>
  <si>
    <t>Non-Residential</t>
  </si>
  <si>
    <t>Increase</t>
  </si>
  <si>
    <t>Commercial Gas Service - Rate CGS</t>
  </si>
  <si>
    <t>Industrial Gas Service - Rate IGS</t>
  </si>
  <si>
    <t>Distributed Generation Gas Service - Rate DGGS</t>
  </si>
  <si>
    <t>As-Available Gas Service - Rate AAGS</t>
  </si>
  <si>
    <t>Special Contract - Intra-Company Sales</t>
  </si>
  <si>
    <t>RATE PER MONTH CALCULATIONS:</t>
  </si>
  <si>
    <t>GAS BILLING UNITS PER MONTH (TY CCF / 12 MO)</t>
  </si>
  <si>
    <t>per MCF</t>
  </si>
  <si>
    <t>Source:</t>
  </si>
  <si>
    <t>Res</t>
  </si>
  <si>
    <t>Rate Case - Schedule M-2.3G Page 1</t>
  </si>
  <si>
    <t>All</t>
  </si>
  <si>
    <t>Non-Res</t>
  </si>
  <si>
    <t>Base Rate</t>
  </si>
  <si>
    <t xml:space="preserve">GLT </t>
  </si>
  <si>
    <t>GSC</t>
  </si>
  <si>
    <t>Current</t>
  </si>
  <si>
    <t>Percentage</t>
  </si>
  <si>
    <t>TCJA Credit</t>
  </si>
  <si>
    <t>Rate Class</t>
  </si>
  <si>
    <t>Revenue</t>
  </si>
  <si>
    <t>Change</t>
  </si>
  <si>
    <t>Volumes</t>
  </si>
  <si>
    <t>12 Month</t>
  </si>
  <si>
    <t>13 Months</t>
  </si>
  <si>
    <t>Residential Gas Service - Rate RGS</t>
  </si>
  <si>
    <t>Firm Transportation Service (Non-Standby) Rate FT</t>
  </si>
  <si>
    <t>Substitute Gas Sales Service</t>
  </si>
  <si>
    <t>Subtotal Sales to Ultimate Consumers and Inter-Company</t>
  </si>
  <si>
    <t>LPC</t>
  </si>
  <si>
    <t>Miscellaneous Revenue</t>
  </si>
  <si>
    <t>Total Sales to Ultimate Consumers and Inter-Company</t>
  </si>
  <si>
    <t>Total Revenue with Rate Increase</t>
  </si>
  <si>
    <t>% of Total Revenue</t>
  </si>
  <si>
    <t>% of Revenue</t>
  </si>
  <si>
    <t>Adjusted for Commission Order</t>
  </si>
  <si>
    <t>Less CCR</t>
  </si>
  <si>
    <t>Unprotected Base</t>
  </si>
  <si>
    <t>Yearly Amort (5 yr)</t>
  </si>
  <si>
    <t>16 Month Amort</t>
  </si>
  <si>
    <t>check digit</t>
  </si>
  <si>
    <t>ATTACHMENT TO RESPONSE TO PSC-3 QUESTION NO. 8</t>
  </si>
  <si>
    <t>METHOD: OFFER AND ACCEPTANCE OF SATISFACTION</t>
  </si>
  <si>
    <t>(2) SURCREDIT IMPACT</t>
  </si>
  <si>
    <t>(1)               REVENUE REQUIREMENT IMPACT</t>
  </si>
  <si>
    <t>15-YEAR AMORTIZATION PERIOD:</t>
  </si>
  <si>
    <t>TOTAL REDUCTION IN REVENUE REQUIREMENTS (LINE 1 x LINE 2)</t>
  </si>
  <si>
    <t>TOTAL MONTHLY REDUCTION IN REVENUE REQUIREMENTS (LINE 3 / 16 MO)</t>
  </si>
  <si>
    <t>5-YEAR AMORTIZATION PERIOD:</t>
  </si>
  <si>
    <t>AMORTIZATION OF EXCESS ADIT (UNPROTECTED) - (SL OVER 5 YEARS)</t>
  </si>
  <si>
    <t>(1)</t>
  </si>
  <si>
    <t>Effective tax rate reflects 21% Federal and 6% State Income Tax rates.</t>
  </si>
  <si>
    <t>Effective tax rate reflects 21% Federal and 6% State Income Tax rates, and tax rate impacts of PSC Assessment and Uncollectible rates.</t>
  </si>
  <si>
    <t>UNPROTECTED EXCESS ADIT - GAS</t>
  </si>
  <si>
    <t>GAS CREDIT PER CCF (APRIL 1, 2018 - APRIL 30, 2019) (LINE 3 / LINE 4)</t>
  </si>
  <si>
    <t>MONTHLY GAS CREDIT PER CCF (LINE 6 / LINE 7)</t>
  </si>
  <si>
    <t>EXHIBIT KWB-3</t>
  </si>
  <si>
    <t>PAGE 5 OF 5</t>
  </si>
  <si>
    <t>COMPUTATION OF COMPOSITE FEDERAL AND STATE INCOME TAX RATE</t>
  </si>
  <si>
    <t>INCOME BEFORE STATE INCOME TAX (LINES 1 - 2 - 3)</t>
  </si>
  <si>
    <t>STATE INCOME TAX (LINE 4 X 6.00%)</t>
  </si>
  <si>
    <t>INCOME BEFORE FEDERAL INCOME TAX (LINES 4 - 5)</t>
  </si>
  <si>
    <t>FEDERAL INCOME TAX (LINE 6 X 21.00%)</t>
  </si>
  <si>
    <t>TOTAL STATE AND FEDERAL INCOME TAXES (LINES 5 + 7)</t>
  </si>
  <si>
    <t>RESIDENTIAL TARIFF                (65.4% OF TOTAL REVENUES)</t>
  </si>
  <si>
    <t>NON-RESIDENTIAL TARIFFS                     (34.6% OF TOTAL REVENUES)</t>
  </si>
  <si>
    <t>PAGE 7 OF 9</t>
  </si>
  <si>
    <t>PAGE 9 OF 9</t>
  </si>
  <si>
    <t>PAGE 8 OF 9</t>
  </si>
  <si>
    <t>METHOD: COMMISSION'S MARCH 20, 2018 ORDER (PER ORDER)</t>
  </si>
  <si>
    <t>GROSS-UP FACTOR (1)</t>
  </si>
  <si>
    <t>Appendix C, Line No. 13 calculated by dividing Line No. 15 by Line No. 12 (2,928,434 / 2,174,466).</t>
  </si>
  <si>
    <t>METHOD: COMMISSION'S MARCH 20, 2018 ORDER (PER COMPANY REVISION)</t>
  </si>
  <si>
    <t>BASED ON 21% FEDERAL INCOME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</si>
</sst>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[$-409]mmm\-yy;@"/>
    <numFmt numFmtId="175" formatCode="_([$€-2]* #,##0.00_);_([$€-2]* \(#,##0.00\);_([$€-2]* &quot;-&quot;??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0000000"/>
    <numFmt numFmtId="181" formatCode="0_);\(0\)"/>
    <numFmt numFmtId="182" formatCode="0.000000%"/>
    <numFmt numFmtId="183" formatCode="&quot;$&quot;#,##0.00"/>
    <numFmt numFmtId="184" formatCode="###,000"/>
    <numFmt numFmtId="185" formatCode="#,##0.00\ &quot;DM&quot;;[Red]\-#,##0.00\ &quot;DM&quot;"/>
    <numFmt numFmtId="186" formatCode="#,##0.000_);\(#,##0.000\)"/>
    <numFmt numFmtId="187" formatCode="_(&quot;$&quot;* #,##0_);_(&quot;$&quot;* \(#,##0\);_(&quot;$&quot;* &quot;-&quot;??_);_(@_)"/>
    <numFmt numFmtId="188" formatCode="0.0000%"/>
    <numFmt numFmtId="189" formatCode="_(&quot;$&quot;* #,##0.0000_);_(&quot;$&quot;* \(#,##0.0000\);_(&quot;$&quot;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&quot;$&quot;* #,##0.00000_);_(&quot;$&quot;* \(#,##0.00000\);_(&quot;$&quot;* &quot;-&quot;??_);_(@_)"/>
    <numFmt numFmtId="193" formatCode="0.0%"/>
    <numFmt numFmtId="194" formatCode="0.00000000%"/>
    <numFmt numFmtId="195" formatCode="0.000000000%"/>
  </numFmts>
  <fonts count="1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u/>
      <sz val="12"/>
      <name val="Arial"/>
      <family val="2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Accounting"/>
      <sz val="10"/>
      <color rgb="FF000000"/>
      <name val="Arial"/>
      <family val="2"/>
    </font>
    <font>
      <b/>
      <u val="doubleAccounting"/>
      <sz val="10"/>
      <color rgb="FF00000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666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37" fontId="20" fillId="0" borderId="0"/>
    <xf numFmtId="0" fontId="13" fillId="15" borderId="0"/>
    <xf numFmtId="0" fontId="13" fillId="15" borderId="0"/>
    <xf numFmtId="165" fontId="13" fillId="0" borderId="0"/>
    <xf numFmtId="165" fontId="13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1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1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1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2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1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2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2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2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1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2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1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2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3" fillId="21" borderId="0" applyNumberFormat="0" applyBorder="0" applyAlignment="0" applyProtection="0"/>
    <xf numFmtId="166" fontId="24" fillId="24" borderId="0" applyNumberFormat="0" applyBorder="0" applyAlignment="0" applyProtection="0"/>
    <xf numFmtId="166" fontId="24" fillId="24" borderId="0" applyNumberFormat="0" applyBorder="0" applyAlignment="0" applyProtection="0"/>
    <xf numFmtId="166" fontId="24" fillId="24" borderId="0" applyNumberFormat="0" applyBorder="0" applyAlignment="0" applyProtection="0"/>
    <xf numFmtId="0" fontId="23" fillId="25" borderId="0" applyNumberFormat="0" applyBorder="0" applyAlignment="0" applyProtection="0"/>
    <xf numFmtId="166" fontId="24" fillId="17" borderId="0" applyNumberFormat="0" applyBorder="0" applyAlignment="0" applyProtection="0"/>
    <xf numFmtId="166" fontId="24" fillId="17" borderId="0" applyNumberFormat="0" applyBorder="0" applyAlignment="0" applyProtection="0"/>
    <xf numFmtId="166" fontId="24" fillId="17" borderId="0" applyNumberFormat="0" applyBorder="0" applyAlignment="0" applyProtection="0"/>
    <xf numFmtId="0" fontId="23" fillId="26" borderId="0" applyNumberFormat="0" applyBorder="0" applyAlignment="0" applyProtection="0"/>
    <xf numFmtId="166" fontId="24" fillId="27" borderId="0" applyNumberFormat="0" applyBorder="0" applyAlignment="0" applyProtection="0"/>
    <xf numFmtId="166" fontId="24" fillId="27" borderId="0" applyNumberFormat="0" applyBorder="0" applyAlignment="0" applyProtection="0"/>
    <xf numFmtId="166" fontId="24" fillId="27" borderId="0" applyNumberFormat="0" applyBorder="0" applyAlignment="0" applyProtection="0"/>
    <xf numFmtId="0" fontId="23" fillId="23" borderId="0" applyNumberFormat="0" applyBorder="0" applyAlignment="0" applyProtection="0"/>
    <xf numFmtId="166" fontId="24" fillId="19" borderId="0" applyNumberFormat="0" applyBorder="0" applyAlignment="0" applyProtection="0"/>
    <xf numFmtId="166" fontId="24" fillId="19" borderId="0" applyNumberFormat="0" applyBorder="0" applyAlignment="0" applyProtection="0"/>
    <xf numFmtId="166" fontId="24" fillId="19" borderId="0" applyNumberFormat="0" applyBorder="0" applyAlignment="0" applyProtection="0"/>
    <xf numFmtId="0" fontId="23" fillId="21" borderId="0" applyNumberFormat="0" applyBorder="0" applyAlignment="0" applyProtection="0"/>
    <xf numFmtId="166" fontId="24" fillId="24" borderId="0" applyNumberFormat="0" applyBorder="0" applyAlignment="0" applyProtection="0"/>
    <xf numFmtId="166" fontId="24" fillId="24" borderId="0" applyNumberFormat="0" applyBorder="0" applyAlignment="0" applyProtection="0"/>
    <xf numFmtId="166" fontId="24" fillId="24" borderId="0" applyNumberFormat="0" applyBorder="0" applyAlignment="0" applyProtection="0"/>
    <xf numFmtId="0" fontId="23" fillId="17" borderId="0" applyNumberFormat="0" applyBorder="0" applyAlignment="0" applyProtection="0"/>
    <xf numFmtId="166" fontId="24" fillId="20" borderId="0" applyNumberFormat="0" applyBorder="0" applyAlignment="0" applyProtection="0"/>
    <xf numFmtId="166" fontId="24" fillId="20" borderId="0" applyNumberFormat="0" applyBorder="0" applyAlignment="0" applyProtection="0"/>
    <xf numFmtId="166" fontId="24" fillId="20" borderId="0" applyNumberFormat="0" applyBorder="0" applyAlignment="0" applyProtection="0"/>
    <xf numFmtId="0" fontId="23" fillId="28" borderId="0" applyNumberFormat="0" applyBorder="0" applyAlignment="0" applyProtection="0"/>
    <xf numFmtId="166" fontId="24" fillId="29" borderId="0" applyNumberFormat="0" applyBorder="0" applyAlignment="0" applyProtection="0"/>
    <xf numFmtId="166" fontId="24" fillId="29" borderId="0" applyNumberFormat="0" applyBorder="0" applyAlignment="0" applyProtection="0"/>
    <xf numFmtId="166" fontId="24" fillId="29" borderId="0" applyNumberFormat="0" applyBorder="0" applyAlignment="0" applyProtection="0"/>
    <xf numFmtId="0" fontId="23" fillId="25" borderId="0" applyNumberFormat="0" applyBorder="0" applyAlignment="0" applyProtection="0"/>
    <xf numFmtId="166" fontId="24" fillId="30" borderId="0" applyNumberFormat="0" applyBorder="0" applyAlignment="0" applyProtection="0"/>
    <xf numFmtId="166" fontId="24" fillId="30" borderId="0" applyNumberFormat="0" applyBorder="0" applyAlignment="0" applyProtection="0"/>
    <xf numFmtId="166" fontId="24" fillId="30" borderId="0" applyNumberFormat="0" applyBorder="0" applyAlignment="0" applyProtection="0"/>
    <xf numFmtId="0" fontId="23" fillId="26" borderId="0" applyNumberFormat="0" applyBorder="0" applyAlignment="0" applyProtection="0"/>
    <xf numFmtId="166" fontId="24" fillId="31" borderId="0" applyNumberFormat="0" applyBorder="0" applyAlignment="0" applyProtection="0"/>
    <xf numFmtId="166" fontId="24" fillId="31" borderId="0" applyNumberFormat="0" applyBorder="0" applyAlignment="0" applyProtection="0"/>
    <xf numFmtId="166" fontId="24" fillId="31" borderId="0" applyNumberFormat="0" applyBorder="0" applyAlignment="0" applyProtection="0"/>
    <xf numFmtId="0" fontId="23" fillId="32" borderId="0" applyNumberFormat="0" applyBorder="0" applyAlignment="0" applyProtection="0"/>
    <xf numFmtId="166" fontId="24" fillId="32" borderId="0" applyNumberFormat="0" applyBorder="0" applyAlignment="0" applyProtection="0"/>
    <xf numFmtId="166" fontId="24" fillId="32" borderId="0" applyNumberFormat="0" applyBorder="0" applyAlignment="0" applyProtection="0"/>
    <xf numFmtId="166" fontId="24" fillId="32" borderId="0" applyNumberFormat="0" applyBorder="0" applyAlignment="0" applyProtection="0"/>
    <xf numFmtId="0" fontId="23" fillId="29" borderId="0" applyNumberFormat="0" applyBorder="0" applyAlignment="0" applyProtection="0"/>
    <xf numFmtId="166" fontId="24" fillId="29" borderId="0" applyNumberFormat="0" applyBorder="0" applyAlignment="0" applyProtection="0"/>
    <xf numFmtId="166" fontId="24" fillId="29" borderId="0" applyNumberFormat="0" applyBorder="0" applyAlignment="0" applyProtection="0"/>
    <xf numFmtId="166" fontId="24" fillId="29" borderId="0" applyNumberFormat="0" applyBorder="0" applyAlignment="0" applyProtection="0"/>
    <xf numFmtId="0" fontId="23" fillId="30" borderId="0" applyNumberFormat="0" applyBorder="0" applyAlignment="0" applyProtection="0"/>
    <xf numFmtId="166" fontId="24" fillId="25" borderId="0" applyNumberFormat="0" applyBorder="0" applyAlignment="0" applyProtection="0"/>
    <xf numFmtId="166" fontId="24" fillId="25" borderId="0" applyNumberFormat="0" applyBorder="0" applyAlignment="0" applyProtection="0"/>
    <xf numFmtId="166" fontId="24" fillId="25" borderId="0" applyNumberFormat="0" applyBorder="0" applyAlignment="0" applyProtection="0"/>
    <xf numFmtId="0" fontId="25" fillId="33" borderId="0" applyNumberFormat="0" applyBorder="0" applyAlignment="0" applyProtection="0"/>
    <xf numFmtId="166" fontId="26" fillId="23" borderId="0" applyNumberFormat="0" applyBorder="0" applyAlignment="0" applyProtection="0"/>
    <xf numFmtId="166" fontId="26" fillId="23" borderId="0" applyNumberFormat="0" applyBorder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166" fontId="28" fillId="35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166" fontId="28" fillId="35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166" fontId="28" fillId="35" borderId="8" applyNumberFormat="0" applyAlignment="0" applyProtection="0"/>
    <xf numFmtId="0" fontId="27" fillId="34" borderId="8" applyNumberFormat="0" applyAlignment="0" applyProtection="0"/>
    <xf numFmtId="166" fontId="28" fillId="35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9" fillId="36" borderId="9" applyNumberFormat="0" applyAlignment="0" applyProtection="0"/>
    <xf numFmtId="166" fontId="30" fillId="36" borderId="9" applyNumberFormat="0" applyAlignment="0" applyProtection="0"/>
    <xf numFmtId="166" fontId="30" fillId="36" borderId="9" applyNumberFormat="0" applyAlignment="0" applyProtection="0"/>
    <xf numFmtId="167" fontId="31" fillId="0" borderId="10" applyBorder="0">
      <alignment horizontal="center" vertical="center"/>
    </xf>
    <xf numFmtId="168" fontId="30" fillId="37" borderId="0">
      <alignment horizontal="left"/>
    </xf>
    <xf numFmtId="0" fontId="30" fillId="37" borderId="0">
      <alignment horizontal="left"/>
    </xf>
    <xf numFmtId="166" fontId="30" fillId="37" borderId="0">
      <alignment horizontal="left"/>
    </xf>
    <xf numFmtId="168" fontId="32" fillId="37" borderId="0">
      <alignment horizontal="right"/>
    </xf>
    <xf numFmtId="0" fontId="32" fillId="37" borderId="0">
      <alignment horizontal="right"/>
    </xf>
    <xf numFmtId="166" fontId="32" fillId="37" borderId="0">
      <alignment horizontal="right"/>
    </xf>
    <xf numFmtId="168" fontId="33" fillId="34" borderId="0">
      <alignment horizontal="center"/>
    </xf>
    <xf numFmtId="0" fontId="33" fillId="34" borderId="0">
      <alignment horizontal="center"/>
    </xf>
    <xf numFmtId="166" fontId="33" fillId="34" borderId="0">
      <alignment horizontal="center"/>
    </xf>
    <xf numFmtId="168" fontId="32" fillId="37" borderId="0">
      <alignment horizontal="right"/>
    </xf>
    <xf numFmtId="0" fontId="32" fillId="37" borderId="0">
      <alignment horizontal="right"/>
    </xf>
    <xf numFmtId="166" fontId="32" fillId="37" borderId="0">
      <alignment horizontal="right"/>
    </xf>
    <xf numFmtId="168" fontId="34" fillId="34" borderId="0">
      <alignment horizontal="left"/>
    </xf>
    <xf numFmtId="0" fontId="34" fillId="34" borderId="0">
      <alignment horizontal="left"/>
    </xf>
    <xf numFmtId="166" fontId="34" fillId="34" borderId="0">
      <alignment horizontal="left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37" fontId="13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5" fontId="1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38" borderId="11" applyNumberFormat="0" applyFont="0" applyAlignment="0">
      <protection locked="0"/>
    </xf>
    <xf numFmtId="0" fontId="13" fillId="38" borderId="11" applyNumberFormat="0" applyFont="0" applyAlignment="0">
      <protection locked="0"/>
    </xf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12" fillId="0" borderId="0" applyProtection="0"/>
    <xf numFmtId="166" fontId="12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11" fillId="0" borderId="0" applyProtection="0"/>
    <xf numFmtId="166" fontId="11" fillId="0" borderId="0" applyProtection="0"/>
    <xf numFmtId="166" fontId="11" fillId="0" borderId="0" applyProtection="0"/>
    <xf numFmtId="0" fontId="13" fillId="0" borderId="0" applyProtection="0"/>
    <xf numFmtId="0" fontId="13" fillId="0" borderId="0" applyProtection="0"/>
    <xf numFmtId="166" fontId="13" fillId="0" borderId="0" applyProtection="0"/>
    <xf numFmtId="166" fontId="13" fillId="0" borderId="0" applyProtection="0"/>
    <xf numFmtId="0" fontId="12" fillId="0" borderId="0" applyProtection="0"/>
    <xf numFmtId="166" fontId="12" fillId="0" borderId="0" applyProtection="0"/>
    <xf numFmtId="0" fontId="42" fillId="0" borderId="0" applyProtection="0"/>
    <xf numFmtId="166" fontId="42" fillId="0" borderId="0" applyProtection="0"/>
    <xf numFmtId="2" fontId="18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43" fillId="21" borderId="0" applyNumberFormat="0" applyBorder="0" applyAlignment="0" applyProtection="0"/>
    <xf numFmtId="166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44" fillId="0" borderId="12" applyNumberFormat="0" applyFill="0" applyAlignment="0" applyProtection="0"/>
    <xf numFmtId="166" fontId="45" fillId="0" borderId="13" applyNumberFormat="0" applyFill="0" applyAlignment="0" applyProtection="0"/>
    <xf numFmtId="0" fontId="15" fillId="0" borderId="4" applyNumberFormat="0" applyFill="0" applyAlignment="0" applyProtection="0"/>
    <xf numFmtId="166" fontId="45" fillId="0" borderId="13" applyNumberFormat="0" applyFill="0" applyAlignment="0" applyProtection="0"/>
    <xf numFmtId="0" fontId="46" fillId="0" borderId="14" applyNumberFormat="0" applyFill="0" applyAlignment="0" applyProtection="0"/>
    <xf numFmtId="166" fontId="47" fillId="0" borderId="15" applyNumberFormat="0" applyFill="0" applyAlignment="0" applyProtection="0"/>
    <xf numFmtId="0" fontId="16" fillId="0" borderId="5" applyNumberFormat="0" applyFill="0" applyAlignment="0" applyProtection="0"/>
    <xf numFmtId="166" fontId="47" fillId="0" borderId="15" applyNumberFormat="0" applyFill="0" applyAlignment="0" applyProtection="0"/>
    <xf numFmtId="0" fontId="48" fillId="0" borderId="16" applyNumberFormat="0" applyFill="0" applyAlignment="0" applyProtection="0"/>
    <xf numFmtId="166" fontId="49" fillId="0" borderId="17" applyNumberFormat="0" applyFill="0" applyAlignment="0" applyProtection="0"/>
    <xf numFmtId="166" fontId="49" fillId="0" borderId="17" applyNumberFormat="0" applyFill="0" applyAlignment="0" applyProtection="0"/>
    <xf numFmtId="166" fontId="49" fillId="0" borderId="17" applyNumberFormat="0" applyFill="0" applyAlignment="0" applyProtection="0"/>
    <xf numFmtId="166" fontId="49" fillId="0" borderId="17" applyNumberFormat="0" applyFill="0" applyAlignment="0" applyProtection="0"/>
    <xf numFmtId="166" fontId="49" fillId="0" borderId="17" applyNumberFormat="0" applyFill="0" applyAlignment="0" applyProtection="0"/>
    <xf numFmtId="0" fontId="48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168" fontId="50" fillId="0" borderId="0" applyNumberFormat="0" applyFill="0" applyBorder="0" applyAlignment="0" applyProtection="0">
      <alignment vertical="top"/>
      <protection locked="0"/>
    </xf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166" fontId="52" fillId="20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166" fontId="52" fillId="20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166" fontId="52" fillId="20" borderId="8" applyNumberFormat="0" applyAlignment="0" applyProtection="0"/>
    <xf numFmtId="0" fontId="51" fillId="22" borderId="8" applyNumberFormat="0" applyAlignment="0" applyProtection="0"/>
    <xf numFmtId="166" fontId="52" fillId="20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168" fontId="30" fillId="37" borderId="0">
      <alignment horizontal="left"/>
    </xf>
    <xf numFmtId="0" fontId="30" fillId="37" borderId="0">
      <alignment horizontal="left"/>
    </xf>
    <xf numFmtId="166" fontId="30" fillId="37" borderId="0">
      <alignment horizontal="left"/>
    </xf>
    <xf numFmtId="168" fontId="53" fillId="34" borderId="0">
      <alignment horizontal="left"/>
    </xf>
    <xf numFmtId="0" fontId="53" fillId="34" borderId="0">
      <alignment horizontal="left"/>
    </xf>
    <xf numFmtId="0" fontId="53" fillId="34" borderId="0">
      <alignment horizontal="left"/>
    </xf>
    <xf numFmtId="166" fontId="53" fillId="34" borderId="0">
      <alignment horizontal="left"/>
    </xf>
    <xf numFmtId="0" fontId="54" fillId="0" borderId="18" applyNumberFormat="0" applyFill="0" applyAlignment="0" applyProtection="0"/>
    <xf numFmtId="166" fontId="55" fillId="0" borderId="19" applyNumberFormat="0" applyFill="0" applyAlignment="0" applyProtection="0"/>
    <xf numFmtId="166" fontId="55" fillId="0" borderId="19" applyNumberFormat="0" applyFill="0" applyAlignment="0" applyProtection="0"/>
    <xf numFmtId="0" fontId="56" fillId="22" borderId="0" applyNumberFormat="0" applyBorder="0" applyAlignment="0" applyProtection="0"/>
    <xf numFmtId="166" fontId="57" fillId="22" borderId="0" applyNumberFormat="0" applyBorder="0" applyAlignment="0" applyProtection="0"/>
    <xf numFmtId="166" fontId="57" fillId="22" borderId="0" applyNumberFormat="0" applyBorder="0" applyAlignment="0" applyProtection="0"/>
    <xf numFmtId="168" fontId="13" fillId="0" borderId="0"/>
    <xf numFmtId="0" fontId="13" fillId="0" borderId="0"/>
    <xf numFmtId="166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166" fontId="13" fillId="0" borderId="0"/>
    <xf numFmtId="165" fontId="13" fillId="0" borderId="0"/>
    <xf numFmtId="165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166" fontId="13" fillId="0" borderId="0"/>
    <xf numFmtId="0" fontId="13" fillId="0" borderId="0"/>
    <xf numFmtId="165" fontId="13" fillId="0" borderId="0"/>
    <xf numFmtId="165" fontId="13" fillId="0" borderId="0"/>
    <xf numFmtId="165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166" fontId="13" fillId="0" borderId="0"/>
    <xf numFmtId="0" fontId="13" fillId="0" borderId="0"/>
    <xf numFmtId="0" fontId="22" fillId="0" borderId="0"/>
    <xf numFmtId="171" fontId="13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171" fontId="13" fillId="0" borderId="0"/>
    <xf numFmtId="0" fontId="10" fillId="0" borderId="0"/>
    <xf numFmtId="0" fontId="13" fillId="0" borderId="0"/>
    <xf numFmtId="171" fontId="10" fillId="0" borderId="0"/>
    <xf numFmtId="165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71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71" fontId="10" fillId="0" borderId="0"/>
    <xf numFmtId="171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71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71" fontId="10" fillId="0" borderId="0"/>
    <xf numFmtId="171" fontId="10" fillId="0" borderId="0"/>
    <xf numFmtId="171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71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71" fontId="10" fillId="0" borderId="0"/>
    <xf numFmtId="171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71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71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71" fontId="10" fillId="0" borderId="0"/>
    <xf numFmtId="171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71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71" fontId="10" fillId="0" borderId="0"/>
    <xf numFmtId="171" fontId="10" fillId="0" borderId="0"/>
    <xf numFmtId="171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71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71" fontId="10" fillId="0" borderId="0"/>
    <xf numFmtId="171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71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166" fontId="13" fillId="0" borderId="0"/>
    <xf numFmtId="37" fontId="40" fillId="0" borderId="0"/>
    <xf numFmtId="0" fontId="10" fillId="0" borderId="0"/>
    <xf numFmtId="0" fontId="10" fillId="0" borderId="0"/>
    <xf numFmtId="0" fontId="36" fillId="0" borderId="0"/>
    <xf numFmtId="37" fontId="20" fillId="0" borderId="0"/>
    <xf numFmtId="168" fontId="13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3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3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3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3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9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2" borderId="6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2" borderId="6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10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59" fillId="34" borderId="21" applyNumberFormat="0" applyAlignment="0" applyProtection="0"/>
    <xf numFmtId="0" fontId="59" fillId="34" borderId="21" applyNumberFormat="0" applyAlignment="0" applyProtection="0"/>
    <xf numFmtId="0" fontId="10" fillId="0" borderId="0"/>
    <xf numFmtId="0" fontId="59" fillId="34" borderId="21" applyNumberFormat="0" applyAlignment="0" applyProtection="0"/>
    <xf numFmtId="0" fontId="59" fillId="34" borderId="21" applyNumberFormat="0" applyAlignment="0" applyProtection="0"/>
    <xf numFmtId="0" fontId="59" fillId="34" borderId="21" applyNumberFormat="0" applyAlignment="0" applyProtection="0"/>
    <xf numFmtId="0" fontId="59" fillId="34" borderId="21" applyNumberFormat="0" applyAlignment="0" applyProtection="0"/>
    <xf numFmtId="0" fontId="59" fillId="34" borderId="21" applyNumberFormat="0" applyAlignment="0" applyProtection="0"/>
    <xf numFmtId="0" fontId="10" fillId="0" borderId="0"/>
    <xf numFmtId="0" fontId="10" fillId="0" borderId="0"/>
    <xf numFmtId="0" fontId="10" fillId="0" borderId="0"/>
    <xf numFmtId="172" fontId="60" fillId="34" borderId="0">
      <alignment horizontal="right"/>
    </xf>
    <xf numFmtId="40" fontId="61" fillId="40" borderId="0">
      <alignment horizontal="right"/>
    </xf>
    <xf numFmtId="4" fontId="60" fillId="40" borderId="0">
      <alignment horizontal="right"/>
    </xf>
    <xf numFmtId="0" fontId="10" fillId="0" borderId="0"/>
    <xf numFmtId="40" fontId="61" fillId="40" borderId="0">
      <alignment horizontal="right"/>
    </xf>
    <xf numFmtId="168" fontId="62" fillId="41" borderId="0">
      <alignment horizontal="center"/>
    </xf>
    <xf numFmtId="0" fontId="63" fillId="40" borderId="0">
      <alignment horizontal="right"/>
    </xf>
    <xf numFmtId="0" fontId="10" fillId="0" borderId="0"/>
    <xf numFmtId="0" fontId="62" fillId="40" borderId="0">
      <alignment horizontal="center" vertical="center"/>
    </xf>
    <xf numFmtId="0" fontId="10" fillId="0" borderId="0"/>
    <xf numFmtId="0" fontId="63" fillId="40" borderId="0">
      <alignment horizontal="right"/>
    </xf>
    <xf numFmtId="168" fontId="30" fillId="42" borderId="0"/>
    <xf numFmtId="0" fontId="64" fillId="40" borderId="10"/>
    <xf numFmtId="0" fontId="53" fillId="40" borderId="10"/>
    <xf numFmtId="0" fontId="10" fillId="0" borderId="0"/>
    <xf numFmtId="0" fontId="53" fillId="40" borderId="10"/>
    <xf numFmtId="0" fontId="10" fillId="0" borderId="0"/>
    <xf numFmtId="0" fontId="64" fillId="40" borderId="10"/>
    <xf numFmtId="168" fontId="65" fillId="34" borderId="0" applyBorder="0">
      <alignment horizontal="centerContinuous"/>
    </xf>
    <xf numFmtId="0" fontId="64" fillId="0" borderId="0" applyBorder="0">
      <alignment horizontal="centerContinuous"/>
    </xf>
    <xf numFmtId="0" fontId="10" fillId="0" borderId="0"/>
    <xf numFmtId="0" fontId="62" fillId="40" borderId="0" applyBorder="0">
      <alignment horizontal="centerContinuous"/>
    </xf>
    <xf numFmtId="0" fontId="10" fillId="0" borderId="0"/>
    <xf numFmtId="0" fontId="64" fillId="0" borderId="0" applyBorder="0">
      <alignment horizontal="centerContinuous"/>
    </xf>
    <xf numFmtId="168" fontId="66" fillId="42" borderId="0" applyBorder="0">
      <alignment horizontal="centerContinuous"/>
    </xf>
    <xf numFmtId="0" fontId="67" fillId="0" borderId="0" applyBorder="0">
      <alignment horizontal="centerContinuous"/>
    </xf>
    <xf numFmtId="0" fontId="10" fillId="0" borderId="0"/>
    <xf numFmtId="0" fontId="68" fillId="40" borderId="0" applyBorder="0">
      <alignment horizontal="centerContinuous"/>
    </xf>
    <xf numFmtId="0" fontId="10" fillId="0" borderId="0"/>
    <xf numFmtId="0" fontId="67" fillId="0" borderId="0" applyBorder="0">
      <alignment horizontal="centerContinuous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9" fillId="0" borderId="0" applyNumberFormat="0" applyFont="0" applyFill="0" applyBorder="0" applyAlignment="0" applyProtection="0">
      <alignment horizontal="left"/>
    </xf>
    <xf numFmtId="15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0" fontId="70" fillId="0" borderId="3">
      <alignment horizontal="center"/>
    </xf>
    <xf numFmtId="3" fontId="69" fillId="0" borderId="0" applyFont="0" applyFill="0" applyBorder="0" applyAlignment="0" applyProtection="0"/>
    <xf numFmtId="0" fontId="69" fillId="43" borderId="0" applyNumberFormat="0" applyFont="0" applyBorder="0" applyAlignment="0" applyProtection="0"/>
    <xf numFmtId="168" fontId="53" fillId="22" borderId="0">
      <alignment horizontal="center"/>
    </xf>
    <xf numFmtId="0" fontId="53" fillId="22" borderId="0">
      <alignment horizontal="center"/>
    </xf>
    <xf numFmtId="0" fontId="53" fillId="22" borderId="0">
      <alignment horizontal="center"/>
    </xf>
    <xf numFmtId="0" fontId="10" fillId="0" borderId="0"/>
    <xf numFmtId="49" fontId="71" fillId="34" borderId="0">
      <alignment horizontal="center"/>
    </xf>
    <xf numFmtId="0" fontId="10" fillId="0" borderId="0"/>
    <xf numFmtId="168" fontId="32" fillId="37" borderId="0">
      <alignment horizontal="center"/>
    </xf>
    <xf numFmtId="0" fontId="32" fillId="37" borderId="0">
      <alignment horizontal="center"/>
    </xf>
    <xf numFmtId="0" fontId="10" fillId="0" borderId="0"/>
    <xf numFmtId="168" fontId="32" fillId="37" borderId="0">
      <alignment horizontal="centerContinuous"/>
    </xf>
    <xf numFmtId="0" fontId="32" fillId="37" borderId="0">
      <alignment horizontal="centerContinuous"/>
    </xf>
    <xf numFmtId="0" fontId="10" fillId="0" borderId="0"/>
    <xf numFmtId="168" fontId="72" fillId="34" borderId="0">
      <alignment horizontal="left"/>
    </xf>
    <xf numFmtId="0" fontId="72" fillId="34" borderId="0">
      <alignment horizontal="left"/>
    </xf>
    <xf numFmtId="0" fontId="10" fillId="0" borderId="0"/>
    <xf numFmtId="49" fontId="72" fillId="34" borderId="0">
      <alignment horizontal="center"/>
    </xf>
    <xf numFmtId="0" fontId="10" fillId="0" borderId="0"/>
    <xf numFmtId="168" fontId="30" fillId="37" borderId="0">
      <alignment horizontal="left"/>
    </xf>
    <xf numFmtId="0" fontId="30" fillId="37" borderId="0">
      <alignment horizontal="left"/>
    </xf>
    <xf numFmtId="0" fontId="10" fillId="0" borderId="0"/>
    <xf numFmtId="49" fontId="72" fillId="34" borderId="0">
      <alignment horizontal="left"/>
    </xf>
    <xf numFmtId="0" fontId="10" fillId="0" borderId="0"/>
    <xf numFmtId="168" fontId="30" fillId="37" borderId="0">
      <alignment horizontal="centerContinuous"/>
    </xf>
    <xf numFmtId="0" fontId="30" fillId="37" borderId="0">
      <alignment horizontal="centerContinuous"/>
    </xf>
    <xf numFmtId="0" fontId="10" fillId="0" borderId="0"/>
    <xf numFmtId="168" fontId="30" fillId="37" borderId="0">
      <alignment horizontal="right"/>
    </xf>
    <xf numFmtId="0" fontId="30" fillId="37" borderId="0">
      <alignment horizontal="right"/>
    </xf>
    <xf numFmtId="0" fontId="10" fillId="0" borderId="0"/>
    <xf numFmtId="49" fontId="53" fillId="34" borderId="0">
      <alignment horizontal="left"/>
    </xf>
    <xf numFmtId="49" fontId="53" fillId="34" borderId="0">
      <alignment horizontal="left"/>
    </xf>
    <xf numFmtId="0" fontId="10" fillId="0" borderId="0"/>
    <xf numFmtId="168" fontId="32" fillId="37" borderId="0">
      <alignment horizontal="right"/>
    </xf>
    <xf numFmtId="0" fontId="32" fillId="37" borderId="0">
      <alignment horizontal="right"/>
    </xf>
    <xf numFmtId="0" fontId="10" fillId="0" borderId="0"/>
    <xf numFmtId="168" fontId="72" fillId="20" borderId="0">
      <alignment horizontal="center"/>
    </xf>
    <xf numFmtId="0" fontId="72" fillId="20" borderId="0">
      <alignment horizontal="center"/>
    </xf>
    <xf numFmtId="0" fontId="10" fillId="0" borderId="0"/>
    <xf numFmtId="168" fontId="73" fillId="20" borderId="0">
      <alignment horizontal="center"/>
    </xf>
    <xf numFmtId="0" fontId="73" fillId="20" borderId="0">
      <alignment horizontal="center"/>
    </xf>
    <xf numFmtId="0" fontId="10" fillId="0" borderId="0"/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4" fontId="12" fillId="42" borderId="0" applyNumberFormat="0" applyProtection="0">
      <alignment horizontal="left" vertical="center" indent="1"/>
    </xf>
    <xf numFmtId="4" fontId="12" fillId="42" borderId="0" applyNumberFormat="0" applyProtection="0">
      <alignment horizontal="left" vertical="center" indent="1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2" fillId="49" borderId="0" applyNumberFormat="0" applyProtection="0">
      <alignment horizontal="left" vertical="center" indent="1"/>
    </xf>
    <xf numFmtId="4" fontId="12" fillId="49" borderId="0" applyNumberFormat="0" applyProtection="0">
      <alignment horizontal="left" vertical="center" indent="1"/>
    </xf>
    <xf numFmtId="4" fontId="13" fillId="25" borderId="0" applyNumberFormat="0" applyProtection="0">
      <alignment horizontal="left" vertical="center" indent="1"/>
    </xf>
    <xf numFmtId="4" fontId="13" fillId="25" borderId="0" applyNumberFormat="0" applyProtection="0">
      <alignment horizontal="left" vertical="center" indent="1"/>
    </xf>
    <xf numFmtId="4" fontId="71" fillId="50" borderId="0" applyNumberFormat="0" applyProtection="0">
      <alignment horizontal="left" vertical="center" indent="1"/>
    </xf>
    <xf numFmtId="4" fontId="71" fillId="50" borderId="0" applyNumberFormat="0" applyProtection="0">
      <alignment horizontal="left" vertical="center" indent="1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0" applyNumberFormat="0" applyProtection="0">
      <alignment horizontal="left" vertical="center" indent="1"/>
    </xf>
    <xf numFmtId="4" fontId="13" fillId="25" borderId="0" applyNumberFormat="0" applyProtection="0">
      <alignment horizontal="left" vertical="center" indent="1"/>
    </xf>
    <xf numFmtId="4" fontId="13" fillId="45" borderId="0" applyNumberFormat="0" applyProtection="0">
      <alignment horizontal="left" vertical="center" indent="1"/>
    </xf>
    <xf numFmtId="4" fontId="13" fillId="45" borderId="0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4" fontId="77" fillId="0" borderId="0" applyNumberFormat="0" applyProtection="0">
      <alignment horizontal="left" vertical="center" indent="1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8" fillId="0" borderId="0" applyNumberFormat="0" applyFill="0" applyBorder="0" applyAlignment="0" applyProtection="0"/>
    <xf numFmtId="0" fontId="10" fillId="0" borderId="0"/>
    <xf numFmtId="0" fontId="10" fillId="0" borderId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10" fillId="0" borderId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10" fillId="0" borderId="0"/>
    <xf numFmtId="0" fontId="17" fillId="0" borderId="7" applyNumberFormat="0" applyFill="0" applyAlignment="0" applyProtection="0"/>
    <xf numFmtId="0" fontId="10" fillId="0" borderId="0"/>
    <xf numFmtId="0" fontId="10" fillId="0" borderId="0"/>
    <xf numFmtId="0" fontId="20" fillId="0" borderId="0"/>
    <xf numFmtId="168" fontId="80" fillId="34" borderId="0">
      <alignment horizontal="center"/>
    </xf>
    <xf numFmtId="0" fontId="80" fillId="34" borderId="0">
      <alignment horizontal="center"/>
    </xf>
    <xf numFmtId="0" fontId="10" fillId="0" borderId="0"/>
    <xf numFmtId="0" fontId="5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20" fillId="0" borderId="0" applyFont="0" applyFill="0" applyBorder="0" applyAlignment="0" applyProtection="0"/>
    <xf numFmtId="165" fontId="13" fillId="0" borderId="0"/>
    <xf numFmtId="165" fontId="13" fillId="0" borderId="0"/>
    <xf numFmtId="0" fontId="13" fillId="0" borderId="0"/>
    <xf numFmtId="0" fontId="21" fillId="71" borderId="0" applyNumberFormat="0" applyBorder="0" applyAlignment="0" applyProtection="0"/>
    <xf numFmtId="174" fontId="22" fillId="3" borderId="0" applyNumberFormat="0" applyBorder="0" applyAlignment="0" applyProtection="0"/>
    <xf numFmtId="174" fontId="22" fillId="3" borderId="0" applyNumberFormat="0" applyBorder="0" applyAlignment="0" applyProtection="0"/>
    <xf numFmtId="0" fontId="21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23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0" fontId="21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1" fillId="39" borderId="0" applyNumberFormat="0" applyBorder="0" applyAlignment="0" applyProtection="0"/>
    <xf numFmtId="174" fontId="22" fillId="7" borderId="0" applyNumberFormat="0" applyBorder="0" applyAlignment="0" applyProtection="0"/>
    <xf numFmtId="174" fontId="22" fillId="7" borderId="0" applyNumberFormat="0" applyBorder="0" applyAlignment="0" applyProtection="0"/>
    <xf numFmtId="0" fontId="21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74" fontId="22" fillId="9" borderId="0" applyNumberFormat="0" applyBorder="0" applyAlignment="0" applyProtection="0"/>
    <xf numFmtId="174" fontId="22" fillId="9" borderId="0" applyNumberFormat="0" applyBorder="0" applyAlignment="0" applyProtection="0"/>
    <xf numFmtId="0" fontId="21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21" fillId="21" borderId="0" applyNumberFormat="0" applyBorder="0" applyAlignment="0" applyProtection="0"/>
    <xf numFmtId="174" fontId="22" fillId="11" borderId="0" applyNumberFormat="0" applyBorder="0" applyAlignment="0" applyProtection="0"/>
    <xf numFmtId="174" fontId="22" fillId="11" borderId="0" applyNumberFormat="0" applyBorder="0" applyAlignment="0" applyProtection="0"/>
    <xf numFmtId="0" fontId="21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1" fillId="20" borderId="0" applyNumberFormat="0" applyBorder="0" applyAlignment="0" applyProtection="0"/>
    <xf numFmtId="174" fontId="22" fillId="13" borderId="0" applyNumberFormat="0" applyBorder="0" applyAlignment="0" applyProtection="0"/>
    <xf numFmtId="174" fontId="22" fillId="13" borderId="0" applyNumberFormat="0" applyBorder="0" applyAlignment="0" applyProtection="0"/>
    <xf numFmtId="0" fontId="21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1" fillId="16" borderId="0" applyNumberFormat="0" applyBorder="0" applyAlignment="0" applyProtection="0"/>
    <xf numFmtId="174" fontId="22" fillId="4" borderId="0" applyNumberFormat="0" applyBorder="0" applyAlignment="0" applyProtection="0"/>
    <xf numFmtId="174" fontId="22" fillId="4" borderId="0" applyNumberFormat="0" applyBorder="0" applyAlignment="0" applyProtection="0"/>
    <xf numFmtId="0" fontId="21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17" borderId="0" applyNumberFormat="0" applyBorder="0" applyAlignment="0" applyProtection="0"/>
    <xf numFmtId="174" fontId="22" fillId="6" borderId="0" applyNumberFormat="0" applyBorder="0" applyAlignment="0" applyProtection="0"/>
    <xf numFmtId="174" fontId="22" fillId="6" borderId="0" applyNumberFormat="0" applyBorder="0" applyAlignment="0" applyProtection="0"/>
    <xf numFmtId="0" fontId="21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1" fillId="38" borderId="0" applyNumberFormat="0" applyBorder="0" applyAlignment="0" applyProtection="0"/>
    <xf numFmtId="174" fontId="22" fillId="8" borderId="0" applyNumberFormat="0" applyBorder="0" applyAlignment="0" applyProtection="0"/>
    <xf numFmtId="174" fontId="22" fillId="8" borderId="0" applyNumberFormat="0" applyBorder="0" applyAlignment="0" applyProtection="0"/>
    <xf numFmtId="0" fontId="21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1" fillId="33" borderId="0" applyNumberFormat="0" applyBorder="0" applyAlignment="0" applyProtection="0"/>
    <xf numFmtId="174" fontId="22" fillId="10" borderId="0" applyNumberFormat="0" applyBorder="0" applyAlignment="0" applyProtection="0"/>
    <xf numFmtId="174" fontId="22" fillId="10" borderId="0" applyNumberFormat="0" applyBorder="0" applyAlignment="0" applyProtection="0"/>
    <xf numFmtId="0" fontId="21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1" fillId="16" borderId="0" applyNumberFormat="0" applyBorder="0" applyAlignment="0" applyProtection="0"/>
    <xf numFmtId="174" fontId="22" fillId="12" borderId="0" applyNumberFormat="0" applyBorder="0" applyAlignment="0" applyProtection="0"/>
    <xf numFmtId="174" fontId="22" fillId="12" borderId="0" applyNumberFormat="0" applyBorder="0" applyAlignment="0" applyProtection="0"/>
    <xf numFmtId="0" fontId="21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1" fillId="26" borderId="0" applyNumberFormat="0" applyBorder="0" applyAlignment="0" applyProtection="0"/>
    <xf numFmtId="174" fontId="22" fillId="14" borderId="0" applyNumberFormat="0" applyBorder="0" applyAlignment="0" applyProtection="0"/>
    <xf numFmtId="174" fontId="22" fillId="14" borderId="0" applyNumberFormat="0" applyBorder="0" applyAlignment="0" applyProtection="0"/>
    <xf numFmtId="0" fontId="21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174" fontId="95" fillId="60" borderId="0" applyNumberFormat="0" applyBorder="0" applyAlignment="0" applyProtection="0"/>
    <xf numFmtId="174" fontId="95" fillId="60" borderId="0" applyNumberFormat="0" applyBorder="0" applyAlignment="0" applyProtection="0"/>
    <xf numFmtId="0" fontId="23" fillId="21" borderId="0" applyNumberFormat="0" applyBorder="0" applyAlignment="0" applyProtection="0"/>
    <xf numFmtId="165" fontId="23" fillId="72" borderId="0" applyNumberFormat="0" applyBorder="0" applyAlignment="0" applyProtection="0"/>
    <xf numFmtId="165" fontId="23" fillId="72" borderId="0" applyNumberFormat="0" applyBorder="0" applyAlignment="0" applyProtection="0"/>
    <xf numFmtId="165" fontId="23" fillId="72" borderId="0" applyNumberFormat="0" applyBorder="0" applyAlignment="0" applyProtection="0"/>
    <xf numFmtId="165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74" fontId="95" fillId="62" borderId="0" applyNumberFormat="0" applyBorder="0" applyAlignment="0" applyProtection="0"/>
    <xf numFmtId="174" fontId="95" fillId="62" borderId="0" applyNumberFormat="0" applyBorder="0" applyAlignment="0" applyProtection="0"/>
    <xf numFmtId="0" fontId="23" fillId="25" borderId="0" applyNumberFormat="0" applyBorder="0" applyAlignment="0" applyProtection="0"/>
    <xf numFmtId="165" fontId="23" fillId="17" borderId="0" applyNumberFormat="0" applyBorder="0" applyAlignment="0" applyProtection="0"/>
    <xf numFmtId="165" fontId="23" fillId="17" borderId="0" applyNumberFormat="0" applyBorder="0" applyAlignment="0" applyProtection="0"/>
    <xf numFmtId="165" fontId="23" fillId="17" borderId="0" applyNumberFormat="0" applyBorder="0" applyAlignment="0" applyProtection="0"/>
    <xf numFmtId="165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74" fontId="95" fillId="64" borderId="0" applyNumberFormat="0" applyBorder="0" applyAlignment="0" applyProtection="0"/>
    <xf numFmtId="174" fontId="95" fillId="64" borderId="0" applyNumberFormat="0" applyBorder="0" applyAlignment="0" applyProtection="0"/>
    <xf numFmtId="0" fontId="23" fillId="26" borderId="0" applyNumberFormat="0" applyBorder="0" applyAlignment="0" applyProtection="0"/>
    <xf numFmtId="165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174" fontId="95" fillId="66" borderId="0" applyNumberFormat="0" applyBorder="0" applyAlignment="0" applyProtection="0"/>
    <xf numFmtId="174" fontId="95" fillId="66" borderId="0" applyNumberFormat="0" applyBorder="0" applyAlignment="0" applyProtection="0"/>
    <xf numFmtId="0" fontId="23" fillId="23" borderId="0" applyNumberFormat="0" applyBorder="0" applyAlignment="0" applyProtection="0"/>
    <xf numFmtId="165" fontId="23" fillId="73" borderId="0" applyNumberFormat="0" applyBorder="0" applyAlignment="0" applyProtection="0"/>
    <xf numFmtId="165" fontId="23" fillId="73" borderId="0" applyNumberFormat="0" applyBorder="0" applyAlignment="0" applyProtection="0"/>
    <xf numFmtId="165" fontId="23" fillId="73" borderId="0" applyNumberFormat="0" applyBorder="0" applyAlignment="0" applyProtection="0"/>
    <xf numFmtId="165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174" fontId="95" fillId="68" borderId="0" applyNumberFormat="0" applyBorder="0" applyAlignment="0" applyProtection="0"/>
    <xf numFmtId="174" fontId="95" fillId="68" borderId="0" applyNumberFormat="0" applyBorder="0" applyAlignment="0" applyProtection="0"/>
    <xf numFmtId="0" fontId="23" fillId="21" borderId="0" applyNumberFormat="0" applyBorder="0" applyAlignment="0" applyProtection="0"/>
    <xf numFmtId="165" fontId="23" fillId="29" borderId="0" applyNumberFormat="0" applyBorder="0" applyAlignment="0" applyProtection="0"/>
    <xf numFmtId="165" fontId="23" fillId="29" borderId="0" applyNumberFormat="0" applyBorder="0" applyAlignment="0" applyProtection="0"/>
    <xf numFmtId="165" fontId="23" fillId="29" borderId="0" applyNumberFormat="0" applyBorder="0" applyAlignment="0" applyProtection="0"/>
    <xf numFmtId="165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174" fontId="95" fillId="70" borderId="0" applyNumberFormat="0" applyBorder="0" applyAlignment="0" applyProtection="0"/>
    <xf numFmtId="174" fontId="95" fillId="70" borderId="0" applyNumberFormat="0" applyBorder="0" applyAlignment="0" applyProtection="0"/>
    <xf numFmtId="0" fontId="23" fillId="17" borderId="0" applyNumberFormat="0" applyBorder="0" applyAlignment="0" applyProtection="0"/>
    <xf numFmtId="165" fontId="23" fillId="48" borderId="0" applyNumberFormat="0" applyBorder="0" applyAlignment="0" applyProtection="0"/>
    <xf numFmtId="165" fontId="23" fillId="48" borderId="0" applyNumberFormat="0" applyBorder="0" applyAlignment="0" applyProtection="0"/>
    <xf numFmtId="165" fontId="23" fillId="48" borderId="0" applyNumberFormat="0" applyBorder="0" applyAlignment="0" applyProtection="0"/>
    <xf numFmtId="165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58" fillId="0" borderId="2" applyBorder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174" fontId="95" fillId="59" borderId="0" applyNumberFormat="0" applyBorder="0" applyAlignment="0" applyProtection="0"/>
    <xf numFmtId="174" fontId="95" fillId="59" borderId="0" applyNumberFormat="0" applyBorder="0" applyAlignment="0" applyProtection="0"/>
    <xf numFmtId="0" fontId="23" fillId="28" borderId="0" applyNumberFormat="0" applyBorder="0" applyAlignment="0" applyProtection="0"/>
    <xf numFmtId="165" fontId="23" fillId="74" borderId="0" applyNumberFormat="0" applyBorder="0" applyAlignment="0" applyProtection="0"/>
    <xf numFmtId="165" fontId="23" fillId="74" borderId="0" applyNumberFormat="0" applyBorder="0" applyAlignment="0" applyProtection="0"/>
    <xf numFmtId="165" fontId="23" fillId="74" borderId="0" applyNumberFormat="0" applyBorder="0" applyAlignment="0" applyProtection="0"/>
    <xf numFmtId="165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174" fontId="95" fillId="61" borderId="0" applyNumberFormat="0" applyBorder="0" applyAlignment="0" applyProtection="0"/>
    <xf numFmtId="174" fontId="95" fillId="61" borderId="0" applyNumberFormat="0" applyBorder="0" applyAlignment="0" applyProtection="0"/>
    <xf numFmtId="0" fontId="23" fillId="25" borderId="0" applyNumberFormat="0" applyBorder="0" applyAlignment="0" applyProtection="0"/>
    <xf numFmtId="165" fontId="23" fillId="30" borderId="0" applyNumberFormat="0" applyBorder="0" applyAlignment="0" applyProtection="0"/>
    <xf numFmtId="165" fontId="23" fillId="30" borderId="0" applyNumberFormat="0" applyBorder="0" applyAlignment="0" applyProtection="0"/>
    <xf numFmtId="165" fontId="23" fillId="30" borderId="0" applyNumberFormat="0" applyBorder="0" applyAlignment="0" applyProtection="0"/>
    <xf numFmtId="165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174" fontId="95" fillId="63" borderId="0" applyNumberFormat="0" applyBorder="0" applyAlignment="0" applyProtection="0"/>
    <xf numFmtId="174" fontId="95" fillId="63" borderId="0" applyNumberFormat="0" applyBorder="0" applyAlignment="0" applyProtection="0"/>
    <xf numFmtId="0" fontId="23" fillId="26" borderId="0" applyNumberFormat="0" applyBorder="0" applyAlignment="0" applyProtection="0"/>
    <xf numFmtId="165" fontId="23" fillId="31" borderId="0" applyNumberFormat="0" applyBorder="0" applyAlignment="0" applyProtection="0"/>
    <xf numFmtId="165" fontId="23" fillId="31" borderId="0" applyNumberFormat="0" applyBorder="0" applyAlignment="0" applyProtection="0"/>
    <xf numFmtId="165" fontId="23" fillId="31" borderId="0" applyNumberFormat="0" applyBorder="0" applyAlignment="0" applyProtection="0"/>
    <xf numFmtId="165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174" fontId="95" fillId="65" borderId="0" applyNumberFormat="0" applyBorder="0" applyAlignment="0" applyProtection="0"/>
    <xf numFmtId="174" fontId="95" fillId="65" borderId="0" applyNumberFormat="0" applyBorder="0" applyAlignment="0" applyProtection="0"/>
    <xf numFmtId="0" fontId="23" fillId="32" borderId="0" applyNumberFormat="0" applyBorder="0" applyAlignment="0" applyProtection="0"/>
    <xf numFmtId="165" fontId="23" fillId="73" borderId="0" applyNumberFormat="0" applyBorder="0" applyAlignment="0" applyProtection="0"/>
    <xf numFmtId="165" fontId="23" fillId="73" borderId="0" applyNumberFormat="0" applyBorder="0" applyAlignment="0" applyProtection="0"/>
    <xf numFmtId="165" fontId="23" fillId="73" borderId="0" applyNumberFormat="0" applyBorder="0" applyAlignment="0" applyProtection="0"/>
    <xf numFmtId="165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174" fontId="95" fillId="67" borderId="0" applyNumberFormat="0" applyBorder="0" applyAlignment="0" applyProtection="0"/>
    <xf numFmtId="174" fontId="95" fillId="67" borderId="0" applyNumberFormat="0" applyBorder="0" applyAlignment="0" applyProtection="0"/>
    <xf numFmtId="0" fontId="23" fillId="29" borderId="0" applyNumberFormat="0" applyBorder="0" applyAlignment="0" applyProtection="0"/>
    <xf numFmtId="165" fontId="23" fillId="29" borderId="0" applyNumberFormat="0" applyBorder="0" applyAlignment="0" applyProtection="0"/>
    <xf numFmtId="165" fontId="23" fillId="29" borderId="0" applyNumberFormat="0" applyBorder="0" applyAlignment="0" applyProtection="0"/>
    <xf numFmtId="165" fontId="23" fillId="29" borderId="0" applyNumberFormat="0" applyBorder="0" applyAlignment="0" applyProtection="0"/>
    <xf numFmtId="165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174" fontId="95" fillId="69" borderId="0" applyNumberFormat="0" applyBorder="0" applyAlignment="0" applyProtection="0"/>
    <xf numFmtId="174" fontId="95" fillId="69" borderId="0" applyNumberFormat="0" applyBorder="0" applyAlignment="0" applyProtection="0"/>
    <xf numFmtId="0" fontId="23" fillId="30" borderId="0" applyNumberFormat="0" applyBorder="0" applyAlignment="0" applyProtection="0"/>
    <xf numFmtId="165" fontId="23" fillId="25" borderId="0" applyNumberFormat="0" applyBorder="0" applyAlignment="0" applyProtection="0"/>
    <xf numFmtId="165" fontId="23" fillId="25" borderId="0" applyNumberFormat="0" applyBorder="0" applyAlignment="0" applyProtection="0"/>
    <xf numFmtId="165" fontId="23" fillId="25" borderId="0" applyNumberFormat="0" applyBorder="0" applyAlignment="0" applyProtection="0"/>
    <xf numFmtId="165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174" fontId="96" fillId="54" borderId="0" applyNumberFormat="0" applyBorder="0" applyAlignment="0" applyProtection="0"/>
    <xf numFmtId="174" fontId="96" fillId="54" borderId="0" applyNumberFormat="0" applyBorder="0" applyAlignment="0" applyProtection="0"/>
    <xf numFmtId="0" fontId="25" fillId="33" borderId="0" applyNumberFormat="0" applyBorder="0" applyAlignment="0" applyProtection="0"/>
    <xf numFmtId="165" fontId="25" fillId="23" borderId="0" applyNumberFormat="0" applyBorder="0" applyAlignment="0" applyProtection="0"/>
    <xf numFmtId="165" fontId="25" fillId="23" borderId="0" applyNumberFormat="0" applyBorder="0" applyAlignment="0" applyProtection="0"/>
    <xf numFmtId="165" fontId="25" fillId="23" borderId="0" applyNumberFormat="0" applyBorder="0" applyAlignment="0" applyProtection="0"/>
    <xf numFmtId="165" fontId="25" fillId="23" borderId="0" applyNumberFormat="0" applyBorder="0" applyAlignment="0" applyProtection="0"/>
    <xf numFmtId="165" fontId="25" fillId="23" borderId="0" applyNumberFormat="0" applyBorder="0" applyAlignment="0" applyProtection="0"/>
    <xf numFmtId="0" fontId="25" fillId="23" borderId="0" applyNumberFormat="0" applyBorder="0" applyAlignment="0" applyProtection="0"/>
    <xf numFmtId="164" fontId="97" fillId="0" borderId="26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7" fillId="34" borderId="8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0" fontId="29" fillId="36" borderId="9" applyNumberFormat="0" applyAlignment="0" applyProtection="0"/>
    <xf numFmtId="174" fontId="98" fillId="58" borderId="32" applyNumberFormat="0" applyAlignment="0" applyProtection="0"/>
    <xf numFmtId="174" fontId="98" fillId="58" borderId="32" applyNumberFormat="0" applyAlignment="0" applyProtection="0"/>
    <xf numFmtId="0" fontId="29" fillId="36" borderId="9" applyNumberFormat="0" applyAlignment="0" applyProtection="0"/>
    <xf numFmtId="165" fontId="29" fillId="36" borderId="9" applyNumberFormat="0" applyAlignment="0" applyProtection="0"/>
    <xf numFmtId="165" fontId="29" fillId="36" borderId="9" applyNumberFormat="0" applyAlignment="0" applyProtection="0"/>
    <xf numFmtId="165" fontId="29" fillId="36" borderId="9" applyNumberFormat="0" applyAlignment="0" applyProtection="0"/>
    <xf numFmtId="165" fontId="29" fillId="36" borderId="9" applyNumberFormat="0" applyAlignment="0" applyProtection="0"/>
    <xf numFmtId="165" fontId="29" fillId="36" borderId="9" applyNumberFormat="0" applyAlignment="0" applyProtection="0"/>
    <xf numFmtId="0" fontId="29" fillId="36" borderId="9" applyNumberFormat="0" applyAlignment="0" applyProtection="0"/>
    <xf numFmtId="0" fontId="30" fillId="37" borderId="0">
      <alignment horizontal="left"/>
    </xf>
    <xf numFmtId="168" fontId="30" fillId="37" borderId="0">
      <alignment horizontal="left"/>
    </xf>
    <xf numFmtId="0" fontId="32" fillId="37" borderId="0">
      <alignment horizontal="right"/>
    </xf>
    <xf numFmtId="168" fontId="32" fillId="37" borderId="0">
      <alignment horizontal="right"/>
    </xf>
    <xf numFmtId="0" fontId="33" fillId="34" borderId="0">
      <alignment horizontal="center"/>
    </xf>
    <xf numFmtId="168" fontId="33" fillId="34" borderId="0">
      <alignment horizontal="center"/>
    </xf>
    <xf numFmtId="0" fontId="32" fillId="37" borderId="0">
      <alignment horizontal="right"/>
    </xf>
    <xf numFmtId="168" fontId="32" fillId="37" borderId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75" borderId="0"/>
    <xf numFmtId="3" fontId="13" fillId="75" borderId="0"/>
    <xf numFmtId="3" fontId="13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75" borderId="0"/>
    <xf numFmtId="3" fontId="13" fillId="75" borderId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00" fillId="0" borderId="0"/>
    <xf numFmtId="0" fontId="100" fillId="0" borderId="33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4" fontId="101" fillId="0" borderId="0" applyNumberFormat="0" applyFill="0" applyBorder="0" applyAlignment="0" applyProtection="0"/>
    <xf numFmtId="174" fontId="10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174" fontId="12" fillId="0" borderId="0" applyProtection="0"/>
    <xf numFmtId="174" fontId="12" fillId="0" borderId="0" applyProtection="0"/>
    <xf numFmtId="0" fontId="12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74" fontId="40" fillId="0" borderId="0" applyProtection="0"/>
    <xf numFmtId="174" fontId="40" fillId="0" borderId="0" applyProtection="0"/>
    <xf numFmtId="0" fontId="40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174" fontId="41" fillId="0" borderId="0" applyProtection="0"/>
    <xf numFmtId="174" fontId="41" fillId="0" borderId="0" applyProtection="0"/>
    <xf numFmtId="0" fontId="4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174" fontId="11" fillId="0" borderId="0" applyProtection="0"/>
    <xf numFmtId="174" fontId="11" fillId="0" borderId="0" applyProtection="0"/>
    <xf numFmtId="0" fontId="11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174" fontId="13" fillId="0" borderId="0" applyProtection="0"/>
    <xf numFmtId="174" fontId="13" fillId="0" borderId="0" applyProtection="0"/>
    <xf numFmtId="0" fontId="13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174" fontId="12" fillId="0" borderId="0" applyProtection="0"/>
    <xf numFmtId="174" fontId="12" fillId="0" borderId="0" applyProtection="0"/>
    <xf numFmtId="0" fontId="1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174" fontId="42" fillId="0" borderId="0" applyProtection="0"/>
    <xf numFmtId="174" fontId="42" fillId="0" borderId="0" applyProtection="0"/>
    <xf numFmtId="0" fontId="42" fillId="0" borderId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174" fontId="102" fillId="53" borderId="0" applyNumberFormat="0" applyBorder="0" applyAlignment="0" applyProtection="0"/>
    <xf numFmtId="174" fontId="102" fillId="53" borderId="0" applyNumberFormat="0" applyBorder="0" applyAlignment="0" applyProtection="0"/>
    <xf numFmtId="0" fontId="43" fillId="21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174" fontId="104" fillId="0" borderId="4" applyNumberFormat="0" applyFill="0" applyAlignment="0" applyProtection="0"/>
    <xf numFmtId="174" fontId="104" fillId="0" borderId="4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6" fillId="0" borderId="0" applyNumberFormat="0" applyFon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5" fontId="103" fillId="0" borderId="34" applyNumberFormat="0" applyFill="0" applyAlignment="0" applyProtection="0"/>
    <xf numFmtId="165" fontId="103" fillId="0" borderId="34" applyNumberFormat="0" applyFill="0" applyAlignment="0" applyProtection="0"/>
    <xf numFmtId="165" fontId="103" fillId="0" borderId="34" applyNumberFormat="0" applyFill="0" applyAlignment="0" applyProtection="0"/>
    <xf numFmtId="165" fontId="103" fillId="0" borderId="34" applyNumberFormat="0" applyFill="0" applyAlignment="0" applyProtection="0"/>
    <xf numFmtId="165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174" fontId="108" fillId="0" borderId="5" applyNumberFormat="0" applyFill="0" applyAlignment="0" applyProtection="0"/>
    <xf numFmtId="174" fontId="10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1" fillId="0" borderId="0" applyNumberFormat="0" applyFon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07" fillId="0" borderId="35" applyNumberFormat="0" applyFill="0" applyAlignment="0" applyProtection="0"/>
    <xf numFmtId="165" fontId="107" fillId="0" borderId="35" applyNumberFormat="0" applyFill="0" applyAlignment="0" applyProtection="0"/>
    <xf numFmtId="165" fontId="107" fillId="0" borderId="35" applyNumberFormat="0" applyFill="0" applyAlignment="0" applyProtection="0"/>
    <xf numFmtId="165" fontId="107" fillId="0" borderId="35" applyNumberFormat="0" applyFill="0" applyAlignment="0" applyProtection="0"/>
    <xf numFmtId="165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174" fontId="110" fillId="0" borderId="28" applyNumberFormat="0" applyFill="0" applyAlignment="0" applyProtection="0"/>
    <xf numFmtId="174" fontId="110" fillId="0" borderId="28" applyNumberFormat="0" applyFill="0" applyAlignment="0" applyProtection="0"/>
    <xf numFmtId="0" fontId="48" fillId="0" borderId="16" applyNumberFormat="0" applyFill="0" applyAlignment="0" applyProtection="0"/>
    <xf numFmtId="165" fontId="109" fillId="0" borderId="36" applyNumberFormat="0" applyFill="0" applyAlignment="0" applyProtection="0"/>
    <xf numFmtId="165" fontId="109" fillId="0" borderId="36" applyNumberFormat="0" applyFill="0" applyAlignment="0" applyProtection="0"/>
    <xf numFmtId="165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4" fontId="110" fillId="0" borderId="0" applyNumberFormat="0" applyFill="0" applyBorder="0" applyAlignment="0" applyProtection="0"/>
    <xf numFmtId="174" fontId="1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111" fillId="41" borderId="33"/>
    <xf numFmtId="0" fontId="30" fillId="37" borderId="0">
      <alignment horizontal="left"/>
    </xf>
    <xf numFmtId="168" fontId="30" fillId="37" borderId="0">
      <alignment horizontal="left"/>
    </xf>
    <xf numFmtId="0" fontId="53" fillId="34" borderId="0">
      <alignment horizontal="left"/>
    </xf>
    <xf numFmtId="168" fontId="53" fillId="34" borderId="0">
      <alignment horizontal="left"/>
    </xf>
    <xf numFmtId="0" fontId="112" fillId="0" borderId="19" applyNumberFormat="0" applyFill="0" applyAlignment="0" applyProtection="0"/>
    <xf numFmtId="0" fontId="112" fillId="0" borderId="19" applyNumberFormat="0" applyFill="0" applyAlignment="0" applyProtection="0"/>
    <xf numFmtId="0" fontId="112" fillId="0" borderId="19" applyNumberFormat="0" applyFill="0" applyAlignment="0" applyProtection="0"/>
    <xf numFmtId="0" fontId="112" fillId="0" borderId="19" applyNumberFormat="0" applyFill="0" applyAlignment="0" applyProtection="0"/>
    <xf numFmtId="0" fontId="112" fillId="0" borderId="19" applyNumberFormat="0" applyFill="0" applyAlignment="0" applyProtection="0"/>
    <xf numFmtId="174" fontId="113" fillId="0" borderId="31" applyNumberFormat="0" applyFill="0" applyAlignment="0" applyProtection="0"/>
    <xf numFmtId="174" fontId="113" fillId="0" borderId="31" applyNumberFormat="0" applyFill="0" applyAlignment="0" applyProtection="0"/>
    <xf numFmtId="0" fontId="54" fillId="0" borderId="18" applyNumberFormat="0" applyFill="0" applyAlignment="0" applyProtection="0"/>
    <xf numFmtId="165" fontId="112" fillId="0" borderId="19" applyNumberFormat="0" applyFill="0" applyAlignment="0" applyProtection="0"/>
    <xf numFmtId="165" fontId="112" fillId="0" borderId="19" applyNumberFormat="0" applyFill="0" applyAlignment="0" applyProtection="0"/>
    <xf numFmtId="165" fontId="112" fillId="0" borderId="19" applyNumberFormat="0" applyFill="0" applyAlignment="0" applyProtection="0"/>
    <xf numFmtId="165" fontId="112" fillId="0" borderId="19" applyNumberFormat="0" applyFill="0" applyAlignment="0" applyProtection="0"/>
    <xf numFmtId="165" fontId="112" fillId="0" borderId="19" applyNumberFormat="0" applyFill="0" applyAlignment="0" applyProtection="0"/>
    <xf numFmtId="0" fontId="112" fillId="0" borderId="19" applyNumberFormat="0" applyFill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14" fillId="22" borderId="0" applyNumberFormat="0" applyBorder="0" applyAlignment="0" applyProtection="0"/>
    <xf numFmtId="0" fontId="114" fillId="22" borderId="0" applyNumberFormat="0" applyBorder="0" applyAlignment="0" applyProtection="0"/>
    <xf numFmtId="0" fontId="114" fillId="22" borderId="0" applyNumberFormat="0" applyBorder="0" applyAlignment="0" applyProtection="0"/>
    <xf numFmtId="0" fontId="114" fillId="22" borderId="0" applyNumberFormat="0" applyBorder="0" applyAlignment="0" applyProtection="0"/>
    <xf numFmtId="0" fontId="114" fillId="22" borderId="0" applyNumberFormat="0" applyBorder="0" applyAlignment="0" applyProtection="0"/>
    <xf numFmtId="174" fontId="115" fillId="55" borderId="0" applyNumberFormat="0" applyBorder="0" applyAlignment="0" applyProtection="0"/>
    <xf numFmtId="174" fontId="115" fillId="55" borderId="0" applyNumberFormat="0" applyBorder="0" applyAlignment="0" applyProtection="0"/>
    <xf numFmtId="0" fontId="56" fillId="22" borderId="0" applyNumberFormat="0" applyBorder="0" applyAlignment="0" applyProtection="0"/>
    <xf numFmtId="165" fontId="114" fillId="22" borderId="0" applyNumberFormat="0" applyBorder="0" applyAlignment="0" applyProtection="0"/>
    <xf numFmtId="165" fontId="114" fillId="22" borderId="0" applyNumberFormat="0" applyBorder="0" applyAlignment="0" applyProtection="0"/>
    <xf numFmtId="165" fontId="114" fillId="22" borderId="0" applyNumberFormat="0" applyBorder="0" applyAlignment="0" applyProtection="0"/>
    <xf numFmtId="165" fontId="114" fillId="22" borderId="0" applyNumberFormat="0" applyBorder="0" applyAlignment="0" applyProtection="0"/>
    <xf numFmtId="165" fontId="114" fillId="22" borderId="0" applyNumberFormat="0" applyBorder="0" applyAlignment="0" applyProtection="0"/>
    <xf numFmtId="0" fontId="114" fillId="22" borderId="0" applyNumberFormat="0" applyBorder="0" applyAlignment="0" applyProtection="0"/>
    <xf numFmtId="180" fontId="1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3" fillId="0" borderId="0"/>
    <xf numFmtId="0" fontId="13" fillId="0" borderId="0"/>
    <xf numFmtId="168" fontId="13" fillId="0" borderId="0"/>
    <xf numFmtId="165" fontId="13" fillId="0" borderId="0"/>
    <xf numFmtId="0" fontId="13" fillId="0" borderId="0"/>
    <xf numFmtId="165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65" fontId="13" fillId="0" borderId="0"/>
    <xf numFmtId="165" fontId="13" fillId="0" borderId="0"/>
    <xf numFmtId="174" fontId="13" fillId="0" borderId="0"/>
    <xf numFmtId="174" fontId="13" fillId="0" borderId="0"/>
    <xf numFmtId="0" fontId="37" fillId="0" borderId="0"/>
    <xf numFmtId="0" fontId="99" fillId="0" borderId="0"/>
    <xf numFmtId="0" fontId="99" fillId="0" borderId="0"/>
    <xf numFmtId="0" fontId="99" fillId="0" borderId="0"/>
    <xf numFmtId="168" fontId="13" fillId="0" borderId="0"/>
    <xf numFmtId="0" fontId="99" fillId="0" borderId="0"/>
    <xf numFmtId="41" fontId="37" fillId="0" borderId="0"/>
    <xf numFmtId="0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9" fillId="0" borderId="0"/>
    <xf numFmtId="0" fontId="99" fillId="0" borderId="0"/>
    <xf numFmtId="165" fontId="13" fillId="0" borderId="0"/>
    <xf numFmtId="0" fontId="13" fillId="0" borderId="0"/>
    <xf numFmtId="165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65" fontId="13" fillId="0" borderId="0"/>
    <xf numFmtId="0" fontId="13" fillId="0" borderId="0"/>
    <xf numFmtId="165" fontId="13" fillId="0" borderId="0"/>
    <xf numFmtId="165" fontId="13" fillId="0" borderId="0"/>
    <xf numFmtId="165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65" fontId="13" fillId="0" borderId="0"/>
    <xf numFmtId="168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/>
    <xf numFmtId="165" fontId="69" fillId="0" borderId="0"/>
    <xf numFmtId="165" fontId="69" fillId="0" borderId="0"/>
    <xf numFmtId="165" fontId="69" fillId="0" borderId="0"/>
    <xf numFmtId="165" fontId="69" fillId="0" borderId="0"/>
    <xf numFmtId="174" fontId="22" fillId="0" borderId="0"/>
    <xf numFmtId="174" fontId="22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/>
    <xf numFmtId="0" fontId="37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/>
    <xf numFmtId="165" fontId="13" fillId="0" borderId="0"/>
    <xf numFmtId="0" fontId="22" fillId="0" borderId="0"/>
    <xf numFmtId="165" fontId="13" fillId="0" borderId="0"/>
    <xf numFmtId="165" fontId="69" fillId="0" borderId="0"/>
    <xf numFmtId="165" fontId="69" fillId="0" borderId="0"/>
    <xf numFmtId="165" fontId="69" fillId="0" borderId="0"/>
    <xf numFmtId="165" fontId="6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37" fontId="20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37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9" fillId="0" borderId="0"/>
    <xf numFmtId="0" fontId="9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9" fillId="0" borderId="0"/>
    <xf numFmtId="37" fontId="20" fillId="0" borderId="0"/>
    <xf numFmtId="37" fontId="20" fillId="0" borderId="0"/>
    <xf numFmtId="0" fontId="13" fillId="0" borderId="0"/>
    <xf numFmtId="0" fontId="13" fillId="0" borderId="0"/>
    <xf numFmtId="0" fontId="99" fillId="0" borderId="0"/>
    <xf numFmtId="0" fontId="99" fillId="0" borderId="0"/>
    <xf numFmtId="0" fontId="99" fillId="0" borderId="0"/>
    <xf numFmtId="37" fontId="20" fillId="0" borderId="0"/>
    <xf numFmtId="0" fontId="9" fillId="0" borderId="0"/>
    <xf numFmtId="0" fontId="13" fillId="0" borderId="0"/>
    <xf numFmtId="37" fontId="20" fillId="0" borderId="0"/>
    <xf numFmtId="0" fontId="9" fillId="0" borderId="0"/>
    <xf numFmtId="0" fontId="9" fillId="0" borderId="0"/>
    <xf numFmtId="0" fontId="9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37" fillId="18" borderId="20" applyNumberFormat="0" applyFont="0" applyAlignment="0" applyProtection="0"/>
    <xf numFmtId="0" fontId="9" fillId="2" borderId="6" applyNumberFormat="0" applyFont="0" applyAlignment="0" applyProtection="0"/>
    <xf numFmtId="0" fontId="37" fillId="18" borderId="20" applyNumberFormat="0" applyFont="0" applyAlignment="0" applyProtection="0"/>
    <xf numFmtId="0" fontId="9" fillId="2" borderId="6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37" fillId="18" borderId="20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37" fillId="18" borderId="20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59" fillId="19" borderId="21" applyNumberFormat="0" applyAlignment="0" applyProtection="0"/>
    <xf numFmtId="0" fontId="59" fillId="19" borderId="21" applyNumberFormat="0" applyAlignment="0" applyProtection="0"/>
    <xf numFmtId="0" fontId="59" fillId="19" borderId="21" applyNumberFormat="0" applyAlignment="0" applyProtection="0"/>
    <xf numFmtId="0" fontId="59" fillId="19" borderId="21" applyNumberFormat="0" applyAlignment="0" applyProtection="0"/>
    <xf numFmtId="0" fontId="59" fillId="19" borderId="21" applyNumberFormat="0" applyAlignment="0" applyProtection="0"/>
    <xf numFmtId="174" fontId="116" fillId="57" borderId="30" applyNumberFormat="0" applyAlignment="0" applyProtection="0"/>
    <xf numFmtId="174" fontId="116" fillId="57" borderId="30" applyNumberFormat="0" applyAlignment="0" applyProtection="0"/>
    <xf numFmtId="0" fontId="59" fillId="34" borderId="21" applyNumberFormat="0" applyAlignment="0" applyProtection="0"/>
    <xf numFmtId="0" fontId="59" fillId="34" borderId="21" applyNumberFormat="0" applyAlignment="0" applyProtection="0"/>
    <xf numFmtId="0" fontId="59" fillId="34" borderId="21" applyNumberFormat="0" applyAlignment="0" applyProtection="0"/>
    <xf numFmtId="0" fontId="59" fillId="34" borderId="21" applyNumberFormat="0" applyAlignment="0" applyProtection="0"/>
    <xf numFmtId="0" fontId="59" fillId="34" borderId="21" applyNumberFormat="0" applyAlignment="0" applyProtection="0"/>
    <xf numFmtId="165" fontId="59" fillId="19" borderId="21" applyNumberFormat="0" applyAlignment="0" applyProtection="0"/>
    <xf numFmtId="165" fontId="59" fillId="19" borderId="21" applyNumberFormat="0" applyAlignment="0" applyProtection="0"/>
    <xf numFmtId="165" fontId="59" fillId="19" borderId="21" applyNumberFormat="0" applyAlignment="0" applyProtection="0"/>
    <xf numFmtId="165" fontId="59" fillId="19" borderId="21" applyNumberFormat="0" applyAlignment="0" applyProtection="0"/>
    <xf numFmtId="165" fontId="59" fillId="19" borderId="21" applyNumberFormat="0" applyAlignment="0" applyProtection="0"/>
    <xf numFmtId="0" fontId="59" fillId="19" borderId="21" applyNumberFormat="0" applyAlignment="0" applyProtection="0"/>
    <xf numFmtId="172" fontId="60" fillId="34" borderId="0">
      <alignment horizontal="right"/>
    </xf>
    <xf numFmtId="40" fontId="61" fillId="40" borderId="0">
      <alignment horizontal="right"/>
    </xf>
    <xf numFmtId="172" fontId="60" fillId="34" borderId="0">
      <alignment horizontal="right"/>
    </xf>
    <xf numFmtId="172" fontId="60" fillId="34" borderId="0">
      <alignment horizontal="right"/>
    </xf>
    <xf numFmtId="4" fontId="60" fillId="40" borderId="0">
      <alignment horizontal="right"/>
    </xf>
    <xf numFmtId="40" fontId="61" fillId="40" borderId="0">
      <alignment horizontal="right"/>
    </xf>
    <xf numFmtId="40" fontId="61" fillId="40" borderId="0">
      <alignment horizontal="right"/>
    </xf>
    <xf numFmtId="4" fontId="60" fillId="40" borderId="0">
      <alignment horizontal="right"/>
    </xf>
    <xf numFmtId="4" fontId="60" fillId="40" borderId="0">
      <alignment horizontal="right"/>
    </xf>
    <xf numFmtId="4" fontId="60" fillId="40" borderId="0">
      <alignment horizontal="right"/>
    </xf>
    <xf numFmtId="172" fontId="60" fillId="34" borderId="0">
      <alignment horizontal="right"/>
    </xf>
    <xf numFmtId="4" fontId="60" fillId="40" borderId="0">
      <alignment horizontal="right"/>
    </xf>
    <xf numFmtId="4" fontId="60" fillId="40" borderId="0">
      <alignment horizontal="right"/>
    </xf>
    <xf numFmtId="4" fontId="60" fillId="40" borderId="0">
      <alignment horizontal="right"/>
    </xf>
    <xf numFmtId="4" fontId="60" fillId="40" borderId="0">
      <alignment horizontal="right"/>
    </xf>
    <xf numFmtId="4" fontId="60" fillId="40" borderId="0">
      <alignment horizontal="right"/>
    </xf>
    <xf numFmtId="4" fontId="60" fillId="40" borderId="0">
      <alignment horizontal="right"/>
    </xf>
    <xf numFmtId="4" fontId="60" fillId="40" borderId="0">
      <alignment horizontal="right"/>
    </xf>
    <xf numFmtId="172" fontId="60" fillId="34" borderId="0">
      <alignment horizontal="right"/>
    </xf>
    <xf numFmtId="172" fontId="60" fillId="34" borderId="0">
      <alignment horizontal="right"/>
    </xf>
    <xf numFmtId="172" fontId="60" fillId="34" borderId="0">
      <alignment horizontal="right"/>
    </xf>
    <xf numFmtId="172" fontId="60" fillId="34" borderId="0">
      <alignment horizontal="right"/>
    </xf>
    <xf numFmtId="172" fontId="60" fillId="34" borderId="0">
      <alignment horizontal="right"/>
    </xf>
    <xf numFmtId="0" fontId="62" fillId="41" borderId="0">
      <alignment horizontal="center"/>
    </xf>
    <xf numFmtId="0" fontId="62" fillId="41" borderId="0">
      <alignment horizontal="center"/>
    </xf>
    <xf numFmtId="168" fontId="62" fillId="41" borderId="0">
      <alignment horizontal="center"/>
    </xf>
    <xf numFmtId="0" fontId="62" fillId="41" borderId="0">
      <alignment horizontal="center"/>
    </xf>
    <xf numFmtId="0" fontId="63" fillId="40" borderId="0">
      <alignment horizontal="right"/>
    </xf>
    <xf numFmtId="0" fontId="63" fillId="40" borderId="0">
      <alignment horizontal="right"/>
    </xf>
    <xf numFmtId="0" fontId="63" fillId="40" borderId="0">
      <alignment horizontal="right"/>
    </xf>
    <xf numFmtId="0" fontId="63" fillId="40" borderId="0">
      <alignment horizontal="right"/>
    </xf>
    <xf numFmtId="0" fontId="63" fillId="40" borderId="0">
      <alignment horizontal="right"/>
    </xf>
    <xf numFmtId="0" fontId="62" fillId="41" borderId="0">
      <alignment horizontal="center"/>
    </xf>
    <xf numFmtId="0" fontId="63" fillId="40" borderId="0">
      <alignment horizontal="right"/>
    </xf>
    <xf numFmtId="0" fontId="63" fillId="40" borderId="0">
      <alignment horizontal="right"/>
    </xf>
    <xf numFmtId="0" fontId="62" fillId="40" borderId="0">
      <alignment horizontal="center" vertical="center"/>
    </xf>
    <xf numFmtId="0" fontId="62" fillId="40" borderId="0">
      <alignment horizontal="center" vertical="center"/>
    </xf>
    <xf numFmtId="0" fontId="62" fillId="40" borderId="0">
      <alignment horizontal="center" vertical="center"/>
    </xf>
    <xf numFmtId="174" fontId="62" fillId="40" borderId="0">
      <alignment horizontal="center" vertical="center"/>
    </xf>
    <xf numFmtId="174" fontId="62" fillId="40" borderId="0">
      <alignment horizontal="center" vertical="center"/>
    </xf>
    <xf numFmtId="0" fontId="30" fillId="42" borderId="0"/>
    <xf numFmtId="0" fontId="30" fillId="42" borderId="0"/>
    <xf numFmtId="168" fontId="30" fillId="42" borderId="0"/>
    <xf numFmtId="165" fontId="64" fillId="40" borderId="10"/>
    <xf numFmtId="0" fontId="53" fillId="40" borderId="10"/>
    <xf numFmtId="0" fontId="30" fillId="42" borderId="0"/>
    <xf numFmtId="0" fontId="64" fillId="40" borderId="10"/>
    <xf numFmtId="0" fontId="64" fillId="40" borderId="10"/>
    <xf numFmtId="0" fontId="64" fillId="40" borderId="10"/>
    <xf numFmtId="0" fontId="64" fillId="40" borderId="10"/>
    <xf numFmtId="0" fontId="64" fillId="40" borderId="10"/>
    <xf numFmtId="0" fontId="30" fillId="42" borderId="0"/>
    <xf numFmtId="165" fontId="64" fillId="40" borderId="10"/>
    <xf numFmtId="0" fontId="64" fillId="40" borderId="10"/>
    <xf numFmtId="0" fontId="64" fillId="40" borderId="10"/>
    <xf numFmtId="0" fontId="53" fillId="40" borderId="10"/>
    <xf numFmtId="0" fontId="53" fillId="40" borderId="10"/>
    <xf numFmtId="0" fontId="53" fillId="40" borderId="10"/>
    <xf numFmtId="174" fontId="53" fillId="40" borderId="10"/>
    <xf numFmtId="174" fontId="53" fillId="40" borderId="10"/>
    <xf numFmtId="0" fontId="65" fillId="34" borderId="0" applyBorder="0">
      <alignment horizontal="centerContinuous"/>
    </xf>
    <xf numFmtId="0" fontId="65" fillId="34" borderId="0" applyBorder="0">
      <alignment horizontal="centerContinuous"/>
    </xf>
    <xf numFmtId="168" fontId="65" fillId="34" borderId="0" applyBorder="0">
      <alignment horizontal="centerContinuous"/>
    </xf>
    <xf numFmtId="0" fontId="65" fillId="34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5" fillId="34" borderId="0" applyBorder="0">
      <alignment horizontal="centerContinuous"/>
    </xf>
    <xf numFmtId="0" fontId="64" fillId="0" borderId="0" applyBorder="0">
      <alignment horizontal="centerContinuous"/>
    </xf>
    <xf numFmtId="0" fontId="64" fillId="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174" fontId="62" fillId="40" borderId="0" applyBorder="0">
      <alignment horizontal="centerContinuous"/>
    </xf>
    <xf numFmtId="174" fontId="62" fillId="40" borderId="0" applyBorder="0">
      <alignment horizontal="centerContinuous"/>
    </xf>
    <xf numFmtId="0" fontId="66" fillId="42" borderId="0" applyBorder="0">
      <alignment horizontal="centerContinuous"/>
    </xf>
    <xf numFmtId="0" fontId="66" fillId="42" borderId="0" applyBorder="0">
      <alignment horizontal="centerContinuous"/>
    </xf>
    <xf numFmtId="168" fontId="66" fillId="42" borderId="0" applyBorder="0">
      <alignment horizontal="centerContinuous"/>
    </xf>
    <xf numFmtId="0" fontId="117" fillId="42" borderId="0" applyBorder="0">
      <alignment horizontal="centerContinuous"/>
    </xf>
    <xf numFmtId="0" fontId="66" fillId="42" borderId="0" applyBorder="0">
      <alignment horizontal="centerContinuous"/>
    </xf>
    <xf numFmtId="0" fontId="67" fillId="0" borderId="0" applyBorder="0">
      <alignment horizontal="centerContinuous"/>
    </xf>
    <xf numFmtId="0" fontId="67" fillId="0" borderId="0" applyBorder="0">
      <alignment horizontal="centerContinuous"/>
    </xf>
    <xf numFmtId="0" fontId="67" fillId="0" borderId="0" applyBorder="0">
      <alignment horizontal="centerContinuous"/>
    </xf>
    <xf numFmtId="0" fontId="67" fillId="0" borderId="0" applyBorder="0">
      <alignment horizontal="centerContinuous"/>
    </xf>
    <xf numFmtId="0" fontId="67" fillId="0" borderId="0" applyBorder="0">
      <alignment horizontal="centerContinuous"/>
    </xf>
    <xf numFmtId="0" fontId="66" fillId="42" borderId="0" applyBorder="0">
      <alignment horizontal="centerContinuous"/>
    </xf>
    <xf numFmtId="0" fontId="67" fillId="0" borderId="0" applyBorder="0">
      <alignment horizontal="centerContinuous"/>
    </xf>
    <xf numFmtId="0" fontId="67" fillId="0" borderId="0" applyBorder="0">
      <alignment horizontal="centerContinuous"/>
    </xf>
    <xf numFmtId="0" fontId="68" fillId="40" borderId="0" applyBorder="0">
      <alignment horizontal="centerContinuous"/>
    </xf>
    <xf numFmtId="0" fontId="68" fillId="40" borderId="0" applyBorder="0">
      <alignment horizontal="centerContinuous"/>
    </xf>
    <xf numFmtId="0" fontId="68" fillId="40" borderId="0" applyBorder="0">
      <alignment horizontal="centerContinuous"/>
    </xf>
    <xf numFmtId="174" fontId="68" fillId="40" borderId="0" applyBorder="0">
      <alignment horizontal="centerContinuous"/>
    </xf>
    <xf numFmtId="174" fontId="68" fillId="40" borderId="0" applyBorder="0">
      <alignment horizontal="centerContinuous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3" fillId="22" borderId="0">
      <alignment horizontal="center"/>
    </xf>
    <xf numFmtId="168" fontId="53" fillId="22" borderId="0">
      <alignment horizontal="center"/>
    </xf>
    <xf numFmtId="49" fontId="71" fillId="34" borderId="0">
      <alignment horizontal="center"/>
    </xf>
    <xf numFmtId="0" fontId="100" fillId="0" borderId="0"/>
    <xf numFmtId="0" fontId="32" fillId="37" borderId="0">
      <alignment horizontal="center"/>
    </xf>
    <xf numFmtId="168" fontId="32" fillId="37" borderId="0">
      <alignment horizontal="center"/>
    </xf>
    <xf numFmtId="0" fontId="32" fillId="37" borderId="0">
      <alignment horizontal="centerContinuous"/>
    </xf>
    <xf numFmtId="168" fontId="32" fillId="37" borderId="0">
      <alignment horizontal="centerContinuous"/>
    </xf>
    <xf numFmtId="0" fontId="72" fillId="34" borderId="0">
      <alignment horizontal="left"/>
    </xf>
    <xf numFmtId="168" fontId="72" fillId="34" borderId="0">
      <alignment horizontal="left"/>
    </xf>
    <xf numFmtId="49" fontId="72" fillId="34" borderId="0">
      <alignment horizontal="center"/>
    </xf>
    <xf numFmtId="0" fontId="30" fillId="37" borderId="0">
      <alignment horizontal="left"/>
    </xf>
    <xf numFmtId="168" fontId="30" fillId="37" borderId="0">
      <alignment horizontal="left"/>
    </xf>
    <xf numFmtId="49" fontId="72" fillId="34" borderId="0">
      <alignment horizontal="left"/>
    </xf>
    <xf numFmtId="0" fontId="30" fillId="37" borderId="0">
      <alignment horizontal="centerContinuous"/>
    </xf>
    <xf numFmtId="168" fontId="30" fillId="37" borderId="0">
      <alignment horizontal="centerContinuous"/>
    </xf>
    <xf numFmtId="0" fontId="30" fillId="37" borderId="0">
      <alignment horizontal="right"/>
    </xf>
    <xf numFmtId="168" fontId="30" fillId="37" borderId="0">
      <alignment horizontal="right"/>
    </xf>
    <xf numFmtId="49" fontId="53" fillId="34" borderId="0">
      <alignment horizontal="left"/>
    </xf>
    <xf numFmtId="0" fontId="32" fillId="37" borderId="0">
      <alignment horizontal="right"/>
    </xf>
    <xf numFmtId="168" fontId="32" fillId="37" borderId="0">
      <alignment horizontal="right"/>
    </xf>
    <xf numFmtId="0" fontId="72" fillId="20" borderId="0">
      <alignment horizontal="center"/>
    </xf>
    <xf numFmtId="168" fontId="72" fillId="20" borderId="0">
      <alignment horizontal="center"/>
    </xf>
    <xf numFmtId="0" fontId="73" fillId="20" borderId="0">
      <alignment horizontal="center"/>
    </xf>
    <xf numFmtId="168" fontId="73" fillId="20" borderId="0">
      <alignment horizont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12" fillId="44" borderId="22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74" fillId="44" borderId="23" applyNumberFormat="0" applyProtection="0">
      <alignment vertical="center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4" fontId="12" fillId="44" borderId="22" applyNumberFormat="0" applyProtection="0">
      <alignment horizontal="left" vertical="center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0" fontId="12" fillId="45" borderId="23" applyNumberFormat="0" applyProtection="0">
      <alignment horizontal="left" vertical="top" indent="1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13" fillId="44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6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75" fillId="47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22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16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13" fillId="23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30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75" fillId="48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9" borderId="23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4" fontId="13" fillId="25" borderId="22" applyNumberFormat="0" applyProtection="0">
      <alignment horizontal="right" vertical="center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center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60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4" fontId="13" fillId="25" borderId="23" applyNumberFormat="0" applyProtection="0">
      <alignment horizontal="left" vertical="center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0" fontId="13" fillId="25" borderId="23" applyNumberFormat="0" applyProtection="0">
      <alignment horizontal="left" vertical="top" indent="1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4" fontId="13" fillId="25" borderId="22" applyNumberFormat="0" applyProtection="0">
      <alignment horizontal="left" vertical="center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0" fontId="13" fillId="25" borderId="22" applyNumberFormat="0" applyProtection="0">
      <alignment horizontal="left" vertical="top" indent="1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4" fontId="13" fillId="0" borderId="23" applyNumberFormat="0" applyProtection="0">
      <alignment horizontal="right" vertical="center"/>
    </xf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24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0" fillId="0" borderId="33"/>
    <xf numFmtId="49" fontId="13" fillId="0" borderId="37">
      <alignment horizontal="center" vertical="center"/>
      <protection locked="0"/>
    </xf>
    <xf numFmtId="0" fontId="118" fillId="37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4" fontId="82" fillId="0" borderId="0" applyNumberFormat="0" applyFill="0" applyBorder="0" applyAlignment="0" applyProtection="0"/>
    <xf numFmtId="174" fontId="8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119" fillId="0" borderId="0" applyNumberFormat="0" applyFill="0" applyBorder="0" applyAlignment="0" applyProtection="0"/>
    <xf numFmtId="165" fontId="119" fillId="0" borderId="0" applyNumberFormat="0" applyFill="0" applyBorder="0" applyAlignment="0" applyProtection="0"/>
    <xf numFmtId="165" fontId="119" fillId="0" borderId="0" applyNumberFormat="0" applyFill="0" applyBorder="0" applyAlignment="0" applyProtection="0"/>
    <xf numFmtId="165" fontId="119" fillId="0" borderId="0" applyNumberFormat="0" applyFill="0" applyBorder="0" applyAlignment="0" applyProtection="0"/>
    <xf numFmtId="165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174" fontId="120" fillId="0" borderId="7" applyNumberFormat="0" applyFill="0" applyAlignment="0" applyProtection="0"/>
    <xf numFmtId="174" fontId="120" fillId="0" borderId="7" applyNumberFormat="0" applyFill="0" applyAlignment="0" applyProtection="0"/>
    <xf numFmtId="0" fontId="13" fillId="0" borderId="39" applyNumberFormat="0" applyFont="0" applyFill="0" applyAlignment="0" applyProtection="0"/>
    <xf numFmtId="0" fontId="13" fillId="0" borderId="39" applyNumberFormat="0" applyFont="0" applyFill="0" applyAlignment="0" applyProtection="0"/>
    <xf numFmtId="168" fontId="18" fillId="0" borderId="40" applyNumberFormat="0" applyFont="0" applyBorder="0" applyAlignment="0" applyProtection="0"/>
    <xf numFmtId="0" fontId="13" fillId="0" borderId="39" applyNumberFormat="0" applyFont="0" applyFill="0" applyAlignment="0" applyProtection="0"/>
    <xf numFmtId="0" fontId="13" fillId="0" borderId="39" applyNumberFormat="0" applyFon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13" fillId="0" borderId="39" applyNumberFormat="0" applyFont="0" applyFill="0" applyAlignment="0" applyProtection="0"/>
    <xf numFmtId="165" fontId="79" fillId="0" borderId="38" applyNumberFormat="0" applyFill="0" applyAlignment="0" applyProtection="0"/>
    <xf numFmtId="168" fontId="18" fillId="0" borderId="40" applyNumberFormat="0" applyFont="0" applyBorder="0" applyAlignment="0" applyProtection="0"/>
    <xf numFmtId="165" fontId="79" fillId="0" borderId="38" applyNumberFormat="0" applyFill="0" applyAlignment="0" applyProtection="0"/>
    <xf numFmtId="165" fontId="79" fillId="0" borderId="38" applyNumberFormat="0" applyFill="0" applyAlignment="0" applyProtection="0"/>
    <xf numFmtId="165" fontId="79" fillId="0" borderId="38" applyNumberFormat="0" applyFill="0" applyAlignment="0" applyProtection="0"/>
    <xf numFmtId="165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111" fillId="0" borderId="41"/>
    <xf numFmtId="0" fontId="111" fillId="0" borderId="33"/>
    <xf numFmtId="0" fontId="20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174" fontId="1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7" fontId="2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37" fontId="20" fillId="0" borderId="0"/>
    <xf numFmtId="4" fontId="60" fillId="40" borderId="0">
      <alignment horizontal="right"/>
    </xf>
    <xf numFmtId="0" fontId="62" fillId="40" borderId="0">
      <alignment horizontal="center" vertical="center"/>
    </xf>
    <xf numFmtId="0" fontId="53" fillId="40" borderId="10"/>
    <xf numFmtId="0" fontId="62" fillId="40" borderId="0" applyBorder="0">
      <alignment horizontal="centerContinuous"/>
    </xf>
    <xf numFmtId="0" fontId="68" fillId="40" borderId="0" applyBorder="0">
      <alignment horizontal="centerContinuous"/>
    </xf>
    <xf numFmtId="0" fontId="78" fillId="0" borderId="0" applyNumberFormat="0" applyFill="0" applyBorder="0" applyAlignment="0" applyProtection="0"/>
    <xf numFmtId="0" fontId="13" fillId="0" borderId="0"/>
    <xf numFmtId="0" fontId="13" fillId="0" borderId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9" fillId="3" borderId="0" applyNumberFormat="0" applyBorder="0" applyAlignment="0" applyProtection="0"/>
    <xf numFmtId="165" fontId="21" fillId="71" borderId="0" applyNumberFormat="0" applyBorder="0" applyAlignment="0" applyProtection="0"/>
    <xf numFmtId="165" fontId="21" fillId="71" borderId="0" applyNumberFormat="0" applyBorder="0" applyAlignment="0" applyProtection="0"/>
    <xf numFmtId="165" fontId="21" fillId="71" borderId="0" applyNumberFormat="0" applyBorder="0" applyAlignment="0" applyProtection="0"/>
    <xf numFmtId="165" fontId="21" fillId="71" borderId="0" applyNumberFormat="0" applyBorder="0" applyAlignment="0" applyProtection="0"/>
    <xf numFmtId="165" fontId="21" fillId="71" borderId="0" applyNumberFormat="0" applyBorder="0" applyAlignment="0" applyProtection="0"/>
    <xf numFmtId="165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9" fillId="5" borderId="0" applyNumberFormat="0" applyBorder="0" applyAlignment="0" applyProtection="0"/>
    <xf numFmtId="165" fontId="21" fillId="23" borderId="0" applyNumberFormat="0" applyBorder="0" applyAlignment="0" applyProtection="0"/>
    <xf numFmtId="165" fontId="21" fillId="23" borderId="0" applyNumberFormat="0" applyBorder="0" applyAlignment="0" applyProtection="0"/>
    <xf numFmtId="165" fontId="21" fillId="23" borderId="0" applyNumberFormat="0" applyBorder="0" applyAlignment="0" applyProtection="0"/>
    <xf numFmtId="165" fontId="21" fillId="23" borderId="0" applyNumberFormat="0" applyBorder="0" applyAlignment="0" applyProtection="0"/>
    <xf numFmtId="165" fontId="21" fillId="23" borderId="0" applyNumberFormat="0" applyBorder="0" applyAlignment="0" applyProtection="0"/>
    <xf numFmtId="165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9" fillId="7" borderId="0" applyNumberFormat="0" applyBorder="0" applyAlignment="0" applyProtection="0"/>
    <xf numFmtId="165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9" fillId="11" borderId="0" applyNumberFormat="0" applyBorder="0" applyAlignment="0" applyProtection="0"/>
    <xf numFmtId="165" fontId="21" fillId="21" borderId="0" applyNumberFormat="0" applyBorder="0" applyAlignment="0" applyProtection="0"/>
    <xf numFmtId="165" fontId="21" fillId="21" borderId="0" applyNumberFormat="0" applyBorder="0" applyAlignment="0" applyProtection="0"/>
    <xf numFmtId="165" fontId="21" fillId="21" borderId="0" applyNumberFormat="0" applyBorder="0" applyAlignment="0" applyProtection="0"/>
    <xf numFmtId="165" fontId="21" fillId="21" borderId="0" applyNumberFormat="0" applyBorder="0" applyAlignment="0" applyProtection="0"/>
    <xf numFmtId="165" fontId="21" fillId="21" borderId="0" applyNumberFormat="0" applyBorder="0" applyAlignment="0" applyProtection="0"/>
    <xf numFmtId="165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9" fillId="13" borderId="0" applyNumberFormat="0" applyBorder="0" applyAlignment="0" applyProtection="0"/>
    <xf numFmtId="165" fontId="21" fillId="20" borderId="0" applyNumberFormat="0" applyBorder="0" applyAlignment="0" applyProtection="0"/>
    <xf numFmtId="165" fontId="21" fillId="20" borderId="0" applyNumberFormat="0" applyBorder="0" applyAlignment="0" applyProtection="0"/>
    <xf numFmtId="165" fontId="21" fillId="20" borderId="0" applyNumberFormat="0" applyBorder="0" applyAlignment="0" applyProtection="0"/>
    <xf numFmtId="165" fontId="21" fillId="20" borderId="0" applyNumberFormat="0" applyBorder="0" applyAlignment="0" applyProtection="0"/>
    <xf numFmtId="165" fontId="21" fillId="20" borderId="0" applyNumberFormat="0" applyBorder="0" applyAlignment="0" applyProtection="0"/>
    <xf numFmtId="165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9" fillId="4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9" fillId="6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9" fillId="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9" fillId="10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9" fillId="12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165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9" fillId="14" borderId="0" applyNumberFormat="0" applyBorder="0" applyAlignment="0" applyProtection="0"/>
    <xf numFmtId="165" fontId="21" fillId="26" borderId="0" applyNumberFormat="0" applyBorder="0" applyAlignment="0" applyProtection="0"/>
    <xf numFmtId="165" fontId="21" fillId="26" borderId="0" applyNumberFormat="0" applyBorder="0" applyAlignment="0" applyProtection="0"/>
    <xf numFmtId="165" fontId="21" fillId="26" borderId="0" applyNumberFormat="0" applyBorder="0" applyAlignment="0" applyProtection="0"/>
    <xf numFmtId="165" fontId="21" fillId="26" borderId="0" applyNumberFormat="0" applyBorder="0" applyAlignment="0" applyProtection="0"/>
    <xf numFmtId="165" fontId="21" fillId="26" borderId="0" applyNumberFormat="0" applyBorder="0" applyAlignment="0" applyProtection="0"/>
    <xf numFmtId="165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94" fillId="60" borderId="0" applyNumberFormat="0" applyBorder="0" applyAlignment="0" applyProtection="0"/>
    <xf numFmtId="165" fontId="23" fillId="72" borderId="0" applyNumberFormat="0" applyBorder="0" applyAlignment="0" applyProtection="0"/>
    <xf numFmtId="165" fontId="23" fillId="72" borderId="0" applyNumberFormat="0" applyBorder="0" applyAlignment="0" applyProtection="0"/>
    <xf numFmtId="0" fontId="94" fillId="62" borderId="0" applyNumberFormat="0" applyBorder="0" applyAlignment="0" applyProtection="0"/>
    <xf numFmtId="165" fontId="23" fillId="17" borderId="0" applyNumberFormat="0" applyBorder="0" applyAlignment="0" applyProtection="0"/>
    <xf numFmtId="165" fontId="23" fillId="17" borderId="0" applyNumberFormat="0" applyBorder="0" applyAlignment="0" applyProtection="0"/>
    <xf numFmtId="0" fontId="94" fillId="64" borderId="0" applyNumberFormat="0" applyBorder="0" applyAlignment="0" applyProtection="0"/>
    <xf numFmtId="165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94" fillId="66" borderId="0" applyNumberFormat="0" applyBorder="0" applyAlignment="0" applyProtection="0"/>
    <xf numFmtId="165" fontId="23" fillId="73" borderId="0" applyNumberFormat="0" applyBorder="0" applyAlignment="0" applyProtection="0"/>
    <xf numFmtId="165" fontId="23" fillId="73" borderId="0" applyNumberFormat="0" applyBorder="0" applyAlignment="0" applyProtection="0"/>
    <xf numFmtId="0" fontId="94" fillId="68" borderId="0" applyNumberFormat="0" applyBorder="0" applyAlignment="0" applyProtection="0"/>
    <xf numFmtId="165" fontId="23" fillId="29" borderId="0" applyNumberFormat="0" applyBorder="0" applyAlignment="0" applyProtection="0"/>
    <xf numFmtId="165" fontId="23" fillId="29" borderId="0" applyNumberFormat="0" applyBorder="0" applyAlignment="0" applyProtection="0"/>
    <xf numFmtId="0" fontId="94" fillId="70" borderId="0" applyNumberFormat="0" applyBorder="0" applyAlignment="0" applyProtection="0"/>
    <xf numFmtId="165" fontId="23" fillId="48" borderId="0" applyNumberFormat="0" applyBorder="0" applyAlignment="0" applyProtection="0"/>
    <xf numFmtId="165" fontId="23" fillId="48" borderId="0" applyNumberFormat="0" applyBorder="0" applyAlignment="0" applyProtection="0"/>
    <xf numFmtId="0" fontId="94" fillId="59" borderId="0" applyNumberFormat="0" applyBorder="0" applyAlignment="0" applyProtection="0"/>
    <xf numFmtId="165" fontId="23" fillId="74" borderId="0" applyNumberFormat="0" applyBorder="0" applyAlignment="0" applyProtection="0"/>
    <xf numFmtId="165" fontId="23" fillId="74" borderId="0" applyNumberFormat="0" applyBorder="0" applyAlignment="0" applyProtection="0"/>
    <xf numFmtId="0" fontId="94" fillId="61" borderId="0" applyNumberFormat="0" applyBorder="0" applyAlignment="0" applyProtection="0"/>
    <xf numFmtId="165" fontId="23" fillId="30" borderId="0" applyNumberFormat="0" applyBorder="0" applyAlignment="0" applyProtection="0"/>
    <xf numFmtId="165" fontId="23" fillId="30" borderId="0" applyNumberFormat="0" applyBorder="0" applyAlignment="0" applyProtection="0"/>
    <xf numFmtId="0" fontId="94" fillId="63" borderId="0" applyNumberFormat="0" applyBorder="0" applyAlignment="0" applyProtection="0"/>
    <xf numFmtId="165" fontId="23" fillId="31" borderId="0" applyNumberFormat="0" applyBorder="0" applyAlignment="0" applyProtection="0"/>
    <xf numFmtId="165" fontId="23" fillId="31" borderId="0" applyNumberFormat="0" applyBorder="0" applyAlignment="0" applyProtection="0"/>
    <xf numFmtId="0" fontId="94" fillId="65" borderId="0" applyNumberFormat="0" applyBorder="0" applyAlignment="0" applyProtection="0"/>
    <xf numFmtId="165" fontId="23" fillId="73" borderId="0" applyNumberFormat="0" applyBorder="0" applyAlignment="0" applyProtection="0"/>
    <xf numFmtId="165" fontId="23" fillId="73" borderId="0" applyNumberFormat="0" applyBorder="0" applyAlignment="0" applyProtection="0"/>
    <xf numFmtId="0" fontId="94" fillId="67" borderId="0" applyNumberFormat="0" applyBorder="0" applyAlignment="0" applyProtection="0"/>
    <xf numFmtId="165" fontId="23" fillId="29" borderId="0" applyNumberFormat="0" applyBorder="0" applyAlignment="0" applyProtection="0"/>
    <xf numFmtId="165" fontId="23" fillId="29" borderId="0" applyNumberFormat="0" applyBorder="0" applyAlignment="0" applyProtection="0"/>
    <xf numFmtId="0" fontId="94" fillId="69" borderId="0" applyNumberFormat="0" applyBorder="0" applyAlignment="0" applyProtection="0"/>
    <xf numFmtId="165" fontId="23" fillId="25" borderId="0" applyNumberFormat="0" applyBorder="0" applyAlignment="0" applyProtection="0"/>
    <xf numFmtId="165" fontId="23" fillId="25" borderId="0" applyNumberFormat="0" applyBorder="0" applyAlignment="0" applyProtection="0"/>
    <xf numFmtId="0" fontId="85" fillId="54" borderId="0" applyNumberFormat="0" applyBorder="0" applyAlignment="0" applyProtection="0"/>
    <xf numFmtId="165" fontId="25" fillId="23" borderId="0" applyNumberFormat="0" applyBorder="0" applyAlignment="0" applyProtection="0"/>
    <xf numFmtId="0" fontId="123" fillId="19" borderId="8" applyNumberFormat="0" applyAlignment="0" applyProtection="0"/>
    <xf numFmtId="0" fontId="123" fillId="19" borderId="8" applyNumberFormat="0" applyAlignment="0" applyProtection="0"/>
    <xf numFmtId="0" fontId="123" fillId="19" borderId="8" applyNumberFormat="0" applyAlignment="0" applyProtection="0"/>
    <xf numFmtId="0" fontId="123" fillId="19" borderId="8" applyNumberFormat="0" applyAlignment="0" applyProtection="0"/>
    <xf numFmtId="0" fontId="123" fillId="19" borderId="8" applyNumberFormat="0" applyAlignment="0" applyProtection="0"/>
    <xf numFmtId="174" fontId="124" fillId="57" borderId="29" applyNumberFormat="0" applyAlignment="0" applyProtection="0"/>
    <xf numFmtId="174" fontId="124" fillId="57" borderId="29" applyNumberFormat="0" applyAlignment="0" applyProtection="0"/>
    <xf numFmtId="0" fontId="89" fillId="57" borderId="29" applyNumberFormat="0" applyAlignment="0" applyProtection="0"/>
    <xf numFmtId="165" fontId="123" fillId="19" borderId="8" applyNumberFormat="0" applyAlignment="0" applyProtection="0"/>
    <xf numFmtId="165" fontId="123" fillId="19" borderId="8" applyNumberFormat="0" applyAlignment="0" applyProtection="0"/>
    <xf numFmtId="165" fontId="123" fillId="19" borderId="8" applyNumberFormat="0" applyAlignment="0" applyProtection="0"/>
    <xf numFmtId="165" fontId="123" fillId="19" borderId="8" applyNumberFormat="0" applyAlignment="0" applyProtection="0"/>
    <xf numFmtId="165" fontId="123" fillId="19" borderId="8" applyNumberFormat="0" applyAlignment="0" applyProtection="0"/>
    <xf numFmtId="165" fontId="123" fillId="19" borderId="8" applyNumberFormat="0" applyAlignment="0" applyProtection="0"/>
    <xf numFmtId="0" fontId="123" fillId="19" borderId="8" applyNumberFormat="0" applyAlignment="0" applyProtection="0"/>
    <xf numFmtId="0" fontId="91" fillId="58" borderId="32" applyNumberFormat="0" applyAlignment="0" applyProtection="0"/>
    <xf numFmtId="165" fontId="29" fillId="36" borderId="9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4" fillId="53" borderId="0" applyNumberFormat="0" applyBorder="0" applyAlignment="0" applyProtection="0"/>
    <xf numFmtId="165" fontId="43" fillId="39" borderId="0" applyNumberFormat="0" applyBorder="0" applyAlignment="0" applyProtection="0"/>
    <xf numFmtId="0" fontId="83" fillId="0" borderId="28" applyNumberFormat="0" applyFill="0" applyAlignment="0" applyProtection="0"/>
    <xf numFmtId="165" fontId="109" fillId="0" borderId="36" applyNumberFormat="0" applyFill="0" applyAlignment="0" applyProtection="0"/>
    <xf numFmtId="165" fontId="109" fillId="0" borderId="36" applyNumberFormat="0" applyFill="0" applyAlignment="0" applyProtection="0"/>
    <xf numFmtId="165" fontId="109" fillId="0" borderId="36" applyNumberFormat="0" applyFill="0" applyAlignment="0" applyProtection="0"/>
    <xf numFmtId="0" fontId="83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0" fontId="51" fillId="20" borderId="8" applyNumberFormat="0" applyAlignment="0" applyProtection="0"/>
    <xf numFmtId="174" fontId="125" fillId="56" borderId="29" applyNumberFormat="0" applyAlignment="0" applyProtection="0"/>
    <xf numFmtId="174" fontId="125" fillId="56" borderId="29" applyNumberFormat="0" applyAlignment="0" applyProtection="0"/>
    <xf numFmtId="0" fontId="87" fillId="56" borderId="29" applyNumberFormat="0" applyAlignment="0" applyProtection="0"/>
    <xf numFmtId="165" fontId="51" fillId="20" borderId="8" applyNumberFormat="0" applyAlignment="0" applyProtection="0"/>
    <xf numFmtId="165" fontId="51" fillId="20" borderId="8" applyNumberFormat="0" applyAlignment="0" applyProtection="0"/>
    <xf numFmtId="165" fontId="51" fillId="20" borderId="8" applyNumberFormat="0" applyAlignment="0" applyProtection="0"/>
    <xf numFmtId="165" fontId="51" fillId="20" borderId="8" applyNumberFormat="0" applyAlignment="0" applyProtection="0"/>
    <xf numFmtId="165" fontId="51" fillId="20" borderId="8" applyNumberFormat="0" applyAlignment="0" applyProtection="0"/>
    <xf numFmtId="165" fontId="51" fillId="20" borderId="8" applyNumberFormat="0" applyAlignment="0" applyProtection="0"/>
    <xf numFmtId="0" fontId="51" fillId="20" borderId="8" applyNumberFormat="0" applyAlignment="0" applyProtection="0"/>
    <xf numFmtId="0" fontId="90" fillId="0" borderId="31" applyNumberFormat="0" applyFill="0" applyAlignment="0" applyProtection="0"/>
    <xf numFmtId="165" fontId="112" fillId="0" borderId="19" applyNumberFormat="0" applyFill="0" applyAlignment="0" applyProtection="0"/>
    <xf numFmtId="0" fontId="86" fillId="55" borderId="0" applyNumberFormat="0" applyBorder="0" applyAlignment="0" applyProtection="0"/>
    <xf numFmtId="165" fontId="114" fillId="22" borderId="0" applyNumberFormat="0" applyBorder="0" applyAlignment="0" applyProtection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69" fillId="0" borderId="0"/>
    <xf numFmtId="165" fontId="69" fillId="0" borderId="0"/>
    <xf numFmtId="165" fontId="69" fillId="0" borderId="0"/>
    <xf numFmtId="0" fontId="13" fillId="0" borderId="0"/>
    <xf numFmtId="174" fontId="22" fillId="0" borderId="0"/>
    <xf numFmtId="174" fontId="22" fillId="0" borderId="0"/>
    <xf numFmtId="174" fontId="22" fillId="0" borderId="0"/>
    <xf numFmtId="0" fontId="13" fillId="0" borderId="0"/>
    <xf numFmtId="174" fontId="22" fillId="0" borderId="0"/>
    <xf numFmtId="174" fontId="22" fillId="0" borderId="0"/>
    <xf numFmtId="174" fontId="22" fillId="0" borderId="0"/>
    <xf numFmtId="174" fontId="22" fillId="0" borderId="0"/>
    <xf numFmtId="174" fontId="22" fillId="0" borderId="0"/>
    <xf numFmtId="174" fontId="22" fillId="0" borderId="0"/>
    <xf numFmtId="174" fontId="22" fillId="0" borderId="0"/>
    <xf numFmtId="0" fontId="126" fillId="18" borderId="20" applyNumberFormat="0" applyFont="0" applyAlignment="0" applyProtection="0"/>
    <xf numFmtId="0" fontId="126" fillId="18" borderId="20" applyNumberFormat="0" applyFont="0" applyAlignment="0" applyProtection="0"/>
    <xf numFmtId="0" fontId="126" fillId="18" borderId="20" applyNumberFormat="0" applyFont="0" applyAlignment="0" applyProtection="0"/>
    <xf numFmtId="0" fontId="126" fillId="18" borderId="20" applyNumberFormat="0" applyFont="0" applyAlignment="0" applyProtection="0"/>
    <xf numFmtId="0" fontId="126" fillId="18" borderId="20" applyNumberFormat="0" applyFont="0" applyAlignment="0" applyProtection="0"/>
    <xf numFmtId="174" fontId="126" fillId="2" borderId="6" applyNumberFormat="0" applyFont="0" applyAlignment="0" applyProtection="0"/>
    <xf numFmtId="174" fontId="126" fillId="2" borderId="6" applyNumberFormat="0" applyFont="0" applyAlignment="0" applyProtection="0"/>
    <xf numFmtId="174" fontId="126" fillId="2" borderId="6" applyNumberFormat="0" applyFont="0" applyAlignment="0" applyProtection="0"/>
    <xf numFmtId="174" fontId="126" fillId="2" borderId="6" applyNumberFormat="0" applyFont="0" applyAlignment="0" applyProtection="0"/>
    <xf numFmtId="165" fontId="126" fillId="18" borderId="20" applyNumberFormat="0" applyFont="0" applyAlignment="0" applyProtection="0"/>
    <xf numFmtId="174" fontId="126" fillId="2" borderId="6" applyNumberFormat="0" applyFont="0" applyAlignment="0" applyProtection="0"/>
    <xf numFmtId="174" fontId="126" fillId="2" borderId="6" applyNumberFormat="0" applyFont="0" applyAlignment="0" applyProtection="0"/>
    <xf numFmtId="165" fontId="126" fillId="18" borderId="20" applyNumberFormat="0" applyFont="0" applyAlignment="0" applyProtection="0"/>
    <xf numFmtId="174" fontId="126" fillId="2" borderId="6" applyNumberFormat="0" applyFont="0" applyAlignment="0" applyProtection="0"/>
    <xf numFmtId="174" fontId="126" fillId="2" borderId="6" applyNumberFormat="0" applyFont="0" applyAlignment="0" applyProtection="0"/>
    <xf numFmtId="165" fontId="126" fillId="18" borderId="20" applyNumberFormat="0" applyFont="0" applyAlignment="0" applyProtection="0"/>
    <xf numFmtId="174" fontId="126" fillId="2" borderId="6" applyNumberFormat="0" applyFont="0" applyAlignment="0" applyProtection="0"/>
    <xf numFmtId="174" fontId="126" fillId="2" borderId="6" applyNumberFormat="0" applyFont="0" applyAlignment="0" applyProtection="0"/>
    <xf numFmtId="165" fontId="126" fillId="18" borderId="20" applyNumberFormat="0" applyFont="0" applyAlignment="0" applyProtection="0"/>
    <xf numFmtId="174" fontId="126" fillId="2" borderId="6" applyNumberFormat="0" applyFont="0" applyAlignment="0" applyProtection="0"/>
    <xf numFmtId="174" fontId="126" fillId="2" borderId="6" applyNumberFormat="0" applyFont="0" applyAlignment="0" applyProtection="0"/>
    <xf numFmtId="165" fontId="126" fillId="18" borderId="20" applyNumberFormat="0" applyFont="0" applyAlignment="0" applyProtection="0"/>
    <xf numFmtId="174" fontId="126" fillId="2" borderId="6" applyNumberFormat="0" applyFont="0" applyAlignment="0" applyProtection="0"/>
    <xf numFmtId="174" fontId="126" fillId="2" borderId="6" applyNumberFormat="0" applyFont="0" applyAlignment="0" applyProtection="0"/>
    <xf numFmtId="0" fontId="126" fillId="18" borderId="20" applyNumberFormat="0" applyFont="0" applyAlignment="0" applyProtection="0"/>
    <xf numFmtId="0" fontId="88" fillId="57" borderId="30" applyNumberFormat="0" applyAlignment="0" applyProtection="0"/>
    <xf numFmtId="165" fontId="59" fillId="19" borderId="21" applyNumberFormat="0" applyAlignment="0" applyProtection="0"/>
    <xf numFmtId="0" fontId="62" fillId="40" borderId="0">
      <alignment horizontal="center" vertical="center"/>
    </xf>
    <xf numFmtId="0" fontId="62" fillId="40" borderId="0">
      <alignment horizontal="center" vertical="center"/>
    </xf>
    <xf numFmtId="0" fontId="53" fillId="40" borderId="10"/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0" fontId="68" fillId="40" borderId="0" applyBorder="0">
      <alignment horizontal="centerContinuous"/>
    </xf>
    <xf numFmtId="0" fontId="68" fillId="40" borderId="0" applyBorder="0">
      <alignment horizontal="centerContinuous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165" fontId="11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3" fillId="0" borderId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1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1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1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1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1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1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1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1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1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8" fontId="34" fillId="34" borderId="0">
      <alignment horizontal="left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3" fillId="0" borderId="0"/>
    <xf numFmtId="165" fontId="13" fillId="0" borderId="0"/>
    <xf numFmtId="0" fontId="9" fillId="0" borderId="0"/>
    <xf numFmtId="0" fontId="9" fillId="0" borderId="0"/>
    <xf numFmtId="165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9" fillId="2" borderId="6" applyNumberFormat="0" applyFont="0" applyAlignment="0" applyProtection="0"/>
    <xf numFmtId="0" fontId="40" fillId="18" borderId="20" applyNumberFormat="0" applyFont="0" applyAlignment="0" applyProtection="0"/>
    <xf numFmtId="172" fontId="60" fillId="34" borderId="0">
      <alignment horizontal="right"/>
    </xf>
    <xf numFmtId="40" fontId="61" fillId="40" borderId="0">
      <alignment horizontal="right"/>
    </xf>
    <xf numFmtId="168" fontId="62" fillId="41" borderId="0">
      <alignment horizontal="center"/>
    </xf>
    <xf numFmtId="168" fontId="65" fillId="34" borderId="0" applyBorder="0">
      <alignment horizontal="centerContinuous"/>
    </xf>
    <xf numFmtId="168" fontId="66" fillId="42" borderId="0" applyBorder="0">
      <alignment horizontal="centerContinuous"/>
    </xf>
    <xf numFmtId="9" fontId="13" fillId="0" borderId="0" applyFont="0" applyFill="0" applyBorder="0" applyAlignment="0" applyProtection="0"/>
    <xf numFmtId="181" fontId="122" fillId="76" borderId="42">
      <alignment horizontal="left"/>
    </xf>
    <xf numFmtId="168" fontId="80" fillId="34" borderId="0">
      <alignment horizontal="center"/>
    </xf>
    <xf numFmtId="43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1" fillId="71" borderId="0" applyNumberFormat="0" applyBorder="0" applyAlignment="0" applyProtection="0"/>
    <xf numFmtId="0" fontId="9" fillId="3" borderId="0" applyNumberFormat="0" applyBorder="0" applyAlignment="0" applyProtection="0"/>
    <xf numFmtId="0" fontId="21" fillId="23" borderId="0" applyNumberFormat="0" applyBorder="0" applyAlignment="0" applyProtection="0"/>
    <xf numFmtId="0" fontId="9" fillId="5" borderId="0" applyNumberFormat="0" applyBorder="0" applyAlignment="0" applyProtection="0"/>
    <xf numFmtId="0" fontId="21" fillId="39" borderId="0" applyNumberFormat="0" applyBorder="0" applyAlignment="0" applyProtection="0"/>
    <xf numFmtId="0" fontId="9" fillId="7" borderId="0" applyNumberFormat="0" applyBorder="0" applyAlignment="0" applyProtection="0"/>
    <xf numFmtId="0" fontId="21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21" fillId="20" borderId="0" applyNumberFormat="0" applyBorder="0" applyAlignment="0" applyProtection="0"/>
    <xf numFmtId="0" fontId="9" fillId="13" borderId="0" applyNumberFormat="0" applyBorder="0" applyAlignment="0" applyProtection="0"/>
    <xf numFmtId="0" fontId="21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1" fillId="38" borderId="0" applyNumberFormat="0" applyBorder="0" applyAlignment="0" applyProtection="0"/>
    <xf numFmtId="0" fontId="9" fillId="8" borderId="0" applyNumberFormat="0" applyBorder="0" applyAlignment="0" applyProtection="0"/>
    <xf numFmtId="0" fontId="21" fillId="33" borderId="0" applyNumberFormat="0" applyBorder="0" applyAlignment="0" applyProtection="0"/>
    <xf numFmtId="0" fontId="9" fillId="10" borderId="0" applyNumberFormat="0" applyBorder="0" applyAlignment="0" applyProtection="0"/>
    <xf numFmtId="0" fontId="21" fillId="16" borderId="0" applyNumberFormat="0" applyBorder="0" applyAlignment="0" applyProtection="0"/>
    <xf numFmtId="0" fontId="9" fillId="12" borderId="0" applyNumberFormat="0" applyBorder="0" applyAlignment="0" applyProtection="0"/>
    <xf numFmtId="0" fontId="21" fillId="26" borderId="0" applyNumberFormat="0" applyBorder="0" applyAlignment="0" applyProtection="0"/>
    <xf numFmtId="0" fontId="9" fillId="14" borderId="0" applyNumberFormat="0" applyBorder="0" applyAlignment="0" applyProtection="0"/>
    <xf numFmtId="0" fontId="23" fillId="72" borderId="0" applyNumberFormat="0" applyBorder="0" applyAlignment="0" applyProtection="0"/>
    <xf numFmtId="0" fontId="94" fillId="60" borderId="0" applyNumberFormat="0" applyBorder="0" applyAlignment="0" applyProtection="0"/>
    <xf numFmtId="0" fontId="23" fillId="17" borderId="0" applyNumberFormat="0" applyBorder="0" applyAlignment="0" applyProtection="0"/>
    <xf numFmtId="0" fontId="94" fillId="62" borderId="0" applyNumberFormat="0" applyBorder="0" applyAlignment="0" applyProtection="0"/>
    <xf numFmtId="0" fontId="23" fillId="38" borderId="0" applyNumberFormat="0" applyBorder="0" applyAlignment="0" applyProtection="0"/>
    <xf numFmtId="0" fontId="94" fillId="64" borderId="0" applyNumberFormat="0" applyBorder="0" applyAlignment="0" applyProtection="0"/>
    <xf numFmtId="0" fontId="23" fillId="73" borderId="0" applyNumberFormat="0" applyBorder="0" applyAlignment="0" applyProtection="0"/>
    <xf numFmtId="0" fontId="94" fillId="66" borderId="0" applyNumberFormat="0" applyBorder="0" applyAlignment="0" applyProtection="0"/>
    <xf numFmtId="0" fontId="23" fillId="29" borderId="0" applyNumberFormat="0" applyBorder="0" applyAlignment="0" applyProtection="0"/>
    <xf numFmtId="0" fontId="94" fillId="68" borderId="0" applyNumberFormat="0" applyBorder="0" applyAlignment="0" applyProtection="0"/>
    <xf numFmtId="0" fontId="23" fillId="48" borderId="0" applyNumberFormat="0" applyBorder="0" applyAlignment="0" applyProtection="0"/>
    <xf numFmtId="0" fontId="94" fillId="70" borderId="0" applyNumberFormat="0" applyBorder="0" applyAlignment="0" applyProtection="0"/>
    <xf numFmtId="0" fontId="23" fillId="74" borderId="0" applyNumberFormat="0" applyBorder="0" applyAlignment="0" applyProtection="0"/>
    <xf numFmtId="0" fontId="94" fillId="59" borderId="0" applyNumberFormat="0" applyBorder="0" applyAlignment="0" applyProtection="0"/>
    <xf numFmtId="0" fontId="23" fillId="30" borderId="0" applyNumberFormat="0" applyBorder="0" applyAlignment="0" applyProtection="0"/>
    <xf numFmtId="0" fontId="94" fillId="61" borderId="0" applyNumberFormat="0" applyBorder="0" applyAlignment="0" applyProtection="0"/>
    <xf numFmtId="0" fontId="23" fillId="31" borderId="0" applyNumberFormat="0" applyBorder="0" applyAlignment="0" applyProtection="0"/>
    <xf numFmtId="0" fontId="94" fillId="63" borderId="0" applyNumberFormat="0" applyBorder="0" applyAlignment="0" applyProtection="0"/>
    <xf numFmtId="0" fontId="23" fillId="73" borderId="0" applyNumberFormat="0" applyBorder="0" applyAlignment="0" applyProtection="0"/>
    <xf numFmtId="0" fontId="94" fillId="65" borderId="0" applyNumberFormat="0" applyBorder="0" applyAlignment="0" applyProtection="0"/>
    <xf numFmtId="0" fontId="94" fillId="67" borderId="0" applyNumberFormat="0" applyBorder="0" applyAlignment="0" applyProtection="0"/>
    <xf numFmtId="0" fontId="23" fillId="25" borderId="0" applyNumberFormat="0" applyBorder="0" applyAlignment="0" applyProtection="0"/>
    <xf numFmtId="0" fontId="94" fillId="69" borderId="0" applyNumberFormat="0" applyBorder="0" applyAlignment="0" applyProtection="0"/>
    <xf numFmtId="0" fontId="25" fillId="23" borderId="0" applyNumberFormat="0" applyBorder="0" applyAlignment="0" applyProtection="0"/>
    <xf numFmtId="0" fontId="85" fillId="54" borderId="0" applyNumberFormat="0" applyBorder="0" applyAlignment="0" applyProtection="0"/>
    <xf numFmtId="0" fontId="123" fillId="19" borderId="8" applyNumberFormat="0" applyAlignment="0" applyProtection="0"/>
    <xf numFmtId="0" fontId="89" fillId="57" borderId="29" applyNumberFormat="0" applyAlignment="0" applyProtection="0"/>
    <xf numFmtId="0" fontId="91" fillId="58" borderId="32" applyNumberFormat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84" fillId="53" borderId="0" applyNumberFormat="0" applyBorder="0" applyAlignment="0" applyProtection="0"/>
    <xf numFmtId="0" fontId="103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0" borderId="36" applyNumberFormat="0" applyFill="0" applyAlignment="0" applyProtection="0"/>
    <xf numFmtId="0" fontId="83" fillId="0" borderId="28" applyNumberFormat="0" applyFill="0" applyAlignment="0" applyProtection="0"/>
    <xf numFmtId="0" fontId="10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1" fillId="20" borderId="8" applyNumberFormat="0" applyAlignment="0" applyProtection="0"/>
    <xf numFmtId="0" fontId="87" fillId="56" borderId="29" applyNumberFormat="0" applyAlignment="0" applyProtection="0"/>
    <xf numFmtId="0" fontId="112" fillId="0" borderId="19" applyNumberFormat="0" applyFill="0" applyAlignment="0" applyProtection="0"/>
    <xf numFmtId="0" fontId="90" fillId="0" borderId="31" applyNumberFormat="0" applyFill="0" applyAlignment="0" applyProtection="0"/>
    <xf numFmtId="0" fontId="114" fillId="22" borderId="0" applyNumberFormat="0" applyBorder="0" applyAlignment="0" applyProtection="0"/>
    <xf numFmtId="0" fontId="86" fillId="5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18" borderId="20" applyNumberFormat="0" applyFont="0" applyAlignment="0" applyProtection="0"/>
    <xf numFmtId="0" fontId="59" fillId="19" borderId="21" applyNumberFormat="0" applyAlignment="0" applyProtection="0"/>
    <xf numFmtId="0" fontId="88" fillId="57" borderId="30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92" fillId="0" borderId="0" applyNumberFormat="0" applyFill="0" applyBorder="0" applyAlignment="0" applyProtection="0"/>
    <xf numFmtId="0" fontId="128" fillId="0" borderId="0"/>
    <xf numFmtId="0" fontId="13" fillId="0" borderId="0"/>
    <xf numFmtId="0" fontId="13" fillId="0" borderId="0"/>
    <xf numFmtId="0" fontId="13" fillId="0" borderId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" fillId="0" borderId="0"/>
    <xf numFmtId="183" fontId="11" fillId="0" borderId="0" applyFill="0"/>
    <xf numFmtId="183" fontId="11" fillId="0" borderId="0">
      <alignment horizontal="center"/>
    </xf>
    <xf numFmtId="0" fontId="11" fillId="0" borderId="0" applyFill="0">
      <alignment horizontal="center"/>
    </xf>
    <xf numFmtId="183" fontId="41" fillId="0" borderId="39" applyFill="0"/>
    <xf numFmtId="0" fontId="13" fillId="0" borderId="0" applyFont="0" applyAlignment="0"/>
    <xf numFmtId="0" fontId="130" fillId="0" borderId="0" applyFill="0">
      <alignment vertical="top"/>
    </xf>
    <xf numFmtId="0" fontId="41" fillId="0" borderId="0" applyFill="0">
      <alignment horizontal="left" vertical="top"/>
    </xf>
    <xf numFmtId="183" fontId="19" fillId="0" borderId="1" applyFill="0"/>
    <xf numFmtId="0" fontId="13" fillId="0" borderId="0" applyNumberFormat="0" applyFont="0" applyAlignment="0"/>
    <xf numFmtId="0" fontId="130" fillId="0" borderId="0" applyFill="0">
      <alignment wrapText="1"/>
    </xf>
    <xf numFmtId="0" fontId="41" fillId="0" borderId="0" applyFill="0">
      <alignment horizontal="left" vertical="top" wrapText="1"/>
    </xf>
    <xf numFmtId="183" fontId="131" fillId="0" borderId="0" applyFill="0"/>
    <xf numFmtId="0" fontId="132" fillId="0" borderId="0" applyNumberFormat="0" applyFont="0" applyAlignment="0">
      <alignment horizontal="center"/>
    </xf>
    <xf numFmtId="0" fontId="133" fillId="0" borderId="0" applyFill="0">
      <alignment vertical="top" wrapText="1"/>
    </xf>
    <xf numFmtId="0" fontId="19" fillId="0" borderId="0" applyFill="0">
      <alignment horizontal="left" vertical="top" wrapText="1"/>
    </xf>
    <xf numFmtId="183" fontId="13" fillId="0" borderId="0" applyFill="0"/>
    <xf numFmtId="0" fontId="132" fillId="0" borderId="0" applyNumberFormat="0" applyFont="0" applyAlignment="0">
      <alignment horizontal="center"/>
    </xf>
    <xf numFmtId="0" fontId="134" fillId="0" borderId="0" applyFill="0">
      <alignment vertical="center" wrapText="1"/>
    </xf>
    <xf numFmtId="0" fontId="18" fillId="0" borderId="0">
      <alignment horizontal="left" vertical="center" wrapText="1"/>
    </xf>
    <xf numFmtId="183" fontId="135" fillId="0" borderId="0" applyFill="0"/>
    <xf numFmtId="0" fontId="132" fillId="0" borderId="0" applyNumberFormat="0" applyFont="0" applyAlignment="0">
      <alignment horizontal="center"/>
    </xf>
    <xf numFmtId="0" fontId="136" fillId="0" borderId="0" applyFill="0">
      <alignment horizontal="center" vertical="center" wrapText="1"/>
    </xf>
    <xf numFmtId="0" fontId="13" fillId="0" borderId="0" applyFill="0">
      <alignment horizontal="center" vertical="center" wrapText="1"/>
    </xf>
    <xf numFmtId="183" fontId="137" fillId="0" borderId="0" applyFill="0"/>
    <xf numFmtId="0" fontId="132" fillId="0" borderId="0" applyNumberFormat="0" applyFont="0" applyAlignment="0">
      <alignment horizontal="center"/>
    </xf>
    <xf numFmtId="0" fontId="138" fillId="0" borderId="0" applyFill="0">
      <alignment horizontal="center" vertical="center" wrapText="1"/>
    </xf>
    <xf numFmtId="0" fontId="139" fillId="0" borderId="0" applyFill="0">
      <alignment horizontal="center" vertical="center" wrapText="1"/>
    </xf>
    <xf numFmtId="183" fontId="140" fillId="0" borderId="0" applyFill="0"/>
    <xf numFmtId="0" fontId="132" fillId="0" borderId="0" applyNumberFormat="0" applyFont="0" applyAlignment="0">
      <alignment horizontal="center"/>
    </xf>
    <xf numFmtId="0" fontId="141" fillId="0" borderId="0">
      <alignment horizontal="center" wrapText="1"/>
    </xf>
    <xf numFmtId="0" fontId="137" fillId="0" borderId="0" applyFill="0">
      <alignment horizont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9" fontId="11" fillId="15" borderId="0" applyFill="0"/>
    <xf numFmtId="0" fontId="142" fillId="0" borderId="0">
      <alignment horizontal="left" indent="7"/>
    </xf>
    <xf numFmtId="0" fontId="11" fillId="0" borderId="0" applyFill="0">
      <alignment horizontal="left" indent="7"/>
    </xf>
    <xf numFmtId="7" fontId="143" fillId="0" borderId="26" applyFill="0">
      <alignment horizontal="right"/>
    </xf>
    <xf numFmtId="0" fontId="19" fillId="0" borderId="0" applyNumberFormat="0">
      <alignment horizontal="right"/>
    </xf>
    <xf numFmtId="0" fontId="144" fillId="0" borderId="26" applyFont="0" applyFill="0"/>
    <xf numFmtId="0" fontId="19" fillId="0" borderId="26" applyFill="0"/>
    <xf numFmtId="39" fontId="143" fillId="0" borderId="0" applyFill="0"/>
    <xf numFmtId="0" fontId="13" fillId="0" borderId="0" applyNumberFormat="0" applyFont="0" applyBorder="0" applyAlignment="0"/>
    <xf numFmtId="0" fontId="133" fillId="0" borderId="0" applyFill="0">
      <alignment horizontal="left" indent="1"/>
    </xf>
    <xf numFmtId="0" fontId="19" fillId="0" borderId="0" applyFill="0">
      <alignment horizontal="left" indent="1"/>
    </xf>
    <xf numFmtId="39" fontId="135" fillId="0" borderId="0" applyFill="0"/>
    <xf numFmtId="0" fontId="13" fillId="0" borderId="0" applyNumberFormat="0" applyFont="0" applyFill="0" applyBorder="0" applyAlignment="0"/>
    <xf numFmtId="0" fontId="133" fillId="0" borderId="0" applyFill="0">
      <alignment horizontal="left" indent="2"/>
    </xf>
    <xf numFmtId="0" fontId="71" fillId="0" borderId="0" applyFill="0">
      <alignment horizontal="left" indent="2"/>
    </xf>
    <xf numFmtId="39" fontId="135" fillId="0" borderId="0" applyFill="0"/>
    <xf numFmtId="0" fontId="13" fillId="0" borderId="0" applyNumberFormat="0" applyFont="0" applyBorder="0" applyAlignment="0"/>
    <xf numFmtId="0" fontId="145" fillId="0" borderId="0">
      <alignment horizontal="left" indent="3"/>
    </xf>
    <xf numFmtId="0" fontId="146" fillId="0" borderId="0" applyFill="0">
      <alignment horizontal="left" indent="3"/>
    </xf>
    <xf numFmtId="39" fontId="135" fillId="0" borderId="0" applyFill="0"/>
    <xf numFmtId="0" fontId="13" fillId="0" borderId="0" applyNumberFormat="0" applyFont="0" applyBorder="0" applyAlignment="0"/>
    <xf numFmtId="0" fontId="136" fillId="0" borderId="0">
      <alignment horizontal="left" indent="4"/>
    </xf>
    <xf numFmtId="0" fontId="13" fillId="0" borderId="0" applyFill="0">
      <alignment horizontal="left" indent="4"/>
    </xf>
    <xf numFmtId="39" fontId="135" fillId="0" borderId="0" applyFill="0"/>
    <xf numFmtId="0" fontId="13" fillId="0" borderId="0" applyNumberFormat="0" applyFont="0" applyBorder="0" applyAlignment="0"/>
    <xf numFmtId="0" fontId="138" fillId="0" borderId="0">
      <alignment horizontal="left" indent="5"/>
    </xf>
    <xf numFmtId="0" fontId="139" fillId="0" borderId="0" applyFill="0">
      <alignment horizontal="left" indent="5"/>
    </xf>
    <xf numFmtId="39" fontId="140" fillId="0" borderId="0" applyFill="0"/>
    <xf numFmtId="0" fontId="13" fillId="0" borderId="0" applyNumberFormat="0" applyFont="0" applyFill="0" applyBorder="0" applyAlignment="0"/>
    <xf numFmtId="0" fontId="141" fillId="0" borderId="0" applyFill="0">
      <alignment horizontal="left" indent="6"/>
    </xf>
    <xf numFmtId="0" fontId="137" fillId="0" borderId="0" applyFill="0">
      <alignment horizontal="left" indent="6"/>
    </xf>
    <xf numFmtId="0" fontId="3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horizontal="left"/>
    </xf>
    <xf numFmtId="184" fontId="147" fillId="0" borderId="43" applyNumberFormat="0" applyProtection="0">
      <alignment horizontal="right" vertical="center"/>
    </xf>
    <xf numFmtId="184" fontId="148" fillId="0" borderId="44" applyNumberFormat="0" applyProtection="0">
      <alignment horizontal="right" vertical="center"/>
    </xf>
    <xf numFmtId="0" fontId="148" fillId="77" borderId="45" applyNumberFormat="0" applyAlignment="0" applyProtection="0">
      <alignment horizontal="left" vertical="center" indent="1"/>
    </xf>
    <xf numFmtId="0" fontId="149" fillId="0" borderId="46" applyNumberFormat="0" applyFill="0" applyBorder="0" applyAlignment="0" applyProtection="0"/>
    <xf numFmtId="0" fontId="150" fillId="78" borderId="45" applyNumberFormat="0" applyAlignment="0" applyProtection="0">
      <alignment horizontal="left" vertical="center" indent="1"/>
    </xf>
    <xf numFmtId="0" fontId="150" fillId="79" borderId="45" applyNumberFormat="0" applyAlignment="0" applyProtection="0">
      <alignment horizontal="left" vertical="center" indent="1"/>
    </xf>
    <xf numFmtId="0" fontId="150" fillId="80" borderId="45" applyNumberFormat="0" applyAlignment="0" applyProtection="0">
      <alignment horizontal="left" vertical="center" indent="1"/>
    </xf>
    <xf numFmtId="0" fontId="150" fillId="81" borderId="45" applyNumberFormat="0" applyAlignment="0" applyProtection="0">
      <alignment horizontal="left" vertical="center" indent="1"/>
    </xf>
    <xf numFmtId="0" fontId="150" fillId="82" borderId="44" applyNumberFormat="0" applyAlignment="0" applyProtection="0">
      <alignment horizontal="left" vertical="center" indent="1"/>
    </xf>
    <xf numFmtId="184" fontId="147" fillId="83" borderId="45" applyNumberFormat="0" applyAlignment="0" applyProtection="0">
      <alignment horizontal="left" vertical="center" indent="1"/>
    </xf>
    <xf numFmtId="0" fontId="148" fillId="77" borderId="44" applyNumberFormat="0" applyAlignment="0" applyProtection="0">
      <alignment horizontal="left" vertical="center" indent="1"/>
    </xf>
    <xf numFmtId="38" fontId="13" fillId="84" borderId="0" applyNumberFormat="0" applyFont="0" applyBorder="0" applyAlignment="0" applyProtection="0"/>
    <xf numFmtId="185" fontId="69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51" fillId="57" borderId="29" applyNumberFormat="0" applyAlignment="0" applyProtection="0"/>
    <xf numFmtId="168" fontId="30" fillId="37" borderId="0">
      <alignment horizontal="left"/>
    </xf>
    <xf numFmtId="168" fontId="32" fillId="37" borderId="0">
      <alignment horizontal="right"/>
    </xf>
    <xf numFmtId="168" fontId="33" fillId="34" borderId="0">
      <alignment horizontal="center"/>
    </xf>
    <xf numFmtId="168" fontId="32" fillId="37" borderId="0">
      <alignment horizontal="right"/>
    </xf>
    <xf numFmtId="168" fontId="34" fillId="34" borderId="0">
      <alignment horizontal="left"/>
    </xf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2" fillId="56" borderId="29" applyNumberFormat="0" applyAlignment="0" applyProtection="0"/>
    <xf numFmtId="168" fontId="30" fillId="37" borderId="0">
      <alignment horizontal="left"/>
    </xf>
    <xf numFmtId="168" fontId="53" fillId="34" borderId="0">
      <alignment horizontal="left"/>
    </xf>
    <xf numFmtId="168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171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168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" borderId="6" applyNumberFormat="0" applyFont="0" applyAlignment="0" applyProtection="0"/>
    <xf numFmtId="0" fontId="37" fillId="18" borderId="20" applyNumberFormat="0" applyFont="0" applyAlignment="0" applyProtection="0"/>
    <xf numFmtId="0" fontId="8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8" fillId="0" borderId="0"/>
    <xf numFmtId="0" fontId="37" fillId="18" borderId="20" applyNumberFormat="0" applyFont="0" applyAlignment="0" applyProtection="0"/>
    <xf numFmtId="0" fontId="8" fillId="0" borderId="0"/>
    <xf numFmtId="0" fontId="37" fillId="18" borderId="20" applyNumberFormat="0" applyFont="0" applyAlignment="0" applyProtection="0"/>
    <xf numFmtId="0" fontId="37" fillId="18" borderId="20" applyNumberFormat="0" applyFont="0" applyAlignment="0" applyProtection="0"/>
    <xf numFmtId="0" fontId="8" fillId="0" borderId="0"/>
    <xf numFmtId="0" fontId="37" fillId="18" borderId="20" applyNumberFormat="0" applyFont="0" applyAlignment="0" applyProtection="0"/>
    <xf numFmtId="0" fontId="62" fillId="40" borderId="0">
      <alignment horizontal="center" vertical="center"/>
    </xf>
    <xf numFmtId="0" fontId="53" fillId="40" borderId="10"/>
    <xf numFmtId="0" fontId="62" fillId="40" borderId="0" applyBorder="0">
      <alignment horizontal="centerContinuous"/>
    </xf>
    <xf numFmtId="0" fontId="68" fillId="40" borderId="0" applyBorder="0">
      <alignment horizontal="centerContinuous"/>
    </xf>
    <xf numFmtId="168" fontId="53" fillId="22" borderId="0">
      <alignment horizontal="center"/>
    </xf>
    <xf numFmtId="168" fontId="32" fillId="37" borderId="0">
      <alignment horizontal="center"/>
    </xf>
    <xf numFmtId="168" fontId="32" fillId="37" borderId="0">
      <alignment horizontal="centerContinuous"/>
    </xf>
    <xf numFmtId="168" fontId="72" fillId="34" borderId="0">
      <alignment horizontal="left"/>
    </xf>
    <xf numFmtId="168" fontId="30" fillId="37" borderId="0">
      <alignment horizontal="left"/>
    </xf>
    <xf numFmtId="168" fontId="30" fillId="37" borderId="0">
      <alignment horizontal="centerContinuous"/>
    </xf>
    <xf numFmtId="168" fontId="30" fillId="37" borderId="0">
      <alignment horizontal="right"/>
    </xf>
    <xf numFmtId="168" fontId="32" fillId="37" borderId="0">
      <alignment horizontal="right"/>
    </xf>
    <xf numFmtId="168" fontId="72" fillId="20" borderId="0">
      <alignment horizontal="center"/>
    </xf>
    <xf numFmtId="168" fontId="73" fillId="20" borderId="0">
      <alignment horizontal="center"/>
    </xf>
    <xf numFmtId="168" fontId="80" fillId="34" borderId="0">
      <alignment horizontal="center"/>
    </xf>
    <xf numFmtId="43" fontId="13" fillId="0" borderId="0" applyFont="0" applyFill="0" applyBorder="0" applyAlignment="0" applyProtection="0"/>
    <xf numFmtId="166" fontId="13" fillId="0" borderId="0"/>
    <xf numFmtId="44" fontId="13" fillId="0" borderId="0" applyFont="0" applyFill="0" applyBorder="0" applyAlignment="0" applyProtection="0"/>
    <xf numFmtId="0" fontId="18" fillId="0" borderId="0"/>
    <xf numFmtId="166" fontId="13" fillId="0" borderId="0"/>
    <xf numFmtId="166" fontId="153" fillId="0" borderId="0"/>
    <xf numFmtId="0" fontId="13" fillId="0" borderId="0"/>
    <xf numFmtId="37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37" fontId="20" fillId="0" borderId="0"/>
    <xf numFmtId="37" fontId="2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2" fillId="0" borderId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13" fillId="0" borderId="0" xfId="8" applyFont="1"/>
    <xf numFmtId="0" fontId="81" fillId="0" borderId="0" xfId="5126" applyFont="1" applyFill="1" applyBorder="1" applyAlignment="1">
      <alignment horizontal="left"/>
    </xf>
    <xf numFmtId="0" fontId="81" fillId="0" borderId="0" xfId="5126" applyFont="1" applyFill="1" applyBorder="1" applyAlignment="1">
      <alignment horizontal="right"/>
    </xf>
    <xf numFmtId="0" fontId="81" fillId="0" borderId="0" xfId="5126" applyFont="1" applyFill="1" applyBorder="1" applyAlignment="1">
      <alignment horizontal="left" vertical="top"/>
    </xf>
    <xf numFmtId="0" fontId="81" fillId="0" borderId="0" xfId="5126" applyFont="1" applyFill="1" applyBorder="1" applyAlignment="1">
      <alignment horizontal="center" wrapText="1"/>
    </xf>
    <xf numFmtId="0" fontId="13" fillId="0" borderId="0" xfId="5126" applyFont="1" applyFill="1" applyBorder="1" applyAlignment="1">
      <alignment horizontal="left" wrapText="1"/>
    </xf>
    <xf numFmtId="164" fontId="81" fillId="0" borderId="0" xfId="3950" applyNumberFormat="1" applyFont="1" applyFill="1" applyBorder="1" applyAlignment="1">
      <alignment horizontal="right" wrapText="1"/>
    </xf>
    <xf numFmtId="173" fontId="81" fillId="0" borderId="0" xfId="5126" applyNumberFormat="1" applyFont="1" applyFill="1" applyBorder="1" applyAlignment="1">
      <alignment horizontal="center" wrapText="1"/>
    </xf>
    <xf numFmtId="0" fontId="13" fillId="0" borderId="0" xfId="5126" applyFont="1" applyFill="1" applyBorder="1" applyAlignment="1">
      <alignment horizontal="center" wrapText="1"/>
    </xf>
    <xf numFmtId="0" fontId="13" fillId="0" borderId="0" xfId="5126" applyFont="1" applyFill="1" applyBorder="1" applyAlignment="1">
      <alignment horizontal="left" vertical="center" wrapText="1"/>
    </xf>
    <xf numFmtId="164" fontId="81" fillId="0" borderId="0" xfId="3950" applyNumberFormat="1" applyFont="1" applyFill="1" applyBorder="1" applyAlignment="1">
      <alignment horizontal="center" vertical="center" wrapText="1"/>
    </xf>
    <xf numFmtId="0" fontId="12" fillId="0" borderId="0" xfId="5126" applyFont="1" applyFill="1" applyBorder="1" applyAlignment="1">
      <alignment horizontal="left" wrapText="1"/>
    </xf>
    <xf numFmtId="0" fontId="81" fillId="0" borderId="1" xfId="5126" applyFont="1" applyFill="1" applyBorder="1" applyAlignment="1">
      <alignment horizontal="left"/>
    </xf>
    <xf numFmtId="0" fontId="13" fillId="0" borderId="2" xfId="5126" applyFont="1" applyFill="1" applyBorder="1" applyAlignment="1">
      <alignment horizontal="center" wrapText="1"/>
    </xf>
    <xf numFmtId="10" fontId="81" fillId="0" borderId="0" xfId="12089" applyNumberFormat="1" applyFont="1" applyFill="1" applyBorder="1" applyAlignment="1">
      <alignment horizontal="right" wrapText="1"/>
    </xf>
    <xf numFmtId="164" fontId="81" fillId="0" borderId="0" xfId="1" applyNumberFormat="1" applyFont="1" applyFill="1" applyBorder="1" applyAlignment="1">
      <alignment horizontal="right" wrapText="1"/>
    </xf>
    <xf numFmtId="37" fontId="18" fillId="0" borderId="0" xfId="14643" applyFont="1"/>
    <xf numFmtId="0" fontId="154" fillId="0" borderId="0" xfId="5126" applyFont="1" applyFill="1" applyBorder="1" applyAlignment="1">
      <alignment horizontal="right"/>
    </xf>
    <xf numFmtId="37" fontId="13" fillId="0" borderId="0" xfId="14643" applyFont="1"/>
    <xf numFmtId="0" fontId="19" fillId="0" borderId="0" xfId="4614" quotePrefix="1" applyFont="1" applyAlignment="1" applyProtection="1">
      <alignment horizontal="left"/>
    </xf>
    <xf numFmtId="0" fontId="19" fillId="0" borderId="0" xfId="5126" applyFont="1" applyFill="1" applyBorder="1" applyAlignment="1">
      <alignment horizontal="right"/>
    </xf>
    <xf numFmtId="37" fontId="19" fillId="0" borderId="0" xfId="14643" applyFont="1" applyAlignment="1"/>
    <xf numFmtId="37" fontId="18" fillId="0" borderId="0" xfId="14643" applyFont="1" applyBorder="1"/>
    <xf numFmtId="164" fontId="18" fillId="0" borderId="0" xfId="4" applyNumberFormat="1" applyFont="1" applyBorder="1" applyAlignment="1">
      <alignment horizontal="centerContinuous"/>
    </xf>
    <xf numFmtId="164" fontId="155" fillId="0" borderId="0" xfId="4" applyNumberFormat="1" applyFont="1" applyBorder="1" applyAlignment="1">
      <alignment horizontal="centerContinuous"/>
    </xf>
    <xf numFmtId="164" fontId="18" fillId="0" borderId="0" xfId="4" applyNumberFormat="1" applyFont="1" applyBorder="1"/>
    <xf numFmtId="186" fontId="18" fillId="0" borderId="0" xfId="14643" applyNumberFormat="1" applyFont="1"/>
    <xf numFmtId="187" fontId="18" fillId="0" borderId="0" xfId="2" applyNumberFormat="1" applyFont="1" applyBorder="1" applyAlignment="1">
      <alignment horizontal="left"/>
    </xf>
    <xf numFmtId="187" fontId="18" fillId="0" borderId="0" xfId="2" applyNumberFormat="1" applyFont="1" applyBorder="1" applyAlignment="1">
      <alignment horizontal="fill"/>
    </xf>
    <xf numFmtId="187" fontId="18" fillId="0" borderId="0" xfId="2" applyNumberFormat="1" applyFont="1" applyBorder="1"/>
    <xf numFmtId="188" fontId="18" fillId="0" borderId="0" xfId="1" applyNumberFormat="1" applyFont="1"/>
    <xf numFmtId="37" fontId="18" fillId="0" borderId="0" xfId="14643" applyFont="1" applyBorder="1" applyAlignment="1">
      <alignment horizontal="left"/>
    </xf>
    <xf numFmtId="164" fontId="18" fillId="0" borderId="0" xfId="4" applyNumberFormat="1" applyFont="1" applyBorder="1" applyProtection="1">
      <protection locked="0"/>
    </xf>
    <xf numFmtId="189" fontId="18" fillId="0" borderId="0" xfId="14643" applyNumberFormat="1" applyFont="1" applyProtection="1"/>
    <xf numFmtId="188" fontId="18" fillId="0" borderId="2" xfId="1" applyNumberFormat="1" applyFont="1" applyBorder="1" applyProtection="1"/>
    <xf numFmtId="190" fontId="18" fillId="0" borderId="0" xfId="4" applyNumberFormat="1" applyFont="1" applyProtection="1"/>
    <xf numFmtId="37" fontId="18" fillId="0" borderId="0" xfId="14643" quotePrefix="1" applyFont="1" applyBorder="1" applyAlignment="1">
      <alignment horizontal="left"/>
    </xf>
    <xf numFmtId="187" fontId="18" fillId="0" borderId="0" xfId="2" applyNumberFormat="1" applyFont="1" applyBorder="1" applyProtection="1"/>
    <xf numFmtId="188" fontId="18" fillId="0" borderId="0" xfId="1" applyNumberFormat="1" applyFont="1" applyBorder="1" applyProtection="1"/>
    <xf numFmtId="37" fontId="18" fillId="0" borderId="0" xfId="14644" quotePrefix="1" applyFont="1" applyAlignment="1">
      <alignment horizontal="left"/>
    </xf>
    <xf numFmtId="9" fontId="18" fillId="0" borderId="0" xfId="4" applyNumberFormat="1" applyFont="1" applyBorder="1" applyProtection="1"/>
    <xf numFmtId="186" fontId="13" fillId="0" borderId="0" xfId="14643" applyNumberFormat="1" applyFont="1"/>
    <xf numFmtId="10" fontId="18" fillId="0" borderId="0" xfId="1" applyNumberFormat="1" applyFont="1" applyBorder="1" applyProtection="1"/>
    <xf numFmtId="37" fontId="18" fillId="0" borderId="0" xfId="14644" quotePrefix="1" applyFont="1" applyBorder="1" applyAlignment="1">
      <alignment horizontal="left"/>
    </xf>
    <xf numFmtId="188" fontId="18" fillId="0" borderId="0" xfId="1" applyNumberFormat="1" applyFont="1" applyFill="1" applyBorder="1" applyProtection="1"/>
    <xf numFmtId="190" fontId="18" fillId="0" borderId="0" xfId="4" applyNumberFormat="1" applyFont="1" applyBorder="1" applyProtection="1"/>
    <xf numFmtId="188" fontId="18" fillId="0" borderId="27" xfId="1" applyNumberFormat="1" applyFont="1" applyBorder="1"/>
    <xf numFmtId="164" fontId="18" fillId="0" borderId="0" xfId="4" applyNumberFormat="1" applyFont="1" applyBorder="1" applyAlignment="1">
      <alignment horizontal="right"/>
    </xf>
    <xf numFmtId="186" fontId="18" fillId="0" borderId="0" xfId="14643" applyNumberFormat="1" applyFont="1" applyProtection="1"/>
    <xf numFmtId="37" fontId="155" fillId="0" borderId="0" xfId="14644" applyFont="1"/>
    <xf numFmtId="37" fontId="18" fillId="0" borderId="0" xfId="14644" applyFont="1" applyBorder="1" applyAlignment="1">
      <alignment horizontal="left"/>
    </xf>
    <xf numFmtId="189" fontId="18" fillId="0" borderId="0" xfId="14644" applyNumberFormat="1" applyFont="1" applyProtection="1"/>
    <xf numFmtId="37" fontId="18" fillId="0" borderId="0" xfId="14644" applyFont="1" applyBorder="1"/>
    <xf numFmtId="188" fontId="18" fillId="0" borderId="27" xfId="1" applyNumberFormat="1" applyFont="1" applyBorder="1" applyProtection="1"/>
    <xf numFmtId="37" fontId="146" fillId="0" borderId="0" xfId="14644" quotePrefix="1" applyFont="1" applyBorder="1" applyAlignment="1">
      <alignment horizontal="left"/>
    </xf>
    <xf numFmtId="0" fontId="7" fillId="0" borderId="0" xfId="14645"/>
    <xf numFmtId="0" fontId="158" fillId="0" borderId="0" xfId="14645" applyFont="1" applyFill="1"/>
    <xf numFmtId="0" fontId="159" fillId="0" borderId="0" xfId="14645" applyFont="1" applyFill="1"/>
    <xf numFmtId="0" fontId="160" fillId="0" borderId="0" xfId="14645" applyFont="1"/>
    <xf numFmtId="0" fontId="161" fillId="0" borderId="0" xfId="14645" applyFont="1" applyFill="1"/>
    <xf numFmtId="0" fontId="7" fillId="0" borderId="0" xfId="14645" applyFont="1"/>
    <xf numFmtId="17" fontId="162" fillId="86" borderId="0" xfId="14645" applyNumberFormat="1" applyFont="1" applyFill="1" applyAlignment="1">
      <alignment horizontal="center" wrapText="1"/>
    </xf>
    <xf numFmtId="17" fontId="163" fillId="0" borderId="0" xfId="14645" applyNumberFormat="1" applyFont="1" applyAlignment="1">
      <alignment horizontal="center" wrapText="1"/>
    </xf>
    <xf numFmtId="187" fontId="0" fillId="0" borderId="0" xfId="14647" applyNumberFormat="1" applyFont="1" applyFill="1"/>
    <xf numFmtId="187" fontId="164" fillId="0" borderId="0" xfId="14647" applyNumberFormat="1" applyFont="1"/>
    <xf numFmtId="164" fontId="164" fillId="0" borderId="0" xfId="14646" applyNumberFormat="1" applyFont="1"/>
    <xf numFmtId="192" fontId="164" fillId="0" borderId="0" xfId="14647" applyNumberFormat="1" applyFont="1"/>
    <xf numFmtId="0" fontId="7" fillId="0" borderId="0" xfId="14645" applyFill="1"/>
    <xf numFmtId="0" fontId="157" fillId="85" borderId="0" xfId="14645" applyFont="1" applyFill="1"/>
    <xf numFmtId="187" fontId="163" fillId="0" borderId="0" xfId="14647" applyNumberFormat="1" applyFont="1" applyFill="1"/>
    <xf numFmtId="0" fontId="7" fillId="0" borderId="0" xfId="14645" applyFill="1" applyAlignment="1">
      <alignment horizontal="left" indent="2"/>
    </xf>
    <xf numFmtId="187" fontId="164" fillId="0" borderId="0" xfId="14647" applyNumberFormat="1" applyFont="1" applyFill="1"/>
    <xf numFmtId="164" fontId="164" fillId="0" borderId="0" xfId="14646" applyNumberFormat="1" applyFont="1" applyFill="1"/>
    <xf numFmtId="173" fontId="165" fillId="0" borderId="0" xfId="5126" applyNumberFormat="1" applyFont="1" applyFill="1" applyBorder="1" applyAlignment="1">
      <alignment horizontal="center" wrapText="1"/>
    </xf>
    <xf numFmtId="164" fontId="165" fillId="0" borderId="0" xfId="3950" applyNumberFormat="1" applyFont="1" applyFill="1" applyBorder="1" applyAlignment="1">
      <alignment horizontal="right" wrapText="1"/>
    </xf>
    <xf numFmtId="191" fontId="165" fillId="0" borderId="0" xfId="3950" applyNumberFormat="1" applyFont="1" applyFill="1" applyBorder="1" applyAlignment="1">
      <alignment horizontal="right" wrapText="1"/>
    </xf>
    <xf numFmtId="0" fontId="13" fillId="0" borderId="0" xfId="4614" applyFont="1" applyBorder="1"/>
    <xf numFmtId="164" fontId="4" fillId="0" borderId="0" xfId="14646" applyNumberFormat="1" applyFont="1" applyFill="1" applyBorder="1"/>
    <xf numFmtId="0" fontId="4" fillId="0" borderId="0" xfId="14645" applyFont="1"/>
    <xf numFmtId="164" fontId="7" fillId="0" borderId="0" xfId="14645" applyNumberFormat="1"/>
    <xf numFmtId="0" fontId="3" fillId="0" borderId="0" xfId="14645" applyFont="1"/>
    <xf numFmtId="0" fontId="156" fillId="0" borderId="0" xfId="0" applyFont="1" applyFill="1" applyAlignment="1">
      <alignment horizontal="center"/>
    </xf>
    <xf numFmtId="164" fontId="156" fillId="0" borderId="0" xfId="4" applyNumberFormat="1" applyFont="1" applyFill="1" applyAlignment="1">
      <alignment horizontal="center"/>
    </xf>
    <xf numFmtId="164" fontId="156" fillId="0" borderId="54" xfId="4" applyNumberFormat="1" applyFont="1" applyFill="1" applyBorder="1" applyAlignment="1">
      <alignment horizontal="center"/>
    </xf>
    <xf numFmtId="164" fontId="156" fillId="0" borderId="0" xfId="4" applyNumberFormat="1" applyFont="1" applyFill="1" applyBorder="1" applyAlignment="1">
      <alignment horizontal="center"/>
    </xf>
    <xf numFmtId="164" fontId="156" fillId="0" borderId="10" xfId="4" applyNumberFormat="1" applyFont="1" applyFill="1" applyBorder="1" applyAlignment="1">
      <alignment horizontal="center"/>
    </xf>
    <xf numFmtId="0" fontId="166" fillId="0" borderId="0" xfId="0" applyFont="1" applyFill="1"/>
    <xf numFmtId="43" fontId="163" fillId="0" borderId="0" xfId="4" applyFont="1" applyFill="1" applyAlignment="1">
      <alignment horizontal="left" wrapText="1"/>
    </xf>
    <xf numFmtId="164" fontId="163" fillId="0" borderId="0" xfId="4" applyNumberFormat="1" applyFont="1" applyFill="1" applyAlignment="1">
      <alignment horizontal="center" wrapText="1"/>
    </xf>
    <xf numFmtId="43" fontId="163" fillId="0" borderId="0" xfId="14648" applyFont="1" applyFill="1" applyAlignment="1">
      <alignment horizontal="left" wrapText="1"/>
    </xf>
    <xf numFmtId="164" fontId="163" fillId="0" borderId="0" xfId="14648" applyNumberFormat="1" applyFont="1" applyFill="1" applyAlignment="1">
      <alignment horizontal="center" wrapText="1"/>
    </xf>
    <xf numFmtId="0" fontId="3" fillId="0" borderId="0" xfId="0" applyFont="1" applyFill="1"/>
    <xf numFmtId="0" fontId="13" fillId="0" borderId="0" xfId="0" applyFont="1" applyFill="1"/>
    <xf numFmtId="164" fontId="13" fillId="0" borderId="0" xfId="4" applyNumberFormat="1" applyFont="1" applyFill="1"/>
    <xf numFmtId="164" fontId="13" fillId="0" borderId="0" xfId="4" applyNumberFormat="1" applyFont="1" applyFill="1" applyBorder="1" applyAlignment="1">
      <alignment horizontal="center"/>
    </xf>
    <xf numFmtId="0" fontId="13" fillId="0" borderId="0" xfId="0" quotePrefix="1" applyFont="1" applyFill="1" applyAlignment="1">
      <alignment horizontal="right"/>
    </xf>
    <xf numFmtId="164" fontId="3" fillId="0" borderId="54" xfId="4" applyNumberFormat="1" applyFont="1" applyFill="1" applyBorder="1"/>
    <xf numFmtId="164" fontId="3" fillId="0" borderId="0" xfId="4" applyNumberFormat="1" applyFont="1" applyFill="1" applyBorder="1"/>
    <xf numFmtId="164" fontId="13" fillId="0" borderId="54" xfId="4" applyNumberFormat="1" applyFont="1" applyFill="1" applyBorder="1"/>
    <xf numFmtId="164" fontId="13" fillId="0" borderId="0" xfId="4" applyNumberFormat="1" applyFont="1" applyFill="1" applyBorder="1"/>
    <xf numFmtId="0" fontId="13" fillId="0" borderId="0" xfId="0" applyFont="1" applyFill="1" applyBorder="1"/>
    <xf numFmtId="164" fontId="13" fillId="0" borderId="0" xfId="4" quotePrefix="1" applyNumberFormat="1" applyFont="1" applyFill="1" applyBorder="1" applyAlignment="1">
      <alignment horizontal="right"/>
    </xf>
    <xf numFmtId="164" fontId="13" fillId="0" borderId="10" xfId="4" applyNumberFormat="1" applyFont="1" applyFill="1" applyBorder="1"/>
    <xf numFmtId="43" fontId="13" fillId="0" borderId="0" xfId="4" applyNumberFormat="1" applyFont="1" applyFill="1" applyBorder="1"/>
    <xf numFmtId="0" fontId="13" fillId="0" borderId="0" xfId="0" applyFont="1" applyFill="1" applyAlignment="1">
      <alignment horizontal="right"/>
    </xf>
    <xf numFmtId="164" fontId="13" fillId="0" borderId="50" xfId="0" applyNumberFormat="1" applyFont="1" applyFill="1" applyBorder="1"/>
    <xf numFmtId="164" fontId="13" fillId="0" borderId="55" xfId="0" applyNumberFormat="1" applyFont="1" applyFill="1" applyBorder="1"/>
    <xf numFmtId="164" fontId="13" fillId="0" borderId="56" xfId="0" applyNumberFormat="1" applyFont="1" applyFill="1" applyBorder="1"/>
    <xf numFmtId="164" fontId="13" fillId="0" borderId="0" xfId="0" applyNumberFormat="1" applyFont="1" applyFill="1"/>
    <xf numFmtId="0" fontId="156" fillId="0" borderId="0" xfId="0" applyFont="1" applyFill="1"/>
    <xf numFmtId="164" fontId="13" fillId="0" borderId="50" xfId="4" applyNumberFormat="1" applyFont="1" applyFill="1" applyBorder="1"/>
    <xf numFmtId="164" fontId="3" fillId="0" borderId="50" xfId="4" applyNumberFormat="1" applyFont="1" applyFill="1" applyBorder="1"/>
    <xf numFmtId="43" fontId="163" fillId="0" borderId="0" xfId="4" applyFont="1" applyFill="1"/>
    <xf numFmtId="43" fontId="13" fillId="0" borderId="0" xfId="4" applyFont="1" applyFill="1"/>
    <xf numFmtId="43" fontId="3" fillId="0" borderId="0" xfId="4" applyFont="1" applyFill="1" applyAlignment="1">
      <alignment horizontal="left"/>
    </xf>
    <xf numFmtId="43" fontId="3" fillId="0" borderId="0" xfId="14648" applyFont="1" applyFill="1" applyAlignment="1">
      <alignment horizontal="left"/>
    </xf>
    <xf numFmtId="164" fontId="13" fillId="0" borderId="0" xfId="14648" applyNumberFormat="1" applyFont="1" applyFill="1"/>
    <xf numFmtId="43" fontId="13" fillId="0" borderId="0" xfId="4" applyFont="1" applyFill="1" applyAlignment="1">
      <alignment horizontal="left"/>
    </xf>
    <xf numFmtId="43" fontId="13" fillId="0" borderId="0" xfId="14648" applyFont="1" applyFill="1" applyAlignment="1">
      <alignment horizontal="left"/>
    </xf>
    <xf numFmtId="43" fontId="161" fillId="0" borderId="0" xfId="4" applyFont="1" applyFill="1" applyAlignment="1">
      <alignment horizontal="left"/>
    </xf>
    <xf numFmtId="164" fontId="3" fillId="0" borderId="0" xfId="4" applyNumberFormat="1" applyFont="1" applyFill="1"/>
    <xf numFmtId="43" fontId="13" fillId="0" borderId="0" xfId="14648" applyFont="1" applyFill="1"/>
    <xf numFmtId="164" fontId="3" fillId="0" borderId="0" xfId="14648" applyNumberFormat="1" applyFont="1" applyFill="1"/>
    <xf numFmtId="43" fontId="3" fillId="0" borderId="0" xfId="14648" applyFont="1" applyFill="1"/>
    <xf numFmtId="164" fontId="3" fillId="0" borderId="0" xfId="0" applyNumberFormat="1" applyFont="1" applyFill="1"/>
    <xf numFmtId="43" fontId="3" fillId="0" borderId="0" xfId="4" applyFont="1" applyFill="1"/>
    <xf numFmtId="164" fontId="3" fillId="0" borderId="2" xfId="14648" applyNumberFormat="1" applyFont="1" applyFill="1" applyBorder="1"/>
    <xf numFmtId="164" fontId="13" fillId="0" borderId="2" xfId="0" applyNumberFormat="1" applyFont="1" applyFill="1" applyBorder="1"/>
    <xf numFmtId="164" fontId="3" fillId="0" borderId="2" xfId="4" applyNumberFormat="1" applyFont="1" applyFill="1" applyBorder="1"/>
    <xf numFmtId="164" fontId="13" fillId="0" borderId="2" xfId="4" applyNumberFormat="1" applyFont="1" applyFill="1" applyBorder="1"/>
    <xf numFmtId="0" fontId="165" fillId="0" borderId="0" xfId="5126" applyFont="1" applyFill="1" applyBorder="1" applyAlignment="1">
      <alignment horizontal="right"/>
    </xf>
    <xf numFmtId="43" fontId="167" fillId="0" borderId="0" xfId="14657" applyFont="1" applyBorder="1" applyAlignment="1">
      <alignment horizontal="left"/>
    </xf>
    <xf numFmtId="41" fontId="37" fillId="0" borderId="0" xfId="11003" applyFont="1" applyBorder="1"/>
    <xf numFmtId="0" fontId="168" fillId="0" borderId="0" xfId="14663" applyFont="1"/>
    <xf numFmtId="41" fontId="167" fillId="0" borderId="0" xfId="11003" quotePrefix="1" applyFont="1" applyBorder="1" applyAlignment="1">
      <alignment horizontal="right"/>
    </xf>
    <xf numFmtId="0" fontId="168" fillId="0" borderId="0" xfId="14663" applyFont="1" applyBorder="1"/>
    <xf numFmtId="41" fontId="37" fillId="0" borderId="0" xfId="11003" applyFont="1"/>
    <xf numFmtId="41" fontId="167" fillId="0" borderId="0" xfId="11003" applyFont="1" applyBorder="1" applyAlignment="1">
      <alignment horizontal="left"/>
    </xf>
    <xf numFmtId="41" fontId="167" fillId="0" borderId="0" xfId="11003" applyFont="1" applyBorder="1" applyAlignment="1">
      <alignment horizontal="right"/>
    </xf>
    <xf numFmtId="41" fontId="37" fillId="0" borderId="0" xfId="11003" applyFont="1" applyBorder="1" applyAlignment="1">
      <alignment horizontal="left"/>
    </xf>
    <xf numFmtId="0" fontId="168" fillId="0" borderId="2" xfId="14663" applyFont="1" applyBorder="1" applyAlignment="1">
      <alignment horizontal="right"/>
    </xf>
    <xf numFmtId="0" fontId="168" fillId="0" borderId="0" xfId="14663" applyFont="1" applyAlignment="1">
      <alignment horizontal="right"/>
    </xf>
    <xf numFmtId="0" fontId="168" fillId="0" borderId="0" xfId="14663" applyFont="1" applyBorder="1" applyAlignment="1">
      <alignment horizontal="right"/>
    </xf>
    <xf numFmtId="0" fontId="168" fillId="0" borderId="0" xfId="14663" applyFont="1" applyFill="1" applyBorder="1" applyAlignment="1">
      <alignment horizontal="right"/>
    </xf>
    <xf numFmtId="0" fontId="169" fillId="0" borderId="0" xfId="14663" applyFont="1" applyBorder="1" applyAlignment="1">
      <alignment horizontal="right"/>
    </xf>
    <xf numFmtId="0" fontId="169" fillId="0" borderId="0" xfId="14663" applyFont="1" applyBorder="1" applyAlignment="1">
      <alignment horizontal="center"/>
    </xf>
    <xf numFmtId="0" fontId="168" fillId="0" borderId="2" xfId="14663" applyFont="1" applyBorder="1" applyAlignment="1">
      <alignment horizontal="centerContinuous"/>
    </xf>
    <xf numFmtId="0" fontId="169" fillId="0" borderId="3" xfId="14663" applyFont="1" applyBorder="1" applyAlignment="1">
      <alignment horizontal="left"/>
    </xf>
    <xf numFmtId="0" fontId="169" fillId="0" borderId="3" xfId="14663" applyFont="1" applyBorder="1" applyAlignment="1">
      <alignment horizontal="center"/>
    </xf>
    <xf numFmtId="0" fontId="169" fillId="0" borderId="0" xfId="14663" applyFont="1" applyFill="1" applyBorder="1" applyAlignment="1">
      <alignment horizontal="center"/>
    </xf>
    <xf numFmtId="0" fontId="168" fillId="0" borderId="0" xfId="14663" applyFont="1" applyAlignment="1">
      <alignment horizontal="center"/>
    </xf>
    <xf numFmtId="187" fontId="168" fillId="0" borderId="0" xfId="14659" applyNumberFormat="1" applyFont="1" applyAlignment="1">
      <alignment horizontal="center"/>
    </xf>
    <xf numFmtId="0" fontId="1" fillId="0" borderId="0" xfId="14663"/>
    <xf numFmtId="187" fontId="168" fillId="0" borderId="0" xfId="14664" applyNumberFormat="1" applyFont="1" applyAlignment="1">
      <alignment horizontal="center"/>
    </xf>
    <xf numFmtId="10" fontId="168" fillId="0" borderId="0" xfId="14663" applyNumberFormat="1" applyFont="1" applyAlignment="1">
      <alignment horizontal="center"/>
    </xf>
    <xf numFmtId="37" fontId="168" fillId="0" borderId="0" xfId="14663" applyNumberFormat="1" applyFont="1" applyAlignment="1">
      <alignment horizontal="center"/>
    </xf>
    <xf numFmtId="10" fontId="168" fillId="0" borderId="0" xfId="14665" applyNumberFormat="1" applyFont="1" applyAlignment="1">
      <alignment horizontal="center"/>
    </xf>
    <xf numFmtId="187" fontId="168" fillId="0" borderId="0" xfId="14664" applyNumberFormat="1" applyFont="1" applyFill="1" applyAlignment="1">
      <alignment horizontal="center"/>
    </xf>
    <xf numFmtId="10" fontId="168" fillId="0" borderId="0" xfId="14665" applyNumberFormat="1" applyFont="1" applyFill="1" applyAlignment="1">
      <alignment horizontal="center"/>
    </xf>
    <xf numFmtId="42" fontId="168" fillId="0" borderId="0" xfId="14663" applyNumberFormat="1" applyFont="1" applyAlignment="1">
      <alignment horizontal="center"/>
    </xf>
    <xf numFmtId="0" fontId="168" fillId="0" borderId="0" xfId="14663" applyFont="1" applyFill="1" applyAlignment="1">
      <alignment horizontal="center"/>
    </xf>
    <xf numFmtId="187" fontId="168" fillId="0" borderId="26" xfId="14659" applyNumberFormat="1" applyFont="1" applyFill="1" applyBorder="1" applyAlignment="1">
      <alignment horizontal="center"/>
    </xf>
    <xf numFmtId="10" fontId="168" fillId="0" borderId="26" xfId="14665" applyNumberFormat="1" applyFont="1" applyFill="1" applyBorder="1" applyAlignment="1">
      <alignment horizontal="center"/>
    </xf>
    <xf numFmtId="164" fontId="168" fillId="0" borderId="0" xfId="14662" applyNumberFormat="1" applyFont="1" applyFill="1" applyAlignment="1">
      <alignment horizontal="center"/>
    </xf>
    <xf numFmtId="0" fontId="168" fillId="0" borderId="0" xfId="14663" applyFont="1" applyFill="1"/>
    <xf numFmtId="187" fontId="168" fillId="0" borderId="0" xfId="14662" applyNumberFormat="1" applyFont="1" applyFill="1" applyAlignment="1">
      <alignment horizontal="center"/>
    </xf>
    <xf numFmtId="10" fontId="168" fillId="0" borderId="0" xfId="14665" applyNumberFormat="1" applyFont="1" applyFill="1" applyBorder="1" applyAlignment="1">
      <alignment horizontal="center"/>
    </xf>
    <xf numFmtId="164" fontId="168" fillId="0" borderId="0" xfId="14663" applyNumberFormat="1" applyFont="1"/>
    <xf numFmtId="0" fontId="168" fillId="0" borderId="0" xfId="14663" applyFont="1" applyAlignment="1">
      <alignment horizontal="center" wrapText="1"/>
    </xf>
    <xf numFmtId="9" fontId="168" fillId="0" borderId="0" xfId="1" applyFont="1" applyAlignment="1">
      <alignment horizontal="center" wrapText="1"/>
    </xf>
    <xf numFmtId="187" fontId="168" fillId="0" borderId="0" xfId="14663" applyNumberFormat="1" applyFont="1"/>
    <xf numFmtId="193" fontId="168" fillId="0" borderId="0" xfId="1" applyNumberFormat="1" applyFont="1"/>
    <xf numFmtId="193" fontId="168" fillId="0" borderId="0" xfId="14665" applyNumberFormat="1" applyFont="1"/>
    <xf numFmtId="10" fontId="168" fillId="0" borderId="0" xfId="14665" applyNumberFormat="1" applyFont="1"/>
    <xf numFmtId="0" fontId="168" fillId="0" borderId="0" xfId="14663" applyFont="1" applyBorder="1" applyAlignment="1">
      <alignment horizontal="left"/>
    </xf>
    <xf numFmtId="164" fontId="0" fillId="0" borderId="2" xfId="0" applyNumberFormat="1" applyBorder="1"/>
    <xf numFmtId="164" fontId="0" fillId="0" borderId="0" xfId="0" applyNumberFormat="1"/>
    <xf numFmtId="164" fontId="0" fillId="0" borderId="0" xfId="4" applyNumberFormat="1" applyFont="1" applyBorder="1"/>
    <xf numFmtId="49" fontId="13" fillId="0" borderId="0" xfId="5126" applyNumberFormat="1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43" fontId="0" fillId="0" borderId="0" xfId="0" applyNumberFormat="1" applyFill="1" applyBorder="1"/>
    <xf numFmtId="0" fontId="0" fillId="0" borderId="0" xfId="0" applyBorder="1"/>
    <xf numFmtId="164" fontId="0" fillId="0" borderId="0" xfId="4" applyNumberFormat="1" applyFont="1" applyFill="1" applyBorder="1"/>
    <xf numFmtId="0" fontId="165" fillId="0" borderId="0" xfId="5126" applyFont="1" applyFill="1" applyBorder="1" applyAlignment="1">
      <alignment horizontal="left" wrapText="1"/>
    </xf>
    <xf numFmtId="43" fontId="170" fillId="0" borderId="0" xfId="1" applyNumberFormat="1" applyFont="1" applyFill="1" applyBorder="1" applyAlignment="1">
      <alignment horizontal="right" wrapText="1"/>
    </xf>
    <xf numFmtId="43" fontId="81" fillId="0" borderId="0" xfId="5126" applyNumberFormat="1" applyFont="1" applyFill="1" applyBorder="1" applyAlignment="1">
      <alignment horizontal="left" vertical="top"/>
    </xf>
    <xf numFmtId="164" fontId="170" fillId="0" borderId="0" xfId="3950" applyNumberFormat="1" applyFont="1" applyFill="1" applyBorder="1" applyAlignment="1">
      <alignment horizontal="right" wrapText="1"/>
    </xf>
    <xf numFmtId="191" fontId="171" fillId="0" borderId="0" xfId="3950" applyNumberFormat="1" applyFont="1" applyFill="1" applyBorder="1" applyAlignment="1">
      <alignment horizontal="right" wrapText="1"/>
    </xf>
    <xf numFmtId="0" fontId="81" fillId="0" borderId="0" xfId="5126" quotePrefix="1" applyFont="1" applyFill="1" applyBorder="1" applyAlignment="1">
      <alignment horizontal="right"/>
    </xf>
    <xf numFmtId="49" fontId="13" fillId="0" borderId="0" xfId="5126" applyNumberFormat="1" applyFont="1" applyFill="1" applyBorder="1" applyAlignment="1">
      <alignment horizontal="right"/>
    </xf>
    <xf numFmtId="182" fontId="81" fillId="0" borderId="0" xfId="12089" applyNumberFormat="1" applyFont="1" applyFill="1" applyBorder="1" applyAlignment="1">
      <alignment horizontal="right" wrapText="1"/>
    </xf>
    <xf numFmtId="182" fontId="81" fillId="0" borderId="2" xfId="12089" applyNumberFormat="1" applyFont="1" applyFill="1" applyBorder="1" applyAlignment="1">
      <alignment horizontal="right" wrapText="1"/>
    </xf>
    <xf numFmtId="0" fontId="13" fillId="0" borderId="0" xfId="4614" applyFont="1"/>
    <xf numFmtId="0" fontId="12" fillId="0" borderId="0" xfId="4614" applyFont="1"/>
    <xf numFmtId="194" fontId="81" fillId="0" borderId="0" xfId="12089" applyNumberFormat="1" applyFont="1" applyFill="1" applyBorder="1" applyAlignment="1">
      <alignment horizontal="left" vertical="top"/>
    </xf>
    <xf numFmtId="182" fontId="81" fillId="0" borderId="27" xfId="12089" applyNumberFormat="1" applyFont="1" applyFill="1" applyBorder="1" applyAlignment="1">
      <alignment horizontal="right" wrapText="1"/>
    </xf>
    <xf numFmtId="195" fontId="81" fillId="0" borderId="0" xfId="12089" applyNumberFormat="1" applyFont="1" applyFill="1" applyBorder="1" applyAlignment="1">
      <alignment horizontal="right" wrapText="1"/>
    </xf>
    <xf numFmtId="0" fontId="13" fillId="0" borderId="0" xfId="0" applyFont="1" applyBorder="1"/>
    <xf numFmtId="49" fontId="13" fillId="0" borderId="0" xfId="5126" applyNumberFormat="1" applyFont="1" applyFill="1" applyBorder="1" applyAlignment="1">
      <alignment horizontal="center"/>
    </xf>
    <xf numFmtId="0" fontId="13" fillId="0" borderId="0" xfId="5126" applyFont="1" applyFill="1" applyBorder="1" applyAlignment="1">
      <alignment horizontal="center"/>
    </xf>
    <xf numFmtId="0" fontId="81" fillId="0" borderId="26" xfId="5126" applyFont="1" applyFill="1" applyBorder="1" applyAlignment="1">
      <alignment horizontal="center"/>
    </xf>
    <xf numFmtId="37" fontId="18" fillId="0" borderId="0" xfId="14643" applyFont="1" applyAlignment="1">
      <alignment horizontal="center"/>
    </xf>
    <xf numFmtId="37" fontId="155" fillId="0" borderId="0" xfId="14643" quotePrefix="1" applyFont="1" applyAlignment="1">
      <alignment horizontal="center"/>
    </xf>
    <xf numFmtId="164" fontId="13" fillId="0" borderId="47" xfId="4" applyNumberFormat="1" applyFont="1" applyFill="1" applyBorder="1" applyAlignment="1">
      <alignment horizontal="center"/>
    </xf>
    <xf numFmtId="164" fontId="13" fillId="0" borderId="48" xfId="4" applyNumberFormat="1" applyFont="1" applyFill="1" applyBorder="1" applyAlignment="1">
      <alignment horizontal="center"/>
    </xf>
    <xf numFmtId="164" fontId="13" fillId="0" borderId="49" xfId="4" applyNumberFormat="1" applyFont="1" applyFill="1" applyBorder="1" applyAlignment="1">
      <alignment horizontal="center"/>
    </xf>
    <xf numFmtId="164" fontId="3" fillId="0" borderId="51" xfId="4" applyNumberFormat="1" applyFont="1" applyFill="1" applyBorder="1" applyAlignment="1">
      <alignment horizontal="center"/>
    </xf>
    <xf numFmtId="164" fontId="3" fillId="0" borderId="52" xfId="4" applyNumberFormat="1" applyFont="1" applyFill="1" applyBorder="1" applyAlignment="1">
      <alignment horizontal="center"/>
    </xf>
    <xf numFmtId="164" fontId="3" fillId="0" borderId="53" xfId="4" applyNumberFormat="1" applyFont="1" applyFill="1" applyBorder="1" applyAlignment="1">
      <alignment horizontal="center"/>
    </xf>
    <xf numFmtId="164" fontId="13" fillId="0" borderId="51" xfId="4" applyNumberFormat="1" applyFont="1" applyFill="1" applyBorder="1" applyAlignment="1">
      <alignment horizontal="center"/>
    </xf>
    <xf numFmtId="164" fontId="13" fillId="0" borderId="52" xfId="4" applyNumberFormat="1" applyFont="1" applyFill="1" applyBorder="1" applyAlignment="1">
      <alignment horizontal="center"/>
    </xf>
    <xf numFmtId="164" fontId="13" fillId="0" borderId="53" xfId="4" applyNumberFormat="1" applyFont="1" applyFill="1" applyBorder="1" applyAlignment="1">
      <alignment horizontal="center"/>
    </xf>
  </cellXfs>
  <cellStyles count="14666">
    <cellStyle name="%" xfId="14316"/>
    <cellStyle name="_Ebill Paper Bill ARC Recovery" xfId="14317"/>
    <cellStyle name="_MTC Resource Unit Baseline by state 050920 v2" xfId="14318"/>
    <cellStyle name="_Row1" xfId="10"/>
    <cellStyle name="_Row1 2" xfId="11"/>
    <cellStyle name="_Term for Change of Control" xfId="14319"/>
    <cellStyle name="_Term for Convenience" xfId="14320"/>
    <cellStyle name="_Transformation Projects Cap vs Exp Master" xfId="14321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2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3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4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5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6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7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8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59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0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1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2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3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4"/>
    <cellStyle name="20% - Accent4 2 3 2 2 3" xfId="722"/>
    <cellStyle name="20% - Accent4 2 3 2 2 4" xfId="723"/>
    <cellStyle name="20% - Accent4 2 3 2 2 5" xfId="14465"/>
    <cellStyle name="20% - Accent4 2 3 2 3" xfId="724"/>
    <cellStyle name="20% - Accent4 2 3 2 3 2" xfId="725"/>
    <cellStyle name="20% - Accent4 2 3 2 3 3" xfId="14466"/>
    <cellStyle name="20% - Accent4 2 3 2 4" xfId="726"/>
    <cellStyle name="20% - Accent4 2 3 2 5" xfId="727"/>
    <cellStyle name="20% - Accent4 2 3 2 6" xfId="14467"/>
    <cellStyle name="20% - Accent4 2 3 3" xfId="728"/>
    <cellStyle name="20% - Accent4 2 3 3 2" xfId="729"/>
    <cellStyle name="20% - Accent4 2 3 3 2 2" xfId="730"/>
    <cellStyle name="20% - Accent4 2 3 3 2 3" xfId="14468"/>
    <cellStyle name="20% - Accent4 2 3 3 3" xfId="731"/>
    <cellStyle name="20% - Accent4 2 3 3 4" xfId="732"/>
    <cellStyle name="20% - Accent4 2 3 3 5" xfId="14469"/>
    <cellStyle name="20% - Accent4 2 3 4" xfId="733"/>
    <cellStyle name="20% - Accent4 2 3 4 2" xfId="734"/>
    <cellStyle name="20% - Accent4 2 3 4 3" xfId="14470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1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2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3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4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5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6"/>
    <cellStyle name="20% - Accent4 3 3 2 2 3" xfId="802"/>
    <cellStyle name="20% - Accent4 3 3 2 2 4" xfId="803"/>
    <cellStyle name="20% - Accent4 3 3 2 2 5" xfId="14477"/>
    <cellStyle name="20% - Accent4 3 3 2 3" xfId="804"/>
    <cellStyle name="20% - Accent4 3 3 2 3 2" xfId="805"/>
    <cellStyle name="20% - Accent4 3 3 2 3 3" xfId="14478"/>
    <cellStyle name="20% - Accent4 3 3 2 4" xfId="806"/>
    <cellStyle name="20% - Accent4 3 3 2 5" xfId="807"/>
    <cellStyle name="20% - Accent4 3 3 2 6" xfId="14479"/>
    <cellStyle name="20% - Accent4 3 3 3" xfId="808"/>
    <cellStyle name="20% - Accent4 3 3 3 2" xfId="809"/>
    <cellStyle name="20% - Accent4 3 3 3 2 2" xfId="810"/>
    <cellStyle name="20% - Accent4 3 3 3 2 3" xfId="14480"/>
    <cellStyle name="20% - Accent4 3 3 3 3" xfId="811"/>
    <cellStyle name="20% - Accent4 3 3 3 4" xfId="812"/>
    <cellStyle name="20% - Accent4 3 3 3 5" xfId="14481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2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3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4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5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6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7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8"/>
    <cellStyle name="20% - Accent4 4 3 2 2 3" xfId="882"/>
    <cellStyle name="20% - Accent4 4 3 2 2 4" xfId="883"/>
    <cellStyle name="20% - Accent4 4 3 2 2 5" xfId="14489"/>
    <cellStyle name="20% - Accent4 4 3 2 3" xfId="884"/>
    <cellStyle name="20% - Accent4 4 3 2 3 2" xfId="885"/>
    <cellStyle name="20% - Accent4 4 3 2 3 3" xfId="14490"/>
    <cellStyle name="20% - Accent4 4 3 2 4" xfId="886"/>
    <cellStyle name="20% - Accent4 4 3 2 5" xfId="887"/>
    <cellStyle name="20% - Accent4 4 3 2 6" xfId="14491"/>
    <cellStyle name="20% - Accent4 4 3 3" xfId="888"/>
    <cellStyle name="20% - Accent4 4 3 3 2" xfId="889"/>
    <cellStyle name="20% - Accent4 4 3 3 2 2" xfId="890"/>
    <cellStyle name="20% - Accent4 4 3 3 2 3" xfId="14492"/>
    <cellStyle name="20% - Accent4 4 3 3 3" xfId="891"/>
    <cellStyle name="20% - Accent4 4 3 3 4" xfId="892"/>
    <cellStyle name="20% - Accent4 4 3 3 5" xfId="14493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4"/>
    <cellStyle name="20% - Accent4 6 2 2 3" xfId="958"/>
    <cellStyle name="20% - Accent4 6 2 2 4" xfId="14495"/>
    <cellStyle name="20% - Accent4 6 2 3" xfId="959"/>
    <cellStyle name="20% - Accent4 6 2 3 2" xfId="960"/>
    <cellStyle name="20% - Accent4 6 2 3 3" xfId="14496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7"/>
    <cellStyle name="20% - Accent4 6 3 3" xfId="965"/>
    <cellStyle name="20% - Accent4 6 3 4" xfId="14498"/>
    <cellStyle name="20% - Accent4 6 4" xfId="966"/>
    <cellStyle name="20% - Accent4 6 4 2" xfId="967"/>
    <cellStyle name="20% - Accent4 6 4 3" xfId="14499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0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1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2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3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4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5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6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7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8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09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0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1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2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3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4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5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6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7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8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19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0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1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2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3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2"/>
    <cellStyle name="C00B" xfId="14323"/>
    <cellStyle name="C00L" xfId="14324"/>
    <cellStyle name="C01A" xfId="14325"/>
    <cellStyle name="C01B" xfId="14326"/>
    <cellStyle name="C01H" xfId="14327"/>
    <cellStyle name="C01L" xfId="14328"/>
    <cellStyle name="C02A" xfId="14329"/>
    <cellStyle name="C02B" xfId="14330"/>
    <cellStyle name="C02H" xfId="14331"/>
    <cellStyle name="C02L" xfId="14332"/>
    <cellStyle name="C03A" xfId="14333"/>
    <cellStyle name="C03B" xfId="14334"/>
    <cellStyle name="C03H" xfId="14335"/>
    <cellStyle name="C03L" xfId="14336"/>
    <cellStyle name="C04A" xfId="14337"/>
    <cellStyle name="C04B" xfId="14338"/>
    <cellStyle name="C04H" xfId="14339"/>
    <cellStyle name="C04L" xfId="14340"/>
    <cellStyle name="C05A" xfId="14341"/>
    <cellStyle name="C05B" xfId="14342"/>
    <cellStyle name="C05H" xfId="14343"/>
    <cellStyle name="C05L" xfId="14344"/>
    <cellStyle name="C06A" xfId="14345"/>
    <cellStyle name="C06B" xfId="14346"/>
    <cellStyle name="C06H" xfId="14347"/>
    <cellStyle name="C06L" xfId="14348"/>
    <cellStyle name="C07A" xfId="14349"/>
    <cellStyle name="C07B" xfId="14350"/>
    <cellStyle name="C07H" xfId="14351"/>
    <cellStyle name="C07L" xfId="14352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4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5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6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7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8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29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0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3"/>
    <cellStyle name="Comma 101" xfId="14354"/>
    <cellStyle name="Comma 102" xfId="14355"/>
    <cellStyle name="Comma 103" xfId="14356"/>
    <cellStyle name="Comma 104" xfId="14357"/>
    <cellStyle name="Comma 105" xfId="14358"/>
    <cellStyle name="Comma 106" xfId="14359"/>
    <cellStyle name="Comma 107" xfId="14402"/>
    <cellStyle name="Comma 108" xfId="14403"/>
    <cellStyle name="Comma 109" xfId="14404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5"/>
    <cellStyle name="Comma 111" xfId="14406"/>
    <cellStyle name="Comma 112" xfId="14407"/>
    <cellStyle name="Comma 113" xfId="14408"/>
    <cellStyle name="Comma 114" xfId="14409"/>
    <cellStyle name="Comma 115" xfId="14410"/>
    <cellStyle name="Comma 116" xfId="14630"/>
    <cellStyle name="Comma 117" xfId="14646"/>
    <cellStyle name="Comma 118" xfId="14648"/>
    <cellStyle name="Comma 119" xfId="14651"/>
    <cellStyle name="Comma 119 2" xfId="14655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1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2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3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4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5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6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7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8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39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0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1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2"/>
    <cellStyle name="Comma 3 4 2 2 3" xfId="3681"/>
    <cellStyle name="Comma 3 4 2 2 4" xfId="3682"/>
    <cellStyle name="Comma 3 4 2 2 5" xfId="14543"/>
    <cellStyle name="Comma 3 4 2 3" xfId="3683"/>
    <cellStyle name="Comma 3 4 2 3 2" xfId="3684"/>
    <cellStyle name="Comma 3 4 2 3 3" xfId="14544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5"/>
    <cellStyle name="Comma 3 4 3 3" xfId="3690"/>
    <cellStyle name="Comma 3 4 3 4" xfId="3691"/>
    <cellStyle name="Comma 3 4 3 5" xfId="14546"/>
    <cellStyle name="Comma 3 4 4" xfId="3692"/>
    <cellStyle name="Comma 3 4 4 2" xfId="3693"/>
    <cellStyle name="Comma 3 4 4 3" xfId="14547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8"/>
    <cellStyle name="Comma 3 5 2 3" xfId="3702"/>
    <cellStyle name="Comma 3 5 2 3 2" xfId="3703"/>
    <cellStyle name="Comma 3 5 2 4" xfId="3704"/>
    <cellStyle name="Comma 3 5 2 5" xfId="3705"/>
    <cellStyle name="Comma 3 5 2 6" xfId="14549"/>
    <cellStyle name="Comma 3 5 3" xfId="3706"/>
    <cellStyle name="Comma 3 5 3 2" xfId="3707"/>
    <cellStyle name="Comma 3 5 3 2 2" xfId="3708"/>
    <cellStyle name="Comma 3 5 3 3" xfId="3709"/>
    <cellStyle name="Comma 3 5 3 4" xfId="14550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1"/>
    <cellStyle name="Comma 3 6 3" xfId="3720"/>
    <cellStyle name="Comma 3 6 3 2" xfId="3721"/>
    <cellStyle name="Comma 3 6 4" xfId="3722"/>
    <cellStyle name="Comma 3 6 5" xfId="3723"/>
    <cellStyle name="Comma 3 6 6" xfId="14552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3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1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14" xfId="14657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4"/>
    <cellStyle name="Comma 7 11" xfId="14662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5"/>
    <cellStyle name="Comma 7 8 3" xfId="14556"/>
    <cellStyle name="Comma 7 9" xfId="14557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0"/>
    <cellStyle name="Comma 89" xfId="14361"/>
    <cellStyle name="Comma 9" xfId="3951"/>
    <cellStyle name="Comma 9 10" xfId="14558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1"/>
    <cellStyle name="Comma 91" xfId="14362"/>
    <cellStyle name="Comma 92" xfId="14363"/>
    <cellStyle name="Comma 93" xfId="14364"/>
    <cellStyle name="Comma 94" xfId="14365"/>
    <cellStyle name="Comma 95" xfId="14366"/>
    <cellStyle name="Comma 96" xfId="14367"/>
    <cellStyle name="Comma 97" xfId="14412"/>
    <cellStyle name="Comma 98" xfId="14368"/>
    <cellStyle name="Comma 99" xfId="14369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59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3"/>
    <cellStyle name="Currency 165" xfId="14414"/>
    <cellStyle name="Currency 166" xfId="14415"/>
    <cellStyle name="Currency 167" xfId="14416"/>
    <cellStyle name="Currency 168" xfId="14417"/>
    <cellStyle name="Currency 169" xfId="14418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19"/>
    <cellStyle name="Currency 171" xfId="14420"/>
    <cellStyle name="Currency 172" xfId="14421"/>
    <cellStyle name="Currency 173" xfId="14422"/>
    <cellStyle name="Currency 174" xfId="14423"/>
    <cellStyle name="Currency 175" xfId="14632"/>
    <cellStyle name="Currency 176" xfId="14647"/>
    <cellStyle name="Currency 177" xfId="14654"/>
    <cellStyle name="Currency 178" xfId="14660"/>
    <cellStyle name="Currency 178 2" xfId="14664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0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 9" xfId="14659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1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2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3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4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5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6"/>
    <cellStyle name="Normal 13 2 3" xfId="10867"/>
    <cellStyle name="Normal 13 2 4" xfId="14567"/>
    <cellStyle name="Normal 13 3" xfId="10868"/>
    <cellStyle name="Normal 13 3 2" xfId="14568"/>
    <cellStyle name="Normal 13 4" xfId="14569"/>
    <cellStyle name="Normal 13 5" xfId="14570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3"/>
    <cellStyle name="Normal 16" xfId="4728"/>
    <cellStyle name="Normal 16 2" xfId="4729"/>
    <cellStyle name="Normal 16 2 2" xfId="10947"/>
    <cellStyle name="Normal 16 2 2 2" xfId="14571"/>
    <cellStyle name="Normal 16 2 3" xfId="14572"/>
    <cellStyle name="Normal 16 2 4" xfId="14573"/>
    <cellStyle name="Normal 16 3" xfId="14424"/>
    <cellStyle name="Normal 16 3 2" xfId="14574"/>
    <cellStyle name="Normal 16 4" xfId="14575"/>
    <cellStyle name="Normal 16 5" xfId="14576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7"/>
    <cellStyle name="Normal 19 2 3" xfId="14578"/>
    <cellStyle name="Normal 19 2 4" xfId="14579"/>
    <cellStyle name="Normal 19 3" xfId="14425"/>
    <cellStyle name="Normal 19 3 2" xfId="14580"/>
    <cellStyle name="Normal 19 4" xfId="14581"/>
    <cellStyle name="Normal 19 5" xfId="14582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3"/>
    <cellStyle name="Normal 2 6 3" xfId="11095"/>
    <cellStyle name="Normal 2 6 4" xfId="14584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4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5"/>
    <cellStyle name="Normal 21 3" xfId="14586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7"/>
    <cellStyle name="Normal 23" xfId="4808"/>
    <cellStyle name="Normal 23 2" xfId="4809"/>
    <cellStyle name="Normal 23 2 2" xfId="11133"/>
    <cellStyle name="Normal 23 2 2 2" xfId="14588"/>
    <cellStyle name="Normal 23 2 3" xfId="11134"/>
    <cellStyle name="Normal 23 2 4" xfId="11135"/>
    <cellStyle name="Normal 23 2 5" xfId="11136"/>
    <cellStyle name="Normal 23 3" xfId="4810"/>
    <cellStyle name="Normal 23 3 2" xfId="14589"/>
    <cellStyle name="Normal 23 3 3" xfId="14590"/>
    <cellStyle name="Normal 23 4" xfId="14591"/>
    <cellStyle name="Normal 23 5" xfId="14592"/>
    <cellStyle name="Normal 24" xfId="4811"/>
    <cellStyle name="Normal 24 2" xfId="4812"/>
    <cellStyle name="Normal 24 2 2" xfId="14593"/>
    <cellStyle name="Normal 24 3" xfId="4813"/>
    <cellStyle name="Normal 24 4" xfId="14594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2 3" xfId="14652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5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5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6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7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6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8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39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0"/>
    <cellStyle name="Normal 70" xfId="11633"/>
    <cellStyle name="Normal 71" xfId="13499"/>
    <cellStyle name="Normal 72" xfId="14315"/>
    <cellStyle name="Normal 73" xfId="14426"/>
    <cellStyle name="Normal 74" xfId="14427"/>
    <cellStyle name="Normal 75" xfId="14428"/>
    <cellStyle name="Normal 76" xfId="14429"/>
    <cellStyle name="Normal 77" xfId="14430"/>
    <cellStyle name="Normal 78" xfId="14431"/>
    <cellStyle name="Normal 79" xfId="14432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1"/>
    <cellStyle name="Normal 80" xfId="14433"/>
    <cellStyle name="Normal 81" xfId="14434"/>
    <cellStyle name="Normal 82" xfId="14435"/>
    <cellStyle name="Normal 83" xfId="14436"/>
    <cellStyle name="Normal 84" xfId="14645"/>
    <cellStyle name="Normal 85" xfId="14649"/>
    <cellStyle name="Normal 86" xfId="14653"/>
    <cellStyle name="Normal 87" xfId="14658"/>
    <cellStyle name="Normal 87 2" xfId="14663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7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8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599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0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1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Composite Tax Rates" xfId="14644"/>
    <cellStyle name="Normal_KU RR Exhibits 12mosAPR 2008 SETTLEMENT JAN09 (Working File)" xfId="14643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2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3"/>
    <cellStyle name="Note 3" xfId="6422"/>
    <cellStyle name="Note 3 10" xfId="6423"/>
    <cellStyle name="Note 3 10 2" xfId="11887"/>
    <cellStyle name="Note 3 11" xfId="6424"/>
    <cellStyle name="Note 3 12" xfId="6425"/>
    <cellStyle name="Note 3 13" xfId="14604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5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6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7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8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09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0"/>
    <cellStyle name="Note 5 2 2 3" xfId="6599"/>
    <cellStyle name="Note 5 2 2 4" xfId="14611"/>
    <cellStyle name="Note 5 2 3" xfId="6600"/>
    <cellStyle name="Note 5 2 3 2" xfId="6601"/>
    <cellStyle name="Note 5 2 3 3" xfId="14612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3"/>
    <cellStyle name="Note 5 3 3" xfId="6610"/>
    <cellStyle name="Note 5 3 4" xfId="13790"/>
    <cellStyle name="Note 5 4" xfId="6611"/>
    <cellStyle name="Note 5 4 2" xfId="6612"/>
    <cellStyle name="Note 5 4 3" xfId="14614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5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6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7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8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7"/>
    <cellStyle name="Percent 17" xfId="14642"/>
    <cellStyle name="Percent 18" xfId="14650"/>
    <cellStyle name="Percent 18 2" xfId="14656"/>
    <cellStyle name="Percent 19" xfId="14661"/>
    <cellStyle name="Percent 19 2" xfId="14665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8"/>
    <cellStyle name="PSDate" xfId="7024"/>
    <cellStyle name="PSDec" xfId="7025"/>
    <cellStyle name="PSHeading" xfId="7026"/>
    <cellStyle name="PSInt" xfId="7027"/>
    <cellStyle name="PSSpacer" xfId="7028"/>
    <cellStyle name="R00A" xfId="14370"/>
    <cellStyle name="R00B" xfId="14371"/>
    <cellStyle name="R00L" xfId="14372"/>
    <cellStyle name="R01A" xfId="14373"/>
    <cellStyle name="R01B" xfId="14374"/>
    <cellStyle name="R01H" xfId="14375"/>
    <cellStyle name="R01L" xfId="14376"/>
    <cellStyle name="R02A" xfId="14377"/>
    <cellStyle name="R02B" xfId="14378"/>
    <cellStyle name="R02H" xfId="14379"/>
    <cellStyle name="R02L" xfId="14380"/>
    <cellStyle name="R03A" xfId="14381"/>
    <cellStyle name="R03B" xfId="14382"/>
    <cellStyle name="R03H" xfId="14383"/>
    <cellStyle name="R03L" xfId="14384"/>
    <cellStyle name="R04A" xfId="14385"/>
    <cellStyle name="R04B" xfId="14386"/>
    <cellStyle name="R04H" xfId="14387"/>
    <cellStyle name="R04L" xfId="14388"/>
    <cellStyle name="R05A" xfId="14389"/>
    <cellStyle name="R05B" xfId="14390"/>
    <cellStyle name="R05H" xfId="14391"/>
    <cellStyle name="R05L" xfId="14392"/>
    <cellStyle name="R06A" xfId="14393"/>
    <cellStyle name="R06B" xfId="14394"/>
    <cellStyle name="R06H" xfId="14395"/>
    <cellStyle name="R06L" xfId="14396"/>
    <cellStyle name="R07A" xfId="14397"/>
    <cellStyle name="R07B" xfId="14398"/>
    <cellStyle name="R07H" xfId="14399"/>
    <cellStyle name="R07L" xfId="14400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19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0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1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2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3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4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5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6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7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8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39"/>
    <cellStyle name="SAPDataTotalCell" xfId="14440"/>
    <cellStyle name="SAPDimensionCell" xfId="14441"/>
    <cellStyle name="SAPEmphasized" xfId="14442"/>
    <cellStyle name="SAPHierarchyCell0" xfId="14443"/>
    <cellStyle name="SAPHierarchyCell1" xfId="14444"/>
    <cellStyle name="SAPHierarchyCell2" xfId="14445"/>
    <cellStyle name="SAPHierarchyCell3" xfId="14446"/>
    <cellStyle name="SAPHierarchyCell4" xfId="14447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8"/>
    <cellStyle name="SAPMemberTotalCell" xfId="14449"/>
    <cellStyle name="Shade" xfId="14450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1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29"/>
    <cellStyle name="Währung_KURSE3Q" xfId="14451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venue%20Volume%20Analysis%20Reports\2016\Revenue%20Volume%20Analysis%202016-0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M29">
            <v>1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tabSelected="1" zoomScale="85" zoomScaleNormal="85" workbookViewId="0">
      <selection activeCell="A6" sqref="A6:E6"/>
    </sheetView>
  </sheetViews>
  <sheetFormatPr defaultColWidth="9.140625" defaultRowHeight="12.75" x14ac:dyDescent="0.2"/>
  <cols>
    <col min="1" max="1" width="6.85546875" style="4" customWidth="1"/>
    <col min="2" max="2" width="77.7109375" style="4" customWidth="1"/>
    <col min="3" max="3" width="16.7109375" style="4" customWidth="1"/>
    <col min="4" max="4" width="19.28515625" style="4" customWidth="1"/>
    <col min="5" max="5" width="22.5703125" style="4" customWidth="1"/>
    <col min="6" max="16384" width="9.140625" style="4"/>
  </cols>
  <sheetData>
    <row r="1" spans="1:5" ht="20.100000000000001" customHeight="1" x14ac:dyDescent="0.2">
      <c r="D1" s="3"/>
      <c r="E1" s="3" t="s">
        <v>155</v>
      </c>
    </row>
    <row r="2" spans="1:5" ht="20.100000000000001" customHeight="1" x14ac:dyDescent="0.2">
      <c r="D2" s="3"/>
      <c r="E2" s="3" t="s">
        <v>180</v>
      </c>
    </row>
    <row r="3" spans="1:5" s="2" customFormat="1" ht="20.100000000000001" customHeight="1" x14ac:dyDescent="0.2">
      <c r="A3" s="200" t="s">
        <v>42</v>
      </c>
      <c r="B3" s="200"/>
      <c r="C3" s="200"/>
      <c r="D3" s="200"/>
      <c r="E3" s="200"/>
    </row>
    <row r="4" spans="1:5" s="2" customFormat="1" ht="20.100000000000001" customHeight="1" x14ac:dyDescent="0.2">
      <c r="A4" s="200" t="s">
        <v>110</v>
      </c>
      <c r="B4" s="200"/>
      <c r="C4" s="200"/>
      <c r="D4" s="200"/>
      <c r="E4" s="200"/>
    </row>
    <row r="5" spans="1:5" s="2" customFormat="1" ht="20.100000000000001" customHeight="1" x14ac:dyDescent="0.2">
      <c r="A5" s="201" t="s">
        <v>167</v>
      </c>
      <c r="B5" s="201"/>
      <c r="C5" s="201"/>
      <c r="D5" s="201"/>
      <c r="E5" s="201"/>
    </row>
    <row r="6" spans="1:5" s="2" customFormat="1" ht="20.100000000000001" customHeight="1" x14ac:dyDescent="0.2">
      <c r="A6" s="201" t="s">
        <v>156</v>
      </c>
      <c r="B6" s="201"/>
      <c r="C6" s="201"/>
      <c r="D6" s="201"/>
      <c r="E6" s="201"/>
    </row>
    <row r="7" spans="1:5" s="2" customFormat="1" ht="29.25" customHeight="1" x14ac:dyDescent="0.2"/>
    <row r="8" spans="1:5" s="2" customFormat="1" ht="20.100000000000001" customHeight="1" x14ac:dyDescent="0.2">
      <c r="A8" s="13"/>
      <c r="B8" s="13"/>
      <c r="C8" s="13"/>
      <c r="D8" s="202" t="s">
        <v>157</v>
      </c>
      <c r="E8" s="202"/>
    </row>
    <row r="9" spans="1:5" ht="59.25" customHeight="1" x14ac:dyDescent="0.2">
      <c r="A9" s="14" t="s">
        <v>2</v>
      </c>
      <c r="B9" s="14" t="s">
        <v>0</v>
      </c>
      <c r="C9" s="14" t="s">
        <v>158</v>
      </c>
      <c r="D9" s="14" t="s">
        <v>178</v>
      </c>
      <c r="E9" s="14" t="s">
        <v>179</v>
      </c>
    </row>
    <row r="10" spans="1:5" ht="18.95" customHeight="1" x14ac:dyDescent="0.2">
      <c r="A10" s="5"/>
      <c r="B10" s="10"/>
      <c r="C10" s="11" t="s">
        <v>3</v>
      </c>
      <c r="D10" s="11" t="s">
        <v>3</v>
      </c>
      <c r="E10" s="11" t="s">
        <v>3</v>
      </c>
    </row>
    <row r="11" spans="1:5" ht="18.95" customHeight="1" x14ac:dyDescent="0.2">
      <c r="A11" s="5"/>
      <c r="B11" s="185" t="s">
        <v>159</v>
      </c>
      <c r="C11" s="7"/>
      <c r="D11" s="7"/>
      <c r="E11" s="7"/>
    </row>
    <row r="12" spans="1:5" ht="18.95" customHeight="1" x14ac:dyDescent="0.2">
      <c r="A12" s="8">
        <v>1</v>
      </c>
      <c r="B12" s="77" t="s">
        <v>82</v>
      </c>
      <c r="C12" s="7">
        <f>-'Excess DIT (Unprot 15yr)'!$E$23</f>
        <v>-223585.06933333332</v>
      </c>
      <c r="D12" s="7"/>
      <c r="E12" s="7"/>
    </row>
    <row r="13" spans="1:5" ht="18.95" customHeight="1" x14ac:dyDescent="0.2">
      <c r="B13" s="77"/>
    </row>
    <row r="14" spans="1:5" ht="18.95" customHeight="1" x14ac:dyDescent="0.35">
      <c r="A14" s="8">
        <v>2</v>
      </c>
      <c r="B14" s="77" t="str">
        <f>CONCATENATE("GROSS-UP FACTOR USING ",TEXT('Effective Tax Rate'!$F$23,"0.00%")," EFFECTIVE TAX RATE (1)")</f>
        <v>GROSS-UP FACTOR USING 25.74% EFFECTIVE TAX RATE (1)</v>
      </c>
      <c r="C14" s="186">
        <f>1/(1-'Effective Tax Rate'!$F$23)</f>
        <v>1.3466199838405604</v>
      </c>
      <c r="D14" s="16"/>
      <c r="E14" s="16"/>
    </row>
    <row r="15" spans="1:5" ht="18.95" customHeight="1" x14ac:dyDescent="0.2">
      <c r="B15" s="77"/>
      <c r="E15" s="187"/>
    </row>
    <row r="16" spans="1:5" ht="18.95" customHeight="1" x14ac:dyDescent="0.2">
      <c r="A16" s="74">
        <v>3</v>
      </c>
      <c r="B16" s="12" t="s">
        <v>160</v>
      </c>
      <c r="C16" s="75">
        <f>C12*C14</f>
        <v>-301084.12245264387</v>
      </c>
      <c r="D16" s="75">
        <f>C16*'TY TARIFF BILLING'!$H$38</f>
        <v>-196909.01608402911</v>
      </c>
      <c r="E16" s="75">
        <f>C16-D16</f>
        <v>-104175.10636861477</v>
      </c>
    </row>
    <row r="17" spans="1:5" ht="18.95" customHeight="1" x14ac:dyDescent="0.2"/>
    <row r="18" spans="1:5" ht="18.95" customHeight="1" x14ac:dyDescent="0.35">
      <c r="A18" s="8">
        <v>4</v>
      </c>
      <c r="B18" s="6" t="s">
        <v>81</v>
      </c>
      <c r="C18" s="7"/>
      <c r="D18" s="188">
        <f>('TY BILLING'!$N$16/12*13)*10</f>
        <v>211426820.69569227</v>
      </c>
      <c r="E18" s="188">
        <f>('TY BILLING'!$N$17/12*13)*10</f>
        <v>270175002.89211386</v>
      </c>
    </row>
    <row r="19" spans="1:5" ht="18.95" customHeight="1" x14ac:dyDescent="0.2"/>
    <row r="20" spans="1:5" ht="18.95" customHeight="1" x14ac:dyDescent="0.35">
      <c r="A20" s="8">
        <v>5</v>
      </c>
      <c r="B20" s="6" t="s">
        <v>168</v>
      </c>
      <c r="C20" s="76"/>
      <c r="D20" s="189">
        <f t="shared" ref="D20:E20" si="0">D16/D18</f>
        <v>-9.3133413933060686E-4</v>
      </c>
      <c r="E20" s="189">
        <f t="shared" si="0"/>
        <v>-3.8558380773003607E-4</v>
      </c>
    </row>
    <row r="21" spans="1:5" ht="18.95" customHeight="1" x14ac:dyDescent="0.2">
      <c r="A21" s="8"/>
      <c r="C21" s="76"/>
      <c r="D21" s="76"/>
      <c r="E21" s="76"/>
    </row>
    <row r="22" spans="1:5" ht="18.95" customHeight="1" x14ac:dyDescent="0.2">
      <c r="B22" s="6" t="s">
        <v>119</v>
      </c>
    </row>
    <row r="23" spans="1:5" ht="18.95" customHeight="1" x14ac:dyDescent="0.2">
      <c r="A23" s="74">
        <v>6</v>
      </c>
      <c r="B23" s="12" t="s">
        <v>161</v>
      </c>
      <c r="C23" s="75">
        <f>C16/16</f>
        <v>-18817.757653290242</v>
      </c>
      <c r="D23" s="75">
        <f>D16/16</f>
        <v>-12306.813505251819</v>
      </c>
      <c r="E23" s="75">
        <f>E16/16</f>
        <v>-6510.944148038423</v>
      </c>
    </row>
    <row r="24" spans="1:5" ht="18.95" customHeight="1" x14ac:dyDescent="0.2"/>
    <row r="25" spans="1:5" ht="18.95" customHeight="1" x14ac:dyDescent="0.35">
      <c r="A25" s="8">
        <v>7</v>
      </c>
      <c r="B25" s="6" t="s">
        <v>120</v>
      </c>
      <c r="C25" s="188">
        <f>('TY BILLING'!$N$10/12)*10</f>
        <v>37046294.122138932</v>
      </c>
      <c r="D25" s="188">
        <f>('TY BILLING'!$N$16/12)*10</f>
        <v>16263601.59197633</v>
      </c>
      <c r="E25" s="188">
        <f>('TY BILLING'!$N$17/12)*10</f>
        <v>20782692.530162606</v>
      </c>
    </row>
    <row r="26" spans="1:5" ht="18.95" customHeight="1" x14ac:dyDescent="0.2"/>
    <row r="27" spans="1:5" ht="18.95" customHeight="1" x14ac:dyDescent="0.35">
      <c r="A27" s="8">
        <v>8</v>
      </c>
      <c r="B27" s="6" t="s">
        <v>169</v>
      </c>
      <c r="C27" s="189">
        <f>C23/C25</f>
        <v>-5.0795249833220741E-4</v>
      </c>
      <c r="D27" s="189">
        <f t="shared" ref="D27:E27" si="1">D23/D25</f>
        <v>-7.567089882061181E-4</v>
      </c>
      <c r="E27" s="189">
        <f t="shared" si="1"/>
        <v>-3.1328684378065426E-4</v>
      </c>
    </row>
    <row r="28" spans="1:5" ht="18.95" customHeight="1" x14ac:dyDescent="0.2">
      <c r="C28" s="9"/>
      <c r="D28" s="9"/>
      <c r="E28" s="9"/>
    </row>
    <row r="29" spans="1:5" ht="18.95" customHeight="1" x14ac:dyDescent="0.2">
      <c r="A29" s="5"/>
      <c r="B29" s="185" t="s">
        <v>162</v>
      </c>
      <c r="C29" s="7"/>
      <c r="D29" s="7"/>
      <c r="E29" s="7"/>
    </row>
    <row r="30" spans="1:5" ht="18.95" customHeight="1" x14ac:dyDescent="0.2">
      <c r="A30" s="8">
        <v>1</v>
      </c>
      <c r="B30" s="77" t="s">
        <v>163</v>
      </c>
      <c r="C30" s="7">
        <f>-'Excess DIT (Unprot 5yr)'!$E$23</f>
        <v>-670755.20799999894</v>
      </c>
      <c r="D30" s="7"/>
      <c r="E30" s="7"/>
    </row>
    <row r="31" spans="1:5" ht="18.95" customHeight="1" x14ac:dyDescent="0.2">
      <c r="B31" s="77"/>
    </row>
    <row r="32" spans="1:5" ht="18.95" customHeight="1" x14ac:dyDescent="0.35">
      <c r="A32" s="8">
        <v>2</v>
      </c>
      <c r="B32" s="77" t="str">
        <f>CONCATENATE("GROSS-UP FACTOR USING ",TEXT('Effective Tax Rate'!$F$23,"0.00%")," EFFECTIVE TAX RATE (1)")</f>
        <v>GROSS-UP FACTOR USING 25.74% EFFECTIVE TAX RATE (1)</v>
      </c>
      <c r="C32" s="186">
        <f>1/(1-'Effective Tax Rate'!$F$23)</f>
        <v>1.3466199838405604</v>
      </c>
      <c r="D32" s="16"/>
      <c r="E32" s="16"/>
    </row>
    <row r="33" spans="1:5" ht="18.95" customHeight="1" x14ac:dyDescent="0.2">
      <c r="B33" s="77"/>
      <c r="E33" s="187"/>
    </row>
    <row r="34" spans="1:5" ht="18.95" customHeight="1" x14ac:dyDescent="0.2">
      <c r="A34" s="74">
        <v>3</v>
      </c>
      <c r="B34" s="12" t="s">
        <v>160</v>
      </c>
      <c r="C34" s="75">
        <f>C30*C32</f>
        <v>-903252.36735793028</v>
      </c>
      <c r="D34" s="75">
        <f>C34*'TY TARIFF BILLING'!$H$38</f>
        <v>-590727.04825208639</v>
      </c>
      <c r="E34" s="75">
        <f>C34-D34</f>
        <v>-312525.3191058439</v>
      </c>
    </row>
    <row r="35" spans="1:5" ht="18.95" customHeight="1" x14ac:dyDescent="0.2"/>
    <row r="36" spans="1:5" ht="18.95" customHeight="1" x14ac:dyDescent="0.35">
      <c r="A36" s="8">
        <v>4</v>
      </c>
      <c r="B36" s="6" t="s">
        <v>81</v>
      </c>
      <c r="C36" s="7"/>
      <c r="D36" s="188">
        <f>('TY BILLING'!$N$16/12*13)*10</f>
        <v>211426820.69569227</v>
      </c>
      <c r="E36" s="188">
        <f>('TY BILLING'!$N$17/12*13)*10</f>
        <v>270175002.89211386</v>
      </c>
    </row>
    <row r="37" spans="1:5" ht="18.95" customHeight="1" x14ac:dyDescent="0.2"/>
    <row r="38" spans="1:5" ht="18.95" customHeight="1" x14ac:dyDescent="0.35">
      <c r="A38" s="8">
        <v>5</v>
      </c>
      <c r="B38" s="6" t="s">
        <v>168</v>
      </c>
      <c r="C38" s="76"/>
      <c r="D38" s="189">
        <f t="shared" ref="D38:E38" si="2">D34/D36</f>
        <v>-2.7940024179918164E-3</v>
      </c>
      <c r="E38" s="189">
        <f t="shared" si="2"/>
        <v>-1.1567514231901066E-3</v>
      </c>
    </row>
    <row r="39" spans="1:5" ht="18.95" customHeight="1" x14ac:dyDescent="0.2">
      <c r="A39" s="8"/>
      <c r="C39" s="76"/>
      <c r="D39" s="76"/>
      <c r="E39" s="76"/>
    </row>
    <row r="40" spans="1:5" ht="18.95" customHeight="1" x14ac:dyDescent="0.2">
      <c r="B40" s="6" t="s">
        <v>119</v>
      </c>
    </row>
    <row r="41" spans="1:5" ht="18.95" customHeight="1" x14ac:dyDescent="0.2">
      <c r="A41" s="74">
        <v>6</v>
      </c>
      <c r="B41" s="12" t="s">
        <v>161</v>
      </c>
      <c r="C41" s="75">
        <f>C34/16</f>
        <v>-56453.272959870643</v>
      </c>
      <c r="D41" s="75">
        <f>D34/16</f>
        <v>-36920.440515755399</v>
      </c>
      <c r="E41" s="75">
        <f>E34/16</f>
        <v>-19532.832444115244</v>
      </c>
    </row>
    <row r="42" spans="1:5" ht="18.95" customHeight="1" x14ac:dyDescent="0.2"/>
    <row r="43" spans="1:5" ht="18.95" customHeight="1" x14ac:dyDescent="0.35">
      <c r="A43" s="8">
        <v>7</v>
      </c>
      <c r="B43" s="6" t="s">
        <v>120</v>
      </c>
      <c r="C43" s="188">
        <f>('TY BILLING'!$N$10/12)*10</f>
        <v>37046294.122138932</v>
      </c>
      <c r="D43" s="188">
        <f>('TY BILLING'!$N$16/12)*10</f>
        <v>16263601.59197633</v>
      </c>
      <c r="E43" s="188">
        <f>('TY BILLING'!$N$17/12)*10</f>
        <v>20782692.530162606</v>
      </c>
    </row>
    <row r="44" spans="1:5" ht="18.95" customHeight="1" x14ac:dyDescent="0.2"/>
    <row r="45" spans="1:5" ht="18.95" customHeight="1" x14ac:dyDescent="0.35">
      <c r="A45" s="8">
        <v>8</v>
      </c>
      <c r="B45" s="6" t="s">
        <v>169</v>
      </c>
      <c r="C45" s="189">
        <f>C41/C43</f>
        <v>-1.5238574949966201E-3</v>
      </c>
      <c r="D45" s="189">
        <f t="shared" ref="D45:E45" si="3">D41/D43</f>
        <v>-2.2701269646183504E-3</v>
      </c>
      <c r="E45" s="189">
        <f t="shared" si="3"/>
        <v>-9.3986053134196158E-4</v>
      </c>
    </row>
    <row r="46" spans="1:5" ht="18.95" customHeight="1" x14ac:dyDescent="0.2"/>
    <row r="47" spans="1:5" ht="18.95" customHeight="1" x14ac:dyDescent="0.2">
      <c r="A47" s="190" t="s">
        <v>164</v>
      </c>
      <c r="B47" s="77" t="s">
        <v>165</v>
      </c>
    </row>
    <row r="48" spans="1:5" ht="20.100000000000001" customHeight="1" x14ac:dyDescent="0.2">
      <c r="D48" s="3"/>
      <c r="E48" s="3" t="s">
        <v>155</v>
      </c>
    </row>
    <row r="49" spans="1:5" ht="20.100000000000001" customHeight="1" x14ac:dyDescent="0.2">
      <c r="D49" s="3"/>
      <c r="E49" s="3" t="s">
        <v>182</v>
      </c>
    </row>
    <row r="50" spans="1:5" s="2" customFormat="1" ht="20.100000000000001" customHeight="1" x14ac:dyDescent="0.2">
      <c r="A50" s="200" t="s">
        <v>42</v>
      </c>
      <c r="B50" s="200"/>
      <c r="C50" s="200"/>
      <c r="D50" s="200"/>
      <c r="E50" s="200"/>
    </row>
    <row r="51" spans="1:5" s="2" customFormat="1" ht="20.100000000000001" customHeight="1" x14ac:dyDescent="0.2">
      <c r="A51" s="200" t="s">
        <v>110</v>
      </c>
      <c r="B51" s="200"/>
      <c r="C51" s="200"/>
      <c r="D51" s="200"/>
      <c r="E51" s="200"/>
    </row>
    <row r="52" spans="1:5" s="2" customFormat="1" ht="20.100000000000001" customHeight="1" x14ac:dyDescent="0.2">
      <c r="A52" s="201" t="s">
        <v>167</v>
      </c>
      <c r="B52" s="201"/>
      <c r="C52" s="201"/>
      <c r="D52" s="201"/>
      <c r="E52" s="201"/>
    </row>
    <row r="53" spans="1:5" s="2" customFormat="1" ht="20.100000000000001" customHeight="1" x14ac:dyDescent="0.2">
      <c r="A53" s="201" t="s">
        <v>183</v>
      </c>
      <c r="B53" s="201"/>
      <c r="C53" s="201"/>
      <c r="D53" s="201"/>
      <c r="E53" s="201"/>
    </row>
    <row r="54" spans="1:5" s="2" customFormat="1" ht="29.25" customHeight="1" x14ac:dyDescent="0.2"/>
    <row r="55" spans="1:5" s="2" customFormat="1" ht="20.100000000000001" customHeight="1" x14ac:dyDescent="0.2">
      <c r="A55" s="13"/>
      <c r="B55" s="13"/>
      <c r="C55" s="13"/>
      <c r="D55" s="202" t="s">
        <v>157</v>
      </c>
      <c r="E55" s="202"/>
    </row>
    <row r="56" spans="1:5" ht="59.25" customHeight="1" x14ac:dyDescent="0.2">
      <c r="A56" s="14" t="s">
        <v>2</v>
      </c>
      <c r="B56" s="14" t="s">
        <v>0</v>
      </c>
      <c r="C56" s="14" t="s">
        <v>158</v>
      </c>
      <c r="D56" s="14" t="s">
        <v>178</v>
      </c>
      <c r="E56" s="14" t="s">
        <v>179</v>
      </c>
    </row>
    <row r="57" spans="1:5" ht="18.95" customHeight="1" x14ac:dyDescent="0.2">
      <c r="A57" s="5"/>
      <c r="B57" s="10"/>
      <c r="C57" s="11" t="s">
        <v>3</v>
      </c>
      <c r="D57" s="11" t="s">
        <v>3</v>
      </c>
      <c r="E57" s="11" t="s">
        <v>3</v>
      </c>
    </row>
    <row r="58" spans="1:5" ht="18.95" customHeight="1" x14ac:dyDescent="0.2">
      <c r="A58" s="5"/>
      <c r="B58" s="185" t="s">
        <v>159</v>
      </c>
      <c r="C58" s="7"/>
      <c r="D58" s="7"/>
      <c r="E58" s="7"/>
    </row>
    <row r="59" spans="1:5" ht="18.95" customHeight="1" x14ac:dyDescent="0.2">
      <c r="A59" s="8">
        <v>1</v>
      </c>
      <c r="B59" s="77" t="s">
        <v>82</v>
      </c>
      <c r="C59" s="7">
        <f>-'Excess DIT (Unprot 15yr)'!$E$23</f>
        <v>-223585.06933333332</v>
      </c>
      <c r="D59" s="7"/>
      <c r="E59" s="7"/>
    </row>
    <row r="60" spans="1:5" ht="18.95" customHeight="1" x14ac:dyDescent="0.2">
      <c r="B60" s="77"/>
    </row>
    <row r="61" spans="1:5" ht="18.95" customHeight="1" x14ac:dyDescent="0.35">
      <c r="A61" s="8">
        <v>2</v>
      </c>
      <c r="B61" s="199" t="s">
        <v>184</v>
      </c>
      <c r="C61" s="186">
        <f>2928434/2174466</f>
        <v>1.3467370839553252</v>
      </c>
      <c r="D61" s="16"/>
      <c r="E61" s="16"/>
    </row>
    <row r="62" spans="1:5" ht="18.95" customHeight="1" x14ac:dyDescent="0.2">
      <c r="B62" s="77"/>
      <c r="E62" s="187"/>
    </row>
    <row r="63" spans="1:5" ht="18.95" customHeight="1" x14ac:dyDescent="0.2">
      <c r="A63" s="74">
        <v>3</v>
      </c>
      <c r="B63" s="12" t="s">
        <v>160</v>
      </c>
      <c r="C63" s="75">
        <f>C59*C61</f>
        <v>-301110.30428992253</v>
      </c>
      <c r="D63" s="75">
        <f>C63*'TY TARIFF BILLING'!$H$38</f>
        <v>-196926.13900560935</v>
      </c>
      <c r="E63" s="75">
        <f>C63-D63</f>
        <v>-104184.16528431317</v>
      </c>
    </row>
    <row r="64" spans="1:5" ht="18.95" customHeight="1" x14ac:dyDescent="0.2"/>
    <row r="65" spans="1:5" ht="18.95" customHeight="1" x14ac:dyDescent="0.35">
      <c r="A65" s="8">
        <v>4</v>
      </c>
      <c r="B65" s="6" t="s">
        <v>81</v>
      </c>
      <c r="C65" s="7"/>
      <c r="D65" s="188">
        <f>('TY BILLING'!$N$16/12*13)*10</f>
        <v>211426820.69569227</v>
      </c>
      <c r="E65" s="188">
        <f>('TY BILLING'!$N$17/12*13)*10</f>
        <v>270175002.89211386</v>
      </c>
    </row>
    <row r="66" spans="1:5" ht="18.95" customHeight="1" x14ac:dyDescent="0.2"/>
    <row r="67" spans="1:5" ht="18.95" customHeight="1" x14ac:dyDescent="0.35">
      <c r="A67" s="8">
        <v>5</v>
      </c>
      <c r="B67" s="6" t="s">
        <v>168</v>
      </c>
      <c r="C67" s="76"/>
      <c r="D67" s="189">
        <f t="shared" ref="D67:E67" si="4">D63/D65</f>
        <v>-9.3141512679248092E-4</v>
      </c>
      <c r="E67" s="189">
        <f t="shared" si="4"/>
        <v>-3.8561733753701835E-4</v>
      </c>
    </row>
    <row r="68" spans="1:5" ht="18.95" customHeight="1" x14ac:dyDescent="0.2">
      <c r="A68" s="8"/>
      <c r="C68" s="76"/>
      <c r="D68" s="76"/>
      <c r="E68" s="76"/>
    </row>
    <row r="69" spans="1:5" ht="18.95" customHeight="1" x14ac:dyDescent="0.2">
      <c r="B69" s="6" t="s">
        <v>119</v>
      </c>
    </row>
    <row r="70" spans="1:5" ht="18.95" customHeight="1" x14ac:dyDescent="0.2">
      <c r="A70" s="74">
        <v>6</v>
      </c>
      <c r="B70" s="12" t="s">
        <v>161</v>
      </c>
      <c r="C70" s="75">
        <f>C63/16</f>
        <v>-18819.394018120158</v>
      </c>
      <c r="D70" s="75">
        <f>D63/16</f>
        <v>-12307.883687850584</v>
      </c>
      <c r="E70" s="75">
        <f>E63/16</f>
        <v>-6511.5103302695734</v>
      </c>
    </row>
    <row r="71" spans="1:5" ht="18.95" customHeight="1" x14ac:dyDescent="0.2"/>
    <row r="72" spans="1:5" ht="18.95" customHeight="1" x14ac:dyDescent="0.35">
      <c r="A72" s="8">
        <v>7</v>
      </c>
      <c r="B72" s="6" t="s">
        <v>120</v>
      </c>
      <c r="C72" s="188">
        <f>('TY BILLING'!$N$10/12)*10</f>
        <v>37046294.122138932</v>
      </c>
      <c r="D72" s="188">
        <f>('TY BILLING'!$N$16/12)*10</f>
        <v>16263601.59197633</v>
      </c>
      <c r="E72" s="188">
        <f>('TY BILLING'!$N$17/12)*10</f>
        <v>20782692.530162606</v>
      </c>
    </row>
    <row r="73" spans="1:5" ht="18.95" customHeight="1" x14ac:dyDescent="0.2"/>
    <row r="74" spans="1:5" ht="18.95" customHeight="1" x14ac:dyDescent="0.35">
      <c r="A74" s="8">
        <v>8</v>
      </c>
      <c r="B74" s="6" t="s">
        <v>169</v>
      </c>
      <c r="C74" s="189">
        <f>C70/C72</f>
        <v>-5.0799666914250554E-4</v>
      </c>
      <c r="D74" s="189">
        <f t="shared" ref="D74:E74" si="5">D70/D72</f>
        <v>-7.5677479051889068E-4</v>
      </c>
      <c r="E74" s="189">
        <f t="shared" si="5"/>
        <v>-3.1331408674882739E-4</v>
      </c>
    </row>
    <row r="75" spans="1:5" ht="18.95" customHeight="1" x14ac:dyDescent="0.2">
      <c r="C75" s="9"/>
      <c r="D75" s="9"/>
      <c r="E75" s="9"/>
    </row>
    <row r="76" spans="1:5" ht="18.95" customHeight="1" x14ac:dyDescent="0.2">
      <c r="A76" s="5"/>
      <c r="B76" s="185" t="s">
        <v>162</v>
      </c>
      <c r="C76" s="7"/>
      <c r="D76" s="7"/>
      <c r="E76" s="7"/>
    </row>
    <row r="77" spans="1:5" ht="18.95" customHeight="1" x14ac:dyDescent="0.2">
      <c r="A77" s="8">
        <v>1</v>
      </c>
      <c r="B77" s="77" t="s">
        <v>163</v>
      </c>
      <c r="C77" s="7">
        <f>-'Excess DIT (Unprot 5yr)'!$E$23</f>
        <v>-670755.20799999894</v>
      </c>
      <c r="D77" s="7"/>
      <c r="E77" s="7"/>
    </row>
    <row r="78" spans="1:5" ht="18.95" customHeight="1" x14ac:dyDescent="0.2">
      <c r="B78" s="77"/>
    </row>
    <row r="79" spans="1:5" ht="18.95" customHeight="1" x14ac:dyDescent="0.35">
      <c r="A79" s="8">
        <v>2</v>
      </c>
      <c r="B79" s="77" t="str">
        <f>CONCATENATE("GROSS-UP FACTOR USING ",TEXT('LGE Composite Tax Rate'!E$26,"0.00%")," EFFECTIVE TAX RATE (1)")</f>
        <v>GROSS-UP FACTOR USING 25.64% EFFECTIVE TAX RATE (1)</v>
      </c>
      <c r="C79" s="186">
        <f>2928434/2174466</f>
        <v>1.3467370839553252</v>
      </c>
      <c r="D79" s="16"/>
      <c r="E79" s="16"/>
    </row>
    <row r="80" spans="1:5" ht="18.95" customHeight="1" x14ac:dyDescent="0.2">
      <c r="B80" s="77"/>
      <c r="E80" s="187"/>
    </row>
    <row r="81" spans="1:5" ht="18.95" customHeight="1" x14ac:dyDescent="0.2">
      <c r="A81" s="74">
        <v>3</v>
      </c>
      <c r="B81" s="12" t="s">
        <v>160</v>
      </c>
      <c r="C81" s="75">
        <f>C77*C79</f>
        <v>-903330.91286976624</v>
      </c>
      <c r="D81" s="75">
        <f>C81*'TY TARIFF BILLING'!$H$38</f>
        <v>-590778.41701682715</v>
      </c>
      <c r="E81" s="75">
        <f>C81-D81</f>
        <v>-312552.49585293909</v>
      </c>
    </row>
    <row r="82" spans="1:5" ht="18.95" customHeight="1" x14ac:dyDescent="0.2"/>
    <row r="83" spans="1:5" ht="18.95" customHeight="1" x14ac:dyDescent="0.35">
      <c r="A83" s="8">
        <v>4</v>
      </c>
      <c r="B83" s="6" t="s">
        <v>81</v>
      </c>
      <c r="C83" s="7"/>
      <c r="D83" s="188">
        <f>('TY BILLING'!$N$16/12*13)*10</f>
        <v>211426820.69569227</v>
      </c>
      <c r="E83" s="188">
        <f>('TY BILLING'!$N$17/12*13)*10</f>
        <v>270175002.89211386</v>
      </c>
    </row>
    <row r="84" spans="1:5" ht="18.95" customHeight="1" x14ac:dyDescent="0.2"/>
    <row r="85" spans="1:5" ht="18.95" customHeight="1" x14ac:dyDescent="0.35">
      <c r="A85" s="8">
        <v>5</v>
      </c>
      <c r="B85" s="6" t="s">
        <v>168</v>
      </c>
      <c r="C85" s="76"/>
      <c r="D85" s="189">
        <f t="shared" ref="D85:E85" si="6">D81/D83</f>
        <v>-2.7942453803774386E-3</v>
      </c>
      <c r="E85" s="189">
        <f t="shared" si="6"/>
        <v>-1.1568520126110534E-3</v>
      </c>
    </row>
    <row r="86" spans="1:5" ht="18.95" customHeight="1" x14ac:dyDescent="0.2">
      <c r="A86" s="8"/>
      <c r="C86" s="76"/>
      <c r="D86" s="76"/>
      <c r="E86" s="76"/>
    </row>
    <row r="87" spans="1:5" ht="18.95" customHeight="1" x14ac:dyDescent="0.2">
      <c r="B87" s="6" t="s">
        <v>119</v>
      </c>
    </row>
    <row r="88" spans="1:5" ht="18.95" customHeight="1" x14ac:dyDescent="0.2">
      <c r="A88" s="74">
        <v>6</v>
      </c>
      <c r="B88" s="12" t="s">
        <v>161</v>
      </c>
      <c r="C88" s="75">
        <f>C81/16</f>
        <v>-56458.18205436039</v>
      </c>
      <c r="D88" s="75">
        <f>D81/16</f>
        <v>-36923.651063551697</v>
      </c>
      <c r="E88" s="75">
        <f>E81/16</f>
        <v>-19534.530990808693</v>
      </c>
    </row>
    <row r="89" spans="1:5" ht="18.95" customHeight="1" x14ac:dyDescent="0.2"/>
    <row r="90" spans="1:5" ht="18.95" customHeight="1" x14ac:dyDescent="0.35">
      <c r="A90" s="8">
        <v>7</v>
      </c>
      <c r="B90" s="6" t="s">
        <v>120</v>
      </c>
      <c r="C90" s="188">
        <f>('TY BILLING'!$N$10/12)*10</f>
        <v>37046294.122138932</v>
      </c>
      <c r="D90" s="188">
        <f>('TY BILLING'!$N$16/12)*10</f>
        <v>16263601.59197633</v>
      </c>
      <c r="E90" s="188">
        <f>('TY BILLING'!$N$17/12)*10</f>
        <v>20782692.530162606</v>
      </c>
    </row>
    <row r="91" spans="1:5" ht="18.95" customHeight="1" x14ac:dyDescent="0.2"/>
    <row r="92" spans="1:5" ht="18.95" customHeight="1" x14ac:dyDescent="0.35">
      <c r="A92" s="8">
        <v>8</v>
      </c>
      <c r="B92" s="6" t="s">
        <v>169</v>
      </c>
      <c r="C92" s="189">
        <f>C88/C90</f>
        <v>-1.5239900074275144E-3</v>
      </c>
      <c r="D92" s="189">
        <f t="shared" ref="D92:E92" si="7">D88/D90</f>
        <v>-2.2703243715566689E-3</v>
      </c>
      <c r="E92" s="189">
        <f t="shared" si="7"/>
        <v>-9.3994226024648076E-4</v>
      </c>
    </row>
    <row r="93" spans="1:5" ht="18.95" customHeight="1" x14ac:dyDescent="0.2"/>
    <row r="94" spans="1:5" ht="18.95" customHeight="1" x14ac:dyDescent="0.2">
      <c r="A94" s="190" t="s">
        <v>164</v>
      </c>
      <c r="B94" s="199" t="s">
        <v>185</v>
      </c>
    </row>
    <row r="95" spans="1:5" ht="20.100000000000001" customHeight="1" x14ac:dyDescent="0.2">
      <c r="D95" s="3"/>
      <c r="E95" s="3" t="s">
        <v>155</v>
      </c>
    </row>
    <row r="96" spans="1:5" ht="20.100000000000001" customHeight="1" x14ac:dyDescent="0.2">
      <c r="D96" s="3"/>
      <c r="E96" s="3" t="s">
        <v>181</v>
      </c>
    </row>
    <row r="97" spans="1:5" s="2" customFormat="1" ht="20.100000000000001" customHeight="1" x14ac:dyDescent="0.2">
      <c r="A97" s="200" t="s">
        <v>42</v>
      </c>
      <c r="B97" s="200"/>
      <c r="C97" s="200"/>
      <c r="D97" s="200"/>
      <c r="E97" s="200"/>
    </row>
    <row r="98" spans="1:5" s="2" customFormat="1" ht="20.100000000000001" customHeight="1" x14ac:dyDescent="0.2">
      <c r="A98" s="200" t="s">
        <v>110</v>
      </c>
      <c r="B98" s="200"/>
      <c r="C98" s="200"/>
      <c r="D98" s="200"/>
      <c r="E98" s="200"/>
    </row>
    <row r="99" spans="1:5" s="2" customFormat="1" ht="20.100000000000001" customHeight="1" x14ac:dyDescent="0.2">
      <c r="A99" s="201" t="s">
        <v>167</v>
      </c>
      <c r="B99" s="201"/>
      <c r="C99" s="201"/>
      <c r="D99" s="201"/>
      <c r="E99" s="201"/>
    </row>
    <row r="100" spans="1:5" s="2" customFormat="1" ht="20.100000000000001" customHeight="1" x14ac:dyDescent="0.2">
      <c r="A100" s="201" t="s">
        <v>186</v>
      </c>
      <c r="B100" s="201"/>
      <c r="C100" s="201"/>
      <c r="D100" s="201"/>
      <c r="E100" s="201"/>
    </row>
    <row r="101" spans="1:5" s="2" customFormat="1" ht="29.25" customHeight="1" x14ac:dyDescent="0.2"/>
    <row r="102" spans="1:5" s="2" customFormat="1" ht="20.100000000000001" customHeight="1" x14ac:dyDescent="0.2">
      <c r="A102" s="13"/>
      <c r="B102" s="13"/>
      <c r="C102" s="13"/>
      <c r="D102" s="202" t="s">
        <v>157</v>
      </c>
      <c r="E102" s="202"/>
    </row>
    <row r="103" spans="1:5" ht="59.25" customHeight="1" x14ac:dyDescent="0.2">
      <c r="A103" s="14" t="s">
        <v>2</v>
      </c>
      <c r="B103" s="14" t="s">
        <v>0</v>
      </c>
      <c r="C103" s="14" t="s">
        <v>158</v>
      </c>
      <c r="D103" s="14" t="s">
        <v>178</v>
      </c>
      <c r="E103" s="14" t="s">
        <v>179</v>
      </c>
    </row>
    <row r="104" spans="1:5" ht="18.95" customHeight="1" x14ac:dyDescent="0.2">
      <c r="A104" s="5"/>
      <c r="B104" s="10"/>
      <c r="C104" s="11" t="s">
        <v>3</v>
      </c>
      <c r="D104" s="11" t="s">
        <v>3</v>
      </c>
      <c r="E104" s="11" t="s">
        <v>3</v>
      </c>
    </row>
    <row r="105" spans="1:5" ht="18.95" customHeight="1" x14ac:dyDescent="0.2">
      <c r="A105" s="5"/>
      <c r="B105" s="185" t="s">
        <v>159</v>
      </c>
      <c r="C105" s="7"/>
      <c r="D105" s="7"/>
      <c r="E105" s="7"/>
    </row>
    <row r="106" spans="1:5" ht="18.95" customHeight="1" x14ac:dyDescent="0.2">
      <c r="A106" s="8">
        <v>1</v>
      </c>
      <c r="B106" s="77" t="s">
        <v>82</v>
      </c>
      <c r="C106" s="7">
        <f>-'Excess DIT (Unprot 15yr)'!$E$23</f>
        <v>-223585.06933333332</v>
      </c>
      <c r="D106" s="7"/>
      <c r="E106" s="7"/>
    </row>
    <row r="107" spans="1:5" ht="18.95" customHeight="1" x14ac:dyDescent="0.2">
      <c r="B107" s="77"/>
    </row>
    <row r="108" spans="1:5" ht="18.95" customHeight="1" x14ac:dyDescent="0.35">
      <c r="A108" s="8">
        <v>2</v>
      </c>
      <c r="B108" s="77" t="str">
        <f>CONCATENATE("GROSS-UP FACTOR USING ",TEXT('LGE Composite Tax Rate'!E$26,"0.00%")," EFFECTIVE TAX RATE (1)")</f>
        <v>GROSS-UP FACTOR USING 25.64% EFFECTIVE TAX RATE (1)</v>
      </c>
      <c r="C108" s="186">
        <f>1/(1-'LGE Composite Tax Rate'!$E$26)</f>
        <v>1.344810900971106</v>
      </c>
      <c r="D108" s="16"/>
      <c r="E108" s="16"/>
    </row>
    <row r="109" spans="1:5" ht="18.95" customHeight="1" x14ac:dyDescent="0.2">
      <c r="B109" s="77"/>
      <c r="E109" s="187"/>
    </row>
    <row r="110" spans="1:5" ht="18.95" customHeight="1" x14ac:dyDescent="0.2">
      <c r="A110" s="74">
        <v>3</v>
      </c>
      <c r="B110" s="12" t="s">
        <v>160</v>
      </c>
      <c r="C110" s="75">
        <f>C106*C108</f>
        <v>-300679.63853384717</v>
      </c>
      <c r="D110" s="75">
        <f>C110*'TY TARIFF BILLING'!$H$38</f>
        <v>-196644.48360113605</v>
      </c>
      <c r="E110" s="75">
        <f>C110-D110</f>
        <v>-104035.15493271113</v>
      </c>
    </row>
    <row r="111" spans="1:5" ht="18.95" customHeight="1" x14ac:dyDescent="0.2"/>
    <row r="112" spans="1:5" ht="18.95" customHeight="1" x14ac:dyDescent="0.35">
      <c r="A112" s="8">
        <v>4</v>
      </c>
      <c r="B112" s="6" t="s">
        <v>81</v>
      </c>
      <c r="C112" s="7"/>
      <c r="D112" s="188">
        <f>('TY BILLING'!$N$16/12*13)*10</f>
        <v>211426820.69569227</v>
      </c>
      <c r="E112" s="188">
        <f>('TY BILLING'!$N$17/12*13)*10</f>
        <v>270175002.89211386</v>
      </c>
    </row>
    <row r="113" spans="1:5" ht="18.95" customHeight="1" x14ac:dyDescent="0.2"/>
    <row r="114" spans="1:5" ht="18.95" customHeight="1" x14ac:dyDescent="0.35">
      <c r="A114" s="8">
        <v>5</v>
      </c>
      <c r="B114" s="6" t="s">
        <v>168</v>
      </c>
      <c r="C114" s="76"/>
      <c r="D114" s="189">
        <f t="shared" ref="D114:E114" si="8">D110/D112</f>
        <v>-9.3008296182142127E-4</v>
      </c>
      <c r="E114" s="189">
        <f t="shared" si="8"/>
        <v>-3.8506580482671225E-4</v>
      </c>
    </row>
    <row r="115" spans="1:5" ht="18.95" customHeight="1" x14ac:dyDescent="0.2">
      <c r="A115" s="8"/>
      <c r="C115" s="76"/>
      <c r="D115" s="76"/>
      <c r="E115" s="76"/>
    </row>
    <row r="116" spans="1:5" ht="18.95" customHeight="1" x14ac:dyDescent="0.2">
      <c r="B116" s="6" t="s">
        <v>119</v>
      </c>
    </row>
    <row r="117" spans="1:5" ht="18.95" customHeight="1" x14ac:dyDescent="0.2">
      <c r="A117" s="74">
        <v>6</v>
      </c>
      <c r="B117" s="12" t="s">
        <v>161</v>
      </c>
      <c r="C117" s="75">
        <f>C110/16</f>
        <v>-18792.477408365448</v>
      </c>
      <c r="D117" s="75">
        <f>D110/16</f>
        <v>-12290.280225071003</v>
      </c>
      <c r="E117" s="75">
        <f>E110/16</f>
        <v>-6502.1971832944455</v>
      </c>
    </row>
    <row r="118" spans="1:5" ht="18.95" customHeight="1" x14ac:dyDescent="0.2"/>
    <row r="119" spans="1:5" ht="18.95" customHeight="1" x14ac:dyDescent="0.35">
      <c r="A119" s="8">
        <v>7</v>
      </c>
      <c r="B119" s="6" t="s">
        <v>120</v>
      </c>
      <c r="C119" s="188">
        <f>('TY BILLING'!$N$10/12)*10</f>
        <v>37046294.122138932</v>
      </c>
      <c r="D119" s="188">
        <f>('TY BILLING'!$N$16/12)*10</f>
        <v>16263601.59197633</v>
      </c>
      <c r="E119" s="188">
        <f>('TY BILLING'!$N$17/12)*10</f>
        <v>20782692.530162606</v>
      </c>
    </row>
    <row r="120" spans="1:5" ht="18.95" customHeight="1" x14ac:dyDescent="0.2"/>
    <row r="121" spans="1:5" ht="18.95" customHeight="1" x14ac:dyDescent="0.35">
      <c r="A121" s="8">
        <v>8</v>
      </c>
      <c r="B121" s="6" t="s">
        <v>169</v>
      </c>
      <c r="C121" s="189">
        <f>C117/C119</f>
        <v>-5.0727010227819328E-4</v>
      </c>
      <c r="D121" s="189">
        <f t="shared" ref="D121:E121" si="9">D117/D119</f>
        <v>-7.5569240647990472E-4</v>
      </c>
      <c r="E121" s="189">
        <f t="shared" si="9"/>
        <v>-3.1286596642170368E-4</v>
      </c>
    </row>
    <row r="122" spans="1:5" ht="18.95" customHeight="1" x14ac:dyDescent="0.2">
      <c r="C122" s="9"/>
      <c r="D122" s="9"/>
      <c r="E122" s="9"/>
    </row>
    <row r="123" spans="1:5" ht="18.95" customHeight="1" x14ac:dyDescent="0.2">
      <c r="A123" s="5"/>
      <c r="B123" s="185" t="s">
        <v>162</v>
      </c>
      <c r="C123" s="7"/>
      <c r="D123" s="7"/>
      <c r="E123" s="7"/>
    </row>
    <row r="124" spans="1:5" ht="18.95" customHeight="1" x14ac:dyDescent="0.2">
      <c r="A124" s="8">
        <v>1</v>
      </c>
      <c r="B124" s="77" t="s">
        <v>163</v>
      </c>
      <c r="C124" s="7">
        <f>-'Excess DIT (Unprot 5yr)'!$E$23</f>
        <v>-670755.20799999894</v>
      </c>
      <c r="D124" s="7"/>
      <c r="E124" s="7"/>
    </row>
    <row r="125" spans="1:5" ht="18.95" customHeight="1" x14ac:dyDescent="0.2">
      <c r="B125" s="77"/>
    </row>
    <row r="126" spans="1:5" ht="18.95" customHeight="1" x14ac:dyDescent="0.35">
      <c r="A126" s="8">
        <v>2</v>
      </c>
      <c r="B126" s="77" t="str">
        <f>CONCATENATE("GROSS-UP FACTOR USING ",TEXT('LGE Composite Tax Rate'!E$26,"0.00%")," EFFECTIVE TAX RATE (1)")</f>
        <v>GROSS-UP FACTOR USING 25.64% EFFECTIVE TAX RATE (1)</v>
      </c>
      <c r="C126" s="186">
        <f>1/(1-'LGE Composite Tax Rate'!$E$26)</f>
        <v>1.344810900971106</v>
      </c>
      <c r="D126" s="16"/>
      <c r="E126" s="16"/>
    </row>
    <row r="127" spans="1:5" ht="18.95" customHeight="1" x14ac:dyDescent="0.2">
      <c r="B127" s="77"/>
      <c r="E127" s="187"/>
    </row>
    <row r="128" spans="1:5" ht="18.95" customHeight="1" x14ac:dyDescent="0.2">
      <c r="A128" s="74">
        <v>3</v>
      </c>
      <c r="B128" s="12" t="s">
        <v>160</v>
      </c>
      <c r="C128" s="75">
        <f>C124*C126</f>
        <v>-902038.91560154012</v>
      </c>
      <c r="D128" s="75">
        <f>C128*'TY TARIFF BILLING'!$H$38</f>
        <v>-589933.45080340724</v>
      </c>
      <c r="E128" s="75">
        <f>C128-D128</f>
        <v>-312105.46479813289</v>
      </c>
    </row>
    <row r="129" spans="1:5" ht="18.95" customHeight="1" x14ac:dyDescent="0.2"/>
    <row r="130" spans="1:5" ht="18.95" customHeight="1" x14ac:dyDescent="0.35">
      <c r="A130" s="8">
        <v>4</v>
      </c>
      <c r="B130" s="6" t="s">
        <v>81</v>
      </c>
      <c r="C130" s="7"/>
      <c r="D130" s="188">
        <f>('TY BILLING'!$N$16/12*13)*10</f>
        <v>211426820.69569227</v>
      </c>
      <c r="E130" s="188">
        <f>('TY BILLING'!$N$17/12*13)*10</f>
        <v>270175002.89211386</v>
      </c>
    </row>
    <row r="131" spans="1:5" ht="18.95" customHeight="1" x14ac:dyDescent="0.2"/>
    <row r="132" spans="1:5" ht="18.95" customHeight="1" x14ac:dyDescent="0.35">
      <c r="A132" s="8">
        <v>5</v>
      </c>
      <c r="B132" s="6" t="s">
        <v>168</v>
      </c>
      <c r="C132" s="76"/>
      <c r="D132" s="189">
        <f t="shared" ref="D132:E132" si="10">D128/D130</f>
        <v>-2.7902488854642596E-3</v>
      </c>
      <c r="E132" s="189">
        <f t="shared" si="10"/>
        <v>-1.1551974144801348E-3</v>
      </c>
    </row>
    <row r="133" spans="1:5" ht="18.95" customHeight="1" x14ac:dyDescent="0.2">
      <c r="A133" s="8"/>
      <c r="C133" s="76"/>
      <c r="D133" s="76"/>
      <c r="E133" s="76"/>
    </row>
    <row r="134" spans="1:5" ht="18.95" customHeight="1" x14ac:dyDescent="0.2">
      <c r="B134" s="6" t="s">
        <v>119</v>
      </c>
    </row>
    <row r="135" spans="1:5" ht="18.95" customHeight="1" x14ac:dyDescent="0.2">
      <c r="A135" s="74">
        <v>6</v>
      </c>
      <c r="B135" s="12" t="s">
        <v>161</v>
      </c>
      <c r="C135" s="75">
        <f>C128/16</f>
        <v>-56377.432225096258</v>
      </c>
      <c r="D135" s="75">
        <f>D128/16</f>
        <v>-36870.840675212952</v>
      </c>
      <c r="E135" s="75">
        <f>E128/16</f>
        <v>-19506.591549883306</v>
      </c>
    </row>
    <row r="136" spans="1:5" ht="18.95" customHeight="1" x14ac:dyDescent="0.2"/>
    <row r="137" spans="1:5" ht="18.95" customHeight="1" x14ac:dyDescent="0.35">
      <c r="A137" s="8">
        <v>7</v>
      </c>
      <c r="B137" s="6" t="s">
        <v>120</v>
      </c>
      <c r="C137" s="188">
        <f>('TY BILLING'!$N$10/12)*10</f>
        <v>37046294.122138932</v>
      </c>
      <c r="D137" s="188">
        <f>('TY BILLING'!$N$16/12)*10</f>
        <v>16263601.59197633</v>
      </c>
      <c r="E137" s="188">
        <f>('TY BILLING'!$N$17/12)*10</f>
        <v>20782692.530162606</v>
      </c>
    </row>
    <row r="138" spans="1:5" ht="18.95" customHeight="1" x14ac:dyDescent="0.2"/>
    <row r="139" spans="1:5" ht="18.95" customHeight="1" x14ac:dyDescent="0.35">
      <c r="A139" s="8">
        <v>8</v>
      </c>
      <c r="B139" s="6" t="s">
        <v>169</v>
      </c>
      <c r="C139" s="189">
        <f>C135/C137</f>
        <v>-1.5218103068345777E-3</v>
      </c>
      <c r="D139" s="189">
        <f t="shared" ref="D139:E139" si="11">D135/D137</f>
        <v>-2.2670772194397109E-3</v>
      </c>
      <c r="E139" s="189">
        <f t="shared" si="11"/>
        <v>-9.3859789926510953E-4</v>
      </c>
    </row>
    <row r="140" spans="1:5" ht="18.95" customHeight="1" x14ac:dyDescent="0.2"/>
    <row r="141" spans="1:5" ht="18.95" customHeight="1" x14ac:dyDescent="0.2">
      <c r="A141" s="190" t="s">
        <v>164</v>
      </c>
      <c r="B141" s="77" t="s">
        <v>166</v>
      </c>
    </row>
    <row r="142" spans="1:5" ht="18.95" customHeight="1" x14ac:dyDescent="0.2"/>
    <row r="143" spans="1:5" ht="18.95" customHeight="1" x14ac:dyDescent="0.2"/>
    <row r="144" spans="1:5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  <row r="219" ht="18.95" customHeight="1" x14ac:dyDescent="0.2"/>
    <row r="220" ht="18.95" customHeight="1" x14ac:dyDescent="0.2"/>
    <row r="221" ht="18.95" customHeight="1" x14ac:dyDescent="0.2"/>
    <row r="222" ht="18.95" customHeight="1" x14ac:dyDescent="0.2"/>
    <row r="223" ht="18.95" customHeight="1" x14ac:dyDescent="0.2"/>
    <row r="224" ht="18.95" customHeight="1" x14ac:dyDescent="0.2"/>
    <row r="225" ht="18.95" customHeight="1" x14ac:dyDescent="0.2"/>
    <row r="226" ht="18.95" customHeight="1" x14ac:dyDescent="0.2"/>
    <row r="227" ht="18.95" customHeight="1" x14ac:dyDescent="0.2"/>
    <row r="228" ht="18.95" customHeight="1" x14ac:dyDescent="0.2"/>
    <row r="229" ht="18.95" customHeight="1" x14ac:dyDescent="0.2"/>
    <row r="230" ht="18.95" customHeight="1" x14ac:dyDescent="0.2"/>
    <row r="231" ht="18.95" customHeight="1" x14ac:dyDescent="0.2"/>
    <row r="232" ht="18.95" customHeight="1" x14ac:dyDescent="0.2"/>
    <row r="233" ht="18.95" customHeight="1" x14ac:dyDescent="0.2"/>
    <row r="234" ht="18.95" customHeight="1" x14ac:dyDescent="0.2"/>
    <row r="235" ht="18.95" customHeight="1" x14ac:dyDescent="0.2"/>
    <row r="236" ht="18.95" customHeight="1" x14ac:dyDescent="0.2"/>
    <row r="237" ht="18.95" customHeight="1" x14ac:dyDescent="0.2"/>
    <row r="238" ht="18.95" customHeight="1" x14ac:dyDescent="0.2"/>
    <row r="239" ht="18.95" customHeight="1" x14ac:dyDescent="0.2"/>
    <row r="240" ht="18.95" customHeight="1" x14ac:dyDescent="0.2"/>
    <row r="241" ht="18.95" customHeight="1" x14ac:dyDescent="0.2"/>
    <row r="242" ht="18.95" customHeight="1" x14ac:dyDescent="0.2"/>
    <row r="243" ht="18.95" customHeight="1" x14ac:dyDescent="0.2"/>
    <row r="244" ht="18.95" customHeight="1" x14ac:dyDescent="0.2"/>
    <row r="245" ht="18.95" customHeight="1" x14ac:dyDescent="0.2"/>
    <row r="246" ht="18.95" customHeight="1" x14ac:dyDescent="0.2"/>
    <row r="247" ht="18.95" customHeight="1" x14ac:dyDescent="0.2"/>
    <row r="248" ht="18.95" customHeight="1" x14ac:dyDescent="0.2"/>
    <row r="249" ht="18.95" customHeight="1" x14ac:dyDescent="0.2"/>
    <row r="250" ht="18.95" customHeight="1" x14ac:dyDescent="0.2"/>
    <row r="251" ht="18.95" customHeight="1" x14ac:dyDescent="0.2"/>
    <row r="252" ht="18.95" customHeight="1" x14ac:dyDescent="0.2"/>
    <row r="253" ht="18.95" customHeight="1" x14ac:dyDescent="0.2"/>
    <row r="254" ht="18.95" customHeight="1" x14ac:dyDescent="0.2"/>
    <row r="255" ht="18.95" customHeight="1" x14ac:dyDescent="0.2"/>
    <row r="256" ht="18.95" customHeight="1" x14ac:dyDescent="0.2"/>
    <row r="257" ht="18.95" customHeight="1" x14ac:dyDescent="0.2"/>
    <row r="258" ht="18.95" customHeight="1" x14ac:dyDescent="0.2"/>
    <row r="259" ht="18.95" customHeight="1" x14ac:dyDescent="0.2"/>
    <row r="260" ht="18.95" customHeight="1" x14ac:dyDescent="0.2"/>
    <row r="261" ht="18.95" customHeight="1" x14ac:dyDescent="0.2"/>
    <row r="262" ht="18.95" customHeight="1" x14ac:dyDescent="0.2"/>
    <row r="263" ht="18.95" customHeight="1" x14ac:dyDescent="0.2"/>
    <row r="264" ht="18.95" customHeight="1" x14ac:dyDescent="0.2"/>
    <row r="265" ht="18.95" customHeight="1" x14ac:dyDescent="0.2"/>
    <row r="266" ht="18.95" customHeight="1" x14ac:dyDescent="0.2"/>
    <row r="267" ht="18.95" customHeight="1" x14ac:dyDescent="0.2"/>
    <row r="268" ht="18.95" customHeight="1" x14ac:dyDescent="0.2"/>
    <row r="269" ht="18.95" customHeight="1" x14ac:dyDescent="0.2"/>
    <row r="270" ht="18.95" customHeight="1" x14ac:dyDescent="0.2"/>
    <row r="271" ht="18.95" customHeight="1" x14ac:dyDescent="0.2"/>
    <row r="272" ht="18.95" customHeight="1" x14ac:dyDescent="0.2"/>
    <row r="273" ht="18.95" customHeight="1" x14ac:dyDescent="0.2"/>
    <row r="274" ht="18.95" customHeight="1" x14ac:dyDescent="0.2"/>
    <row r="275" ht="18.95" customHeight="1" x14ac:dyDescent="0.2"/>
    <row r="276" ht="18.95" customHeight="1" x14ac:dyDescent="0.2"/>
    <row r="277" ht="18.95" customHeight="1" x14ac:dyDescent="0.2"/>
    <row r="278" ht="18.95" customHeight="1" x14ac:dyDescent="0.2"/>
    <row r="279" ht="18.95" customHeight="1" x14ac:dyDescent="0.2"/>
    <row r="280" ht="18.95" customHeight="1" x14ac:dyDescent="0.2"/>
    <row r="281" ht="18.95" customHeight="1" x14ac:dyDescent="0.2"/>
    <row r="282" ht="18.95" customHeight="1" x14ac:dyDescent="0.2"/>
  </sheetData>
  <mergeCells count="15">
    <mergeCell ref="A98:E98"/>
    <mergeCell ref="A99:E99"/>
    <mergeCell ref="A100:E100"/>
    <mergeCell ref="D102:E102"/>
    <mergeCell ref="A3:E3"/>
    <mergeCell ref="A4:E4"/>
    <mergeCell ref="A5:E5"/>
    <mergeCell ref="A6:E6"/>
    <mergeCell ref="D8:E8"/>
    <mergeCell ref="A97:E97"/>
    <mergeCell ref="A50:E50"/>
    <mergeCell ref="A51:E51"/>
    <mergeCell ref="A52:E52"/>
    <mergeCell ref="A53:E53"/>
    <mergeCell ref="D55:E55"/>
  </mergeCells>
  <printOptions horizontalCentered="1"/>
  <pageMargins left="0.75" right="0.75" top="0.75" bottom="0.75" header="0.3" footer="0.3"/>
  <pageSetup scale="61" orientation="portrait" r:id="rId1"/>
  <rowBreaks count="2" manualBreakCount="2">
    <brk id="47" max="4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40"/>
  <sheetViews>
    <sheetView showGridLines="0" zoomScaleNormal="100" workbookViewId="0">
      <selection activeCell="E12" sqref="E12"/>
    </sheetView>
  </sheetViews>
  <sheetFormatPr defaultColWidth="12.42578125" defaultRowHeight="12.75" x14ac:dyDescent="0.2"/>
  <cols>
    <col min="1" max="1" width="16.42578125" style="19" customWidth="1"/>
    <col min="2" max="2" width="36.7109375" style="19" customWidth="1"/>
    <col min="3" max="3" width="16.42578125" style="19" customWidth="1"/>
    <col min="4" max="4" width="6.5703125" style="19" customWidth="1"/>
    <col min="5" max="5" width="15.7109375" style="19" customWidth="1"/>
    <col min="6" max="6" width="15.7109375" style="42" customWidth="1"/>
    <col min="7" max="7" width="16.42578125" style="19" customWidth="1"/>
    <col min="8" max="16384" width="12.42578125" style="19"/>
  </cols>
  <sheetData>
    <row r="1" spans="1:7" ht="20.100000000000001" customHeight="1" x14ac:dyDescent="0.2">
      <c r="E1" s="131"/>
      <c r="F1" s="3" t="s">
        <v>109</v>
      </c>
    </row>
    <row r="2" spans="1:7" ht="20.100000000000001" customHeight="1" x14ac:dyDescent="0.2">
      <c r="E2" s="131"/>
      <c r="F2" s="3" t="s">
        <v>107</v>
      </c>
    </row>
    <row r="3" spans="1:7" ht="15.75" x14ac:dyDescent="0.25">
      <c r="A3" s="17"/>
      <c r="B3" s="203" t="s">
        <v>42</v>
      </c>
      <c r="C3" s="203"/>
      <c r="D3" s="203"/>
      <c r="E3" s="203"/>
      <c r="G3" s="18"/>
    </row>
    <row r="4" spans="1:7" ht="15.75" x14ac:dyDescent="0.25">
      <c r="A4" s="17"/>
      <c r="B4" s="203" t="s">
        <v>8</v>
      </c>
      <c r="C4" s="203"/>
      <c r="D4" s="203"/>
      <c r="E4" s="203"/>
      <c r="G4" s="18"/>
    </row>
    <row r="5" spans="1:7" ht="15.75" x14ac:dyDescent="0.25">
      <c r="A5" s="17"/>
      <c r="B5" s="203" t="s">
        <v>9</v>
      </c>
      <c r="C5" s="203"/>
      <c r="D5" s="203"/>
      <c r="E5" s="203"/>
      <c r="G5" s="21"/>
    </row>
    <row r="6" spans="1:7" ht="15.75" x14ac:dyDescent="0.25">
      <c r="A6" s="17"/>
      <c r="B6" s="204" t="s">
        <v>10</v>
      </c>
      <c r="C6" s="204"/>
      <c r="D6" s="204"/>
      <c r="E6" s="204"/>
      <c r="F6" s="20"/>
    </row>
    <row r="7" spans="1:7" ht="15.75" x14ac:dyDescent="0.25">
      <c r="B7" s="22"/>
      <c r="C7" s="22"/>
      <c r="D7" s="22"/>
      <c r="E7" s="22"/>
      <c r="F7" s="22"/>
    </row>
    <row r="8" spans="1:7" ht="15" x14ac:dyDescent="0.2">
      <c r="A8" s="23"/>
      <c r="B8" s="23"/>
      <c r="C8" s="24"/>
      <c r="D8" s="25"/>
      <c r="E8" s="26"/>
      <c r="F8" s="27"/>
    </row>
    <row r="9" spans="1:7" ht="15" x14ac:dyDescent="0.2">
      <c r="A9" s="23" t="s">
        <v>11</v>
      </c>
      <c r="B9" s="23"/>
      <c r="C9" s="28"/>
      <c r="D9" s="29"/>
      <c r="E9" s="30"/>
      <c r="F9" s="31">
        <v>1</v>
      </c>
    </row>
    <row r="10" spans="1:7" ht="15" x14ac:dyDescent="0.2">
      <c r="A10" s="32"/>
      <c r="B10" s="23"/>
      <c r="C10" s="26"/>
      <c r="D10" s="33"/>
      <c r="E10" s="26"/>
      <c r="F10" s="34"/>
    </row>
    <row r="11" spans="1:7" ht="15" x14ac:dyDescent="0.2">
      <c r="A11" s="32" t="s">
        <v>12</v>
      </c>
      <c r="B11" s="23"/>
      <c r="C11" s="26"/>
      <c r="D11" s="26"/>
      <c r="E11" s="26"/>
      <c r="F11" s="35">
        <f>F35</f>
        <v>0.06</v>
      </c>
    </row>
    <row r="12" spans="1:7" ht="15" x14ac:dyDescent="0.2">
      <c r="A12" s="32"/>
      <c r="B12" s="23"/>
      <c r="C12" s="26"/>
      <c r="D12" s="26"/>
      <c r="E12" s="26"/>
      <c r="F12" s="36"/>
    </row>
    <row r="13" spans="1:7" ht="15" x14ac:dyDescent="0.2">
      <c r="A13" s="37" t="s">
        <v>13</v>
      </c>
      <c r="B13" s="23"/>
      <c r="C13" s="38"/>
      <c r="D13" s="30"/>
      <c r="E13" s="38"/>
      <c r="F13" s="39">
        <f>+F9-F11</f>
        <v>0.94</v>
      </c>
    </row>
    <row r="14" spans="1:7" ht="15" x14ac:dyDescent="0.2">
      <c r="A14" s="40" t="s">
        <v>14</v>
      </c>
      <c r="B14" s="23"/>
      <c r="C14" s="38"/>
      <c r="D14" s="30"/>
      <c r="E14" s="41">
        <v>0.09</v>
      </c>
    </row>
    <row r="15" spans="1:7" ht="15" x14ac:dyDescent="0.2">
      <c r="A15" s="40" t="s">
        <v>15</v>
      </c>
      <c r="B15" s="23"/>
      <c r="C15" s="38"/>
      <c r="D15" s="30"/>
      <c r="E15" s="43">
        <v>0.54920000000000002</v>
      </c>
    </row>
    <row r="16" spans="1:7" ht="15" x14ac:dyDescent="0.2">
      <c r="A16" s="44" t="s">
        <v>52</v>
      </c>
      <c r="B16" s="23"/>
      <c r="C16" s="38"/>
      <c r="D16" s="30"/>
      <c r="E16" s="45">
        <v>0</v>
      </c>
    </row>
    <row r="17" spans="1:7" ht="15" x14ac:dyDescent="0.2">
      <c r="A17" s="44" t="str">
        <f xml:space="preserve"> CONCATENATE("4.  Less: Production tax deduction (",TEXT($E$16,"0.0000%")," of Line 3)")</f>
        <v>4.  Less: Production tax deduction (0.0000% of Line 3)</v>
      </c>
      <c r="B17" s="23"/>
      <c r="C17" s="38"/>
      <c r="D17" s="30"/>
      <c r="E17" s="38"/>
      <c r="F17" s="35">
        <f>E16*F13</f>
        <v>0</v>
      </c>
      <c r="G17" s="46"/>
    </row>
    <row r="18" spans="1:7" ht="15" x14ac:dyDescent="0.2">
      <c r="A18" s="44"/>
      <c r="B18" s="23"/>
      <c r="C18" s="38"/>
      <c r="D18" s="30"/>
      <c r="E18" s="38"/>
      <c r="F18" s="46"/>
    </row>
    <row r="19" spans="1:7" ht="15" x14ac:dyDescent="0.2">
      <c r="A19" s="44" t="s">
        <v>16</v>
      </c>
      <c r="B19" s="23"/>
      <c r="C19" s="38"/>
      <c r="D19" s="30"/>
      <c r="E19" s="38"/>
      <c r="F19" s="39">
        <f>F13-F17</f>
        <v>0.94</v>
      </c>
    </row>
    <row r="20" spans="1:7" ht="15" x14ac:dyDescent="0.2">
      <c r="A20" s="37"/>
      <c r="B20" s="23"/>
      <c r="C20" s="33"/>
      <c r="D20" s="26"/>
      <c r="E20" s="26"/>
      <c r="F20" s="36"/>
    </row>
    <row r="21" spans="1:7" ht="15" x14ac:dyDescent="0.2">
      <c r="A21" s="37" t="s">
        <v>17</v>
      </c>
      <c r="B21" s="23"/>
      <c r="C21" s="33"/>
      <c r="D21" s="26"/>
      <c r="E21" s="26"/>
      <c r="F21" s="35">
        <f>ROUND(+F19*0.21,10)</f>
        <v>0.19739999999999999</v>
      </c>
    </row>
    <row r="22" spans="1:7" ht="15" x14ac:dyDescent="0.2">
      <c r="A22" s="37"/>
      <c r="B22" s="23"/>
      <c r="C22" s="33"/>
      <c r="D22" s="26"/>
      <c r="E22" s="26"/>
      <c r="F22" s="34"/>
    </row>
    <row r="23" spans="1:7" ht="15.75" thickBot="1" x14ac:dyDescent="0.25">
      <c r="A23" s="37" t="s">
        <v>18</v>
      </c>
      <c r="B23" s="23"/>
      <c r="C23" s="33"/>
      <c r="D23" s="26"/>
      <c r="E23" s="26"/>
      <c r="F23" s="47">
        <f>ROUND(+F11+F21,10)</f>
        <v>0.25740000000000002</v>
      </c>
    </row>
    <row r="24" spans="1:7" ht="15.75" thickTop="1" x14ac:dyDescent="0.2">
      <c r="A24" s="37"/>
      <c r="B24" s="23"/>
      <c r="C24" s="48"/>
      <c r="D24" s="26"/>
      <c r="E24" s="26"/>
      <c r="F24" s="49"/>
    </row>
    <row r="26" spans="1:7" ht="15" x14ac:dyDescent="0.2">
      <c r="A26" s="50" t="s">
        <v>19</v>
      </c>
    </row>
    <row r="27" spans="1:7" ht="15" x14ac:dyDescent="0.2">
      <c r="A27" s="23" t="s">
        <v>11</v>
      </c>
      <c r="F27" s="31">
        <v>1</v>
      </c>
    </row>
    <row r="28" spans="1:7" ht="15" x14ac:dyDescent="0.2">
      <c r="A28" s="51"/>
      <c r="F28" s="52"/>
    </row>
    <row r="29" spans="1:7" ht="15" x14ac:dyDescent="0.2">
      <c r="A29" s="44" t="str">
        <f xml:space="preserve"> CONCATENATE("2.  Less: Production activities deduction @ 0% X ",TEXT($E$15,"0.00%")," (1)")</f>
        <v>2.  Less: Production activities deduction @ 0% X 54.92% (1)</v>
      </c>
      <c r="F29" s="35">
        <f>E15*0</f>
        <v>0</v>
      </c>
    </row>
    <row r="30" spans="1:7" ht="15" x14ac:dyDescent="0.2">
      <c r="A30" s="1"/>
      <c r="F30" s="36"/>
    </row>
    <row r="31" spans="1:7" ht="15" x14ac:dyDescent="0.2">
      <c r="A31" s="53" t="s">
        <v>20</v>
      </c>
      <c r="F31" s="39">
        <f>+F27-F29</f>
        <v>1</v>
      </c>
    </row>
    <row r="32" spans="1:7" ht="15" x14ac:dyDescent="0.2">
      <c r="A32" s="53"/>
      <c r="F32" s="46"/>
    </row>
    <row r="33" spans="1:6" ht="15" x14ac:dyDescent="0.2">
      <c r="A33" s="53" t="s">
        <v>21</v>
      </c>
      <c r="F33" s="35">
        <v>0.06</v>
      </c>
    </row>
    <row r="34" spans="1:6" ht="15" x14ac:dyDescent="0.2">
      <c r="A34" s="44"/>
      <c r="F34" s="36"/>
    </row>
    <row r="35" spans="1:6" ht="15.75" thickBot="1" x14ac:dyDescent="0.25">
      <c r="A35" s="51" t="s">
        <v>22</v>
      </c>
      <c r="F35" s="54">
        <f>ROUND(+F31*F33,10)</f>
        <v>0.06</v>
      </c>
    </row>
    <row r="36" spans="1:6" ht="13.5" thickTop="1" x14ac:dyDescent="0.2"/>
    <row r="38" spans="1:6" ht="14.25" x14ac:dyDescent="0.2">
      <c r="A38" s="55"/>
    </row>
    <row r="39" spans="1:6" ht="14.25" x14ac:dyDescent="0.2">
      <c r="A39" s="55"/>
    </row>
    <row r="40" spans="1:6" ht="14.25" x14ac:dyDescent="0.2">
      <c r="A40" s="55"/>
    </row>
  </sheetData>
  <mergeCells count="4">
    <mergeCell ref="B3:E3"/>
    <mergeCell ref="B4:E4"/>
    <mergeCell ref="B5:E5"/>
    <mergeCell ref="B6:E6"/>
  </mergeCells>
  <printOptions horizontalCentered="1" gridLinesSet="0"/>
  <pageMargins left="1" right="1" top="1" bottom="1" header="0.5" footer="0.5"/>
  <pageSetup scale="8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1"/>
  <sheetViews>
    <sheetView zoomScaleNormal="100" workbookViewId="0">
      <selection activeCell="B11" sqref="B11"/>
    </sheetView>
  </sheetViews>
  <sheetFormatPr defaultRowHeight="12.75" x14ac:dyDescent="0.2"/>
  <cols>
    <col min="1" max="1" width="6.85546875" style="4" customWidth="1"/>
    <col min="2" max="2" width="59.42578125" style="4" customWidth="1"/>
    <col min="3" max="3" width="14.42578125" style="4" customWidth="1"/>
    <col min="4" max="4" width="18.85546875" style="4" customWidth="1"/>
    <col min="5" max="5" width="15.7109375" style="4" customWidth="1"/>
    <col min="6" max="6" width="1.85546875" style="4" customWidth="1"/>
    <col min="7" max="7" width="9.140625" style="4" customWidth="1"/>
    <col min="8" max="16384" width="9.140625" style="4"/>
  </cols>
  <sheetData>
    <row r="1" spans="1:5" s="2" customFormat="1" ht="20.100000000000001" customHeight="1" x14ac:dyDescent="0.2">
      <c r="A1" s="179"/>
      <c r="B1" s="179"/>
      <c r="C1" s="179"/>
      <c r="D1" s="179"/>
      <c r="E1" s="191" t="s">
        <v>170</v>
      </c>
    </row>
    <row r="2" spans="1:5" s="2" customFormat="1" ht="20.100000000000001" customHeight="1" x14ac:dyDescent="0.2">
      <c r="A2" s="179"/>
      <c r="B2" s="179"/>
      <c r="C2" s="179"/>
      <c r="D2" s="179"/>
      <c r="E2" s="191" t="s">
        <v>171</v>
      </c>
    </row>
    <row r="3" spans="1:5" s="2" customFormat="1" ht="20.100000000000001" customHeight="1" x14ac:dyDescent="0.2">
      <c r="A3" s="200" t="s">
        <v>42</v>
      </c>
      <c r="B3" s="201"/>
      <c r="C3" s="201"/>
      <c r="D3" s="201"/>
      <c r="E3" s="201"/>
    </row>
    <row r="4" spans="1:5" s="2" customFormat="1" ht="20.100000000000001" customHeight="1" x14ac:dyDescent="0.2">
      <c r="A4" s="200" t="s">
        <v>110</v>
      </c>
      <c r="B4" s="201"/>
      <c r="C4" s="201"/>
      <c r="D4" s="201"/>
      <c r="E4" s="201"/>
    </row>
    <row r="5" spans="1:5" s="2" customFormat="1" ht="20.100000000000001" customHeight="1" x14ac:dyDescent="0.2">
      <c r="A5" s="201" t="s">
        <v>172</v>
      </c>
      <c r="B5" s="201"/>
      <c r="C5" s="201"/>
      <c r="D5" s="201"/>
      <c r="E5" s="201"/>
    </row>
    <row r="6" spans="1:5" s="2" customFormat="1" ht="20.100000000000001" customHeight="1" x14ac:dyDescent="0.2">
      <c r="A6" s="200" t="s">
        <v>187</v>
      </c>
      <c r="B6" s="201"/>
      <c r="C6" s="201"/>
      <c r="D6" s="201"/>
      <c r="E6" s="201"/>
    </row>
    <row r="7" spans="1:5" s="2" customFormat="1" ht="20.100000000000001" customHeight="1" x14ac:dyDescent="0.2">
      <c r="A7" s="179"/>
      <c r="B7" s="179"/>
      <c r="C7" s="179"/>
      <c r="D7" s="179"/>
      <c r="E7" s="179"/>
    </row>
    <row r="8" spans="1:5" s="2" customFormat="1" ht="18.75" customHeight="1" x14ac:dyDescent="0.2"/>
    <row r="9" spans="1:5" s="2" customFormat="1" ht="7.5" customHeight="1" x14ac:dyDescent="0.2">
      <c r="A9" s="13"/>
      <c r="B9" s="13"/>
      <c r="C9" s="13"/>
      <c r="D9" s="13"/>
      <c r="E9" s="13"/>
    </row>
    <row r="10" spans="1:5" ht="24" customHeight="1" x14ac:dyDescent="0.2">
      <c r="A10" s="14" t="s">
        <v>2</v>
      </c>
      <c r="B10" s="14" t="s">
        <v>0</v>
      </c>
      <c r="C10" s="14"/>
      <c r="D10" s="14" t="s">
        <v>1</v>
      </c>
      <c r="E10" s="14" t="s">
        <v>4</v>
      </c>
    </row>
    <row r="11" spans="1:5" ht="18.95" customHeight="1" x14ac:dyDescent="0.2">
      <c r="A11" s="5"/>
      <c r="B11" s="10"/>
      <c r="C11" s="11"/>
      <c r="D11" s="11"/>
      <c r="E11" s="11"/>
    </row>
    <row r="12" spans="1:5" ht="18.95" customHeight="1" x14ac:dyDescent="0.2">
      <c r="A12" s="5">
        <v>1</v>
      </c>
      <c r="B12" s="6" t="s">
        <v>5</v>
      </c>
      <c r="C12" s="7"/>
      <c r="D12" s="192">
        <v>1</v>
      </c>
      <c r="E12" s="192">
        <v>1</v>
      </c>
    </row>
    <row r="13" spans="1:5" ht="18.95" customHeight="1" x14ac:dyDescent="0.2">
      <c r="A13" s="8"/>
      <c r="B13" s="6"/>
      <c r="C13" s="7"/>
      <c r="D13" s="192"/>
      <c r="E13" s="192"/>
    </row>
    <row r="14" spans="1:5" ht="18.95" customHeight="1" x14ac:dyDescent="0.2">
      <c r="A14" s="8">
        <v>2</v>
      </c>
      <c r="B14" s="6" t="s">
        <v>6</v>
      </c>
      <c r="C14" s="192"/>
      <c r="D14" s="192">
        <v>1.9400000000000001E-3</v>
      </c>
      <c r="E14" s="192">
        <f>D14</f>
        <v>1.9400000000000001E-3</v>
      </c>
    </row>
    <row r="15" spans="1:5" ht="18.95" customHeight="1" x14ac:dyDescent="0.2">
      <c r="A15" s="8"/>
      <c r="B15" s="6"/>
      <c r="C15" s="7"/>
      <c r="D15" s="192"/>
      <c r="E15" s="192"/>
    </row>
    <row r="16" spans="1:5" ht="18.95" customHeight="1" x14ac:dyDescent="0.2">
      <c r="A16" s="8">
        <v>3</v>
      </c>
      <c r="B16" s="6" t="s">
        <v>7</v>
      </c>
      <c r="D16" s="193">
        <v>1.941E-3</v>
      </c>
      <c r="E16" s="193">
        <f>D16</f>
        <v>1.941E-3</v>
      </c>
    </row>
    <row r="17" spans="1:5" ht="18.95" customHeight="1" x14ac:dyDescent="0.2">
      <c r="A17" s="8"/>
      <c r="B17" s="12"/>
      <c r="C17" s="7"/>
      <c r="D17" s="192"/>
      <c r="E17" s="192"/>
    </row>
    <row r="18" spans="1:5" ht="18.95" customHeight="1" x14ac:dyDescent="0.2">
      <c r="A18" s="8">
        <v>4</v>
      </c>
      <c r="B18" s="6" t="s">
        <v>173</v>
      </c>
      <c r="C18" s="7"/>
      <c r="D18" s="192">
        <f>D12-D14-D16</f>
        <v>0.99611899999999998</v>
      </c>
      <c r="E18" s="192">
        <f>E12-E14-E16</f>
        <v>0.99611899999999998</v>
      </c>
    </row>
    <row r="19" spans="1:5" ht="18.95" customHeight="1" x14ac:dyDescent="0.2">
      <c r="A19" s="8"/>
      <c r="B19" s="194"/>
      <c r="C19" s="7"/>
      <c r="D19" s="192"/>
      <c r="E19" s="192"/>
    </row>
    <row r="20" spans="1:5" ht="18.95" customHeight="1" x14ac:dyDescent="0.2">
      <c r="A20" s="8">
        <v>5</v>
      </c>
      <c r="B20" s="194" t="s">
        <v>174</v>
      </c>
      <c r="C20" s="15">
        <v>0.06</v>
      </c>
      <c r="D20" s="192">
        <f>D18*C20</f>
        <v>5.9767139999999996E-2</v>
      </c>
      <c r="E20" s="193">
        <f>D20</f>
        <v>5.9767139999999996E-2</v>
      </c>
    </row>
    <row r="21" spans="1:5" ht="18.95" customHeight="1" x14ac:dyDescent="0.2">
      <c r="A21" s="8"/>
      <c r="B21" s="194"/>
      <c r="C21" s="7"/>
      <c r="D21" s="192"/>
      <c r="E21" s="192"/>
    </row>
    <row r="22" spans="1:5" ht="18.95" customHeight="1" x14ac:dyDescent="0.2">
      <c r="A22" s="8">
        <v>6</v>
      </c>
      <c r="B22" s="6" t="s">
        <v>175</v>
      </c>
      <c r="D22" s="192"/>
      <c r="E22" s="192">
        <f>E18-E20</f>
        <v>0.93635186000000004</v>
      </c>
    </row>
    <row r="23" spans="1:5" ht="18.95" customHeight="1" x14ac:dyDescent="0.2">
      <c r="A23" s="8"/>
      <c r="B23" s="195"/>
      <c r="C23" s="7"/>
      <c r="D23" s="192"/>
      <c r="E23" s="192"/>
    </row>
    <row r="24" spans="1:5" ht="18.95" customHeight="1" x14ac:dyDescent="0.2">
      <c r="A24" s="8">
        <v>7</v>
      </c>
      <c r="B24" s="194" t="s">
        <v>176</v>
      </c>
      <c r="C24" s="15">
        <v>0.21</v>
      </c>
      <c r="D24" s="196"/>
      <c r="E24" s="193">
        <f>E22*C24</f>
        <v>0.1966338906</v>
      </c>
    </row>
    <row r="25" spans="1:5" ht="18.95" customHeight="1" x14ac:dyDescent="0.2">
      <c r="A25" s="8"/>
      <c r="B25" s="195"/>
      <c r="C25" s="7"/>
      <c r="D25" s="192"/>
      <c r="E25" s="192"/>
    </row>
    <row r="26" spans="1:5" ht="18.95" customHeight="1" thickBot="1" x14ac:dyDescent="0.25">
      <c r="A26" s="8">
        <v>8</v>
      </c>
      <c r="B26" s="194" t="s">
        <v>177</v>
      </c>
      <c r="E26" s="197">
        <f>E20+E24</f>
        <v>0.25640103059999997</v>
      </c>
    </row>
    <row r="27" spans="1:5" ht="18.95" customHeight="1" thickTop="1" x14ac:dyDescent="0.2"/>
    <row r="28" spans="1:5" ht="18.95" customHeight="1" x14ac:dyDescent="0.2">
      <c r="E28" s="198"/>
    </row>
    <row r="29" spans="1:5" ht="18.95" customHeight="1" x14ac:dyDescent="0.2">
      <c r="E29" s="198"/>
    </row>
    <row r="30" spans="1:5" ht="18.95" customHeight="1" x14ac:dyDescent="0.2">
      <c r="E30" s="192"/>
    </row>
    <row r="31" spans="1:5" ht="18.95" customHeight="1" x14ac:dyDescent="0.2">
      <c r="E31" s="192"/>
    </row>
    <row r="32" spans="1:5" ht="18.95" customHeight="1" x14ac:dyDescent="0.2">
      <c r="E32" s="192"/>
    </row>
    <row r="33" spans="5:5" ht="18.95" customHeight="1" x14ac:dyDescent="0.2">
      <c r="E33" s="192"/>
    </row>
    <row r="34" spans="5:5" ht="18.95" customHeight="1" x14ac:dyDescent="0.2"/>
    <row r="35" spans="5:5" ht="18.95" customHeight="1" x14ac:dyDescent="0.2"/>
    <row r="36" spans="5:5" ht="18.95" customHeight="1" x14ac:dyDescent="0.2"/>
    <row r="37" spans="5:5" ht="18.95" customHeight="1" x14ac:dyDescent="0.2"/>
    <row r="38" spans="5:5" ht="18.95" customHeight="1" x14ac:dyDescent="0.2"/>
    <row r="39" spans="5:5" ht="18.95" customHeight="1" x14ac:dyDescent="0.2"/>
    <row r="40" spans="5:5" ht="18.95" customHeight="1" x14ac:dyDescent="0.2"/>
    <row r="41" spans="5:5" ht="18.95" customHeight="1" x14ac:dyDescent="0.2"/>
    <row r="42" spans="5:5" ht="18.95" customHeight="1" x14ac:dyDescent="0.2"/>
    <row r="43" spans="5:5" ht="18.95" customHeight="1" x14ac:dyDescent="0.2"/>
    <row r="44" spans="5:5" ht="18.95" customHeight="1" x14ac:dyDescent="0.2"/>
    <row r="45" spans="5:5" ht="18.95" customHeight="1" x14ac:dyDescent="0.2"/>
    <row r="46" spans="5:5" ht="18.95" customHeight="1" x14ac:dyDescent="0.2"/>
    <row r="47" spans="5:5" ht="18.95" customHeight="1" x14ac:dyDescent="0.2"/>
    <row r="48" spans="5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</sheetData>
  <mergeCells count="4">
    <mergeCell ref="A3:E3"/>
    <mergeCell ref="A4:E4"/>
    <mergeCell ref="A5:E5"/>
    <mergeCell ref="A6:E6"/>
  </mergeCells>
  <pageMargins left="0.95" right="0.5" top="0.75" bottom="0.75" header="0.3" footer="0.3"/>
  <pageSetup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80" zoomScaleNormal="80" workbookViewId="0">
      <selection activeCell="M2" sqref="M2"/>
    </sheetView>
  </sheetViews>
  <sheetFormatPr defaultColWidth="9.140625" defaultRowHeight="15.75" x14ac:dyDescent="0.25"/>
  <cols>
    <col min="1" max="1" width="63.42578125" style="134" customWidth="1"/>
    <col min="2" max="2" width="16.85546875" style="134" bestFit="1" customWidth="1"/>
    <col min="3" max="3" width="16.85546875" style="134" customWidth="1"/>
    <col min="4" max="4" width="18.42578125" style="134" customWidth="1"/>
    <col min="5" max="5" width="16.42578125" style="134" customWidth="1"/>
    <col min="6" max="6" width="17.7109375" style="134" customWidth="1"/>
    <col min="7" max="7" width="18.85546875" style="134" customWidth="1"/>
    <col min="8" max="8" width="17.7109375" style="134" customWidth="1"/>
    <col min="9" max="9" width="12" style="134" bestFit="1" customWidth="1"/>
    <col min="10" max="11" width="14.140625" style="134" customWidth="1"/>
    <col min="12" max="12" width="4.7109375" style="134" customWidth="1"/>
    <col min="13" max="14" width="14.140625" style="134" customWidth="1"/>
    <col min="15" max="15" width="15.85546875" style="134" customWidth="1"/>
    <col min="16" max="16" width="9.28515625" style="134" bestFit="1" customWidth="1"/>
    <col min="17" max="17" width="17.5703125" style="134" bestFit="1" customWidth="1"/>
    <col min="18" max="18" width="15.42578125" style="134" bestFit="1" customWidth="1"/>
    <col min="19" max="19" width="12.7109375" style="134" bestFit="1" customWidth="1"/>
    <col min="20" max="16384" width="9.140625" style="134"/>
  </cols>
  <sheetData>
    <row r="1" spans="1:14" x14ac:dyDescent="0.25">
      <c r="A1" s="132"/>
      <c r="B1" s="133"/>
      <c r="C1" s="133"/>
      <c r="D1" s="133"/>
      <c r="E1" s="133"/>
      <c r="G1" s="135"/>
      <c r="H1" s="135"/>
      <c r="I1" s="135"/>
      <c r="J1" s="133"/>
      <c r="K1" s="136"/>
      <c r="L1" s="137"/>
      <c r="M1" s="137"/>
      <c r="N1" s="137"/>
    </row>
    <row r="2" spans="1:14" x14ac:dyDescent="0.25">
      <c r="A2" s="138"/>
      <c r="B2" s="133"/>
      <c r="C2" s="133"/>
      <c r="D2" s="133"/>
      <c r="E2" s="133"/>
      <c r="G2" s="135"/>
      <c r="H2" s="135"/>
      <c r="I2" s="135"/>
      <c r="J2" s="133"/>
      <c r="K2" s="136"/>
    </row>
    <row r="3" spans="1:14" x14ac:dyDescent="0.25">
      <c r="A3" s="138"/>
      <c r="B3" s="133"/>
      <c r="C3" s="133"/>
      <c r="D3" s="133"/>
      <c r="E3" s="133"/>
      <c r="G3" s="139"/>
      <c r="H3" s="139"/>
      <c r="I3" s="139"/>
      <c r="J3" s="133"/>
      <c r="K3" s="136"/>
    </row>
    <row r="4" spans="1:14" x14ac:dyDescent="0.25">
      <c r="A4" s="140"/>
      <c r="B4" s="133"/>
      <c r="C4" s="133"/>
      <c r="D4" s="133"/>
      <c r="E4" s="133"/>
      <c r="F4" s="133"/>
      <c r="G4" s="133"/>
      <c r="H4" s="133"/>
      <c r="I4" s="133"/>
      <c r="J4" s="136"/>
      <c r="K4" s="136"/>
      <c r="N4" s="141" t="s">
        <v>121</v>
      </c>
    </row>
    <row r="5" spans="1:14" x14ac:dyDescent="0.25">
      <c r="A5" s="136" t="s">
        <v>122</v>
      </c>
      <c r="B5" s="136"/>
      <c r="C5" s="136"/>
      <c r="D5" s="136"/>
      <c r="E5" s="136"/>
      <c r="F5" s="136"/>
      <c r="G5" s="136"/>
      <c r="H5" s="136"/>
      <c r="I5" s="136"/>
      <c r="J5" s="136"/>
      <c r="K5" s="141" t="s">
        <v>121</v>
      </c>
      <c r="M5" s="142" t="s">
        <v>123</v>
      </c>
      <c r="N5" s="134">
        <v>0.50419999999999998</v>
      </c>
    </row>
    <row r="6" spans="1:14" x14ac:dyDescent="0.25">
      <c r="A6" s="136" t="s">
        <v>124</v>
      </c>
      <c r="B6" s="136"/>
      <c r="C6" s="136"/>
      <c r="D6" s="136"/>
      <c r="E6" s="136"/>
      <c r="F6" s="136"/>
      <c r="G6" s="136"/>
      <c r="H6" s="136"/>
      <c r="I6" s="136"/>
      <c r="J6" s="143" t="s">
        <v>125</v>
      </c>
      <c r="K6" s="134">
        <v>0.33839999999999998</v>
      </c>
      <c r="M6" s="144" t="s">
        <v>126</v>
      </c>
      <c r="N6" s="134">
        <v>0.2087</v>
      </c>
    </row>
    <row r="7" spans="1:14" x14ac:dyDescent="0.25">
      <c r="A7" s="175" t="s">
        <v>149</v>
      </c>
      <c r="B7" s="146"/>
      <c r="C7" s="146"/>
      <c r="D7" s="146"/>
      <c r="E7" s="146"/>
      <c r="F7" s="146" t="s">
        <v>26</v>
      </c>
      <c r="G7" s="146"/>
      <c r="H7" s="146"/>
      <c r="I7" s="146"/>
    </row>
    <row r="8" spans="1:14" x14ac:dyDescent="0.25">
      <c r="A8" s="145"/>
      <c r="B8" s="146" t="s">
        <v>127</v>
      </c>
      <c r="C8" s="146" t="s">
        <v>128</v>
      </c>
      <c r="D8" s="146" t="s">
        <v>129</v>
      </c>
      <c r="E8" s="146" t="s">
        <v>87</v>
      </c>
      <c r="F8" s="146" t="s">
        <v>130</v>
      </c>
      <c r="G8" s="146"/>
      <c r="H8" s="146" t="s">
        <v>131</v>
      </c>
      <c r="I8" s="146" t="s">
        <v>50</v>
      </c>
      <c r="J8" s="147" t="s">
        <v>132</v>
      </c>
      <c r="K8" s="147"/>
      <c r="M8" s="147" t="s">
        <v>132</v>
      </c>
      <c r="N8" s="147"/>
    </row>
    <row r="9" spans="1:14" ht="16.5" thickBot="1" x14ac:dyDescent="0.3">
      <c r="A9" s="148" t="s">
        <v>133</v>
      </c>
      <c r="B9" s="149" t="s">
        <v>134</v>
      </c>
      <c r="C9" s="149" t="s">
        <v>134</v>
      </c>
      <c r="D9" s="149" t="s">
        <v>134</v>
      </c>
      <c r="E9" s="149" t="s">
        <v>134</v>
      </c>
      <c r="F9" s="149" t="s">
        <v>134</v>
      </c>
      <c r="G9" s="149" t="s">
        <v>113</v>
      </c>
      <c r="H9" s="149" t="s">
        <v>135</v>
      </c>
      <c r="I9" s="146" t="s">
        <v>136</v>
      </c>
      <c r="J9" s="150" t="s">
        <v>137</v>
      </c>
      <c r="K9" s="150" t="s">
        <v>138</v>
      </c>
      <c r="M9" s="150" t="s">
        <v>137</v>
      </c>
      <c r="N9" s="150" t="s">
        <v>138</v>
      </c>
    </row>
    <row r="10" spans="1:14" x14ac:dyDescent="0.25">
      <c r="B10" s="151"/>
      <c r="C10" s="151"/>
      <c r="D10" s="151"/>
      <c r="E10" s="151"/>
      <c r="F10" s="151"/>
      <c r="G10" s="151"/>
      <c r="H10" s="151"/>
      <c r="I10" s="151"/>
      <c r="J10" s="152"/>
      <c r="K10" s="153"/>
      <c r="L10" s="153"/>
      <c r="M10" s="153"/>
    </row>
    <row r="11" spans="1:14" x14ac:dyDescent="0.25">
      <c r="A11" s="134" t="s">
        <v>139</v>
      </c>
      <c r="B11" s="152">
        <v>104011081</v>
      </c>
      <c r="C11" s="152">
        <v>23222068.37169949</v>
      </c>
      <c r="D11" s="152">
        <v>84917418.250368789</v>
      </c>
      <c r="E11" s="152">
        <v>2013223.6865790721</v>
      </c>
      <c r="F11" s="152">
        <f>SUM(B11:E11)</f>
        <v>214163791.30864736</v>
      </c>
      <c r="G11" s="154">
        <v>4725782.0657451451</v>
      </c>
      <c r="H11" s="155">
        <v>2.2066204734555103E-2</v>
      </c>
      <c r="I11" s="156">
        <v>19516321.910371594</v>
      </c>
      <c r="J11" s="152">
        <f>$K$6*I11</f>
        <v>6604323.3344697468</v>
      </c>
      <c r="K11" s="152">
        <f>$K$6*(I11/12*13)</f>
        <v>7154683.6123422254</v>
      </c>
      <c r="L11" s="153"/>
      <c r="M11" s="152">
        <f>$N$5*I11</f>
        <v>9840129.5072093569</v>
      </c>
      <c r="N11" s="152">
        <f>$N$5*(I11/12*13)</f>
        <v>10660140.299476804</v>
      </c>
    </row>
    <row r="12" spans="1:14" x14ac:dyDescent="0.25">
      <c r="B12" s="151"/>
      <c r="C12" s="151"/>
      <c r="D12" s="151"/>
      <c r="E12" s="151"/>
      <c r="F12" s="151"/>
      <c r="G12" s="154"/>
      <c r="H12" s="157"/>
      <c r="I12" s="156"/>
      <c r="K12" s="153"/>
      <c r="L12" s="153"/>
      <c r="M12" s="153"/>
    </row>
    <row r="13" spans="1:14" x14ac:dyDescent="0.25">
      <c r="A13" s="134" t="s">
        <v>114</v>
      </c>
      <c r="B13" s="154">
        <v>35389889.218562931</v>
      </c>
      <c r="C13" s="154">
        <v>9960508.4727250375</v>
      </c>
      <c r="D13" s="154">
        <v>43699222.094499528</v>
      </c>
      <c r="E13" s="154">
        <v>1178151.7942125057</v>
      </c>
      <c r="F13" s="154">
        <f>SUM(B13:E13)</f>
        <v>90227771.579999998</v>
      </c>
      <c r="G13" s="154">
        <v>1992836.9447115809</v>
      </c>
      <c r="H13" s="157">
        <v>2.2086735711350714E-2</v>
      </c>
      <c r="I13" s="156">
        <v>10134935.62608517</v>
      </c>
      <c r="J13" s="152">
        <f>$K$6*I13</f>
        <v>3429662.2158672214</v>
      </c>
      <c r="K13" s="152">
        <f>$K$6*(I13/12*13)</f>
        <v>3715467.400522823</v>
      </c>
      <c r="L13" s="153"/>
      <c r="M13" s="152">
        <f>$N$6*I13</f>
        <v>2115161.0651639747</v>
      </c>
      <c r="N13" s="152">
        <f>$N$6*(I13/12*13)</f>
        <v>2291424.4872609731</v>
      </c>
    </row>
    <row r="14" spans="1:14" x14ac:dyDescent="0.25">
      <c r="B14" s="154"/>
      <c r="C14" s="154"/>
      <c r="D14" s="154"/>
      <c r="E14" s="154"/>
      <c r="F14" s="154"/>
      <c r="G14" s="154"/>
      <c r="H14" s="157"/>
      <c r="I14" s="156"/>
      <c r="K14" s="153"/>
      <c r="L14" s="153"/>
      <c r="M14" s="153"/>
    </row>
    <row r="15" spans="1:14" x14ac:dyDescent="0.25">
      <c r="A15" s="134" t="s">
        <v>115</v>
      </c>
      <c r="B15" s="154">
        <v>4572367.2424438652</v>
      </c>
      <c r="C15" s="154">
        <v>1001477.2122162073</v>
      </c>
      <c r="D15" s="154">
        <v>6139166.1253399272</v>
      </c>
      <c r="E15" s="154">
        <v>0</v>
      </c>
      <c r="F15" s="154">
        <f>SUM(B15:E15)</f>
        <v>11713010.58</v>
      </c>
      <c r="G15" s="154">
        <v>-4.5535484608262777</v>
      </c>
      <c r="H15" s="157">
        <v>-3.8881962114161021E-7</v>
      </c>
      <c r="I15" s="156">
        <v>1948733.4118655899</v>
      </c>
      <c r="J15" s="152">
        <f>$K$6*I15</f>
        <v>659451.38657531561</v>
      </c>
      <c r="K15" s="152">
        <f>$K$6*(I15/12*13)</f>
        <v>714405.66878992517</v>
      </c>
      <c r="L15" s="153"/>
      <c r="M15" s="152">
        <f>$N$6*I15</f>
        <v>406700.66305634863</v>
      </c>
      <c r="N15" s="152">
        <f>$N$6*(I15/12*13)</f>
        <v>440592.38497771096</v>
      </c>
    </row>
    <row r="16" spans="1:14" x14ac:dyDescent="0.25">
      <c r="B16" s="154"/>
      <c r="C16" s="154"/>
      <c r="D16" s="154"/>
      <c r="E16" s="154"/>
      <c r="F16" s="154"/>
      <c r="G16" s="154"/>
      <c r="H16" s="157"/>
      <c r="I16" s="156"/>
      <c r="K16" s="153"/>
      <c r="L16" s="153"/>
      <c r="M16" s="152"/>
    </row>
    <row r="17" spans="1:14" x14ac:dyDescent="0.25">
      <c r="A17" s="134" t="s">
        <v>116</v>
      </c>
      <c r="B17" s="154">
        <v>7010</v>
      </c>
      <c r="C17" s="154">
        <v>0</v>
      </c>
      <c r="D17" s="154">
        <v>29.58996422013707</v>
      </c>
      <c r="E17" s="154">
        <v>1.3341336732703244</v>
      </c>
      <c r="F17" s="154">
        <f>SUM(B17:E17)</f>
        <v>7040.9240978934076</v>
      </c>
      <c r="G17" s="158">
        <v>1288.0843199999981</v>
      </c>
      <c r="H17" s="159">
        <v>0.18293121238080332</v>
      </c>
      <c r="I17" s="156">
        <v>7.1999999999999993</v>
      </c>
      <c r="J17" s="152">
        <f>$K$6*I17</f>
        <v>2.4364799999999995</v>
      </c>
      <c r="K17" s="152">
        <f>$K$6*(I17/12*13)</f>
        <v>2.6395199999999996</v>
      </c>
      <c r="L17" s="153"/>
      <c r="M17" s="152">
        <f>$N$6*I17</f>
        <v>1.5026399999999998</v>
      </c>
      <c r="N17" s="152">
        <f>$N$6*(I17/12*13)</f>
        <v>1.6278599999999999</v>
      </c>
    </row>
    <row r="18" spans="1:14" x14ac:dyDescent="0.25">
      <c r="B18" s="154"/>
      <c r="C18" s="154"/>
      <c r="D18" s="154"/>
      <c r="E18" s="154"/>
      <c r="F18" s="154"/>
      <c r="G18" s="158"/>
      <c r="H18" s="159"/>
      <c r="I18" s="156"/>
      <c r="K18" s="153"/>
      <c r="L18" s="153"/>
      <c r="M18" s="153"/>
    </row>
    <row r="19" spans="1:14" x14ac:dyDescent="0.25">
      <c r="A19" s="134" t="s">
        <v>117</v>
      </c>
      <c r="B19" s="154">
        <v>311227.1161064675</v>
      </c>
      <c r="C19" s="154">
        <v>250361.27633132337</v>
      </c>
      <c r="D19" s="154">
        <v>504944.4958231686</v>
      </c>
      <c r="E19" s="154">
        <v>10394.581739040445</v>
      </c>
      <c r="F19" s="158">
        <f>SUM(B19:E19)</f>
        <v>1076927.47</v>
      </c>
      <c r="G19" s="158">
        <v>-71575</v>
      </c>
      <c r="H19" s="159">
        <v>-6.6462228924160011E-2</v>
      </c>
      <c r="I19" s="156">
        <v>384116.30106506636</v>
      </c>
      <c r="J19" s="152">
        <f>$K$6*I19</f>
        <v>129984.95628041845</v>
      </c>
      <c r="K19" s="152">
        <f>$K$6*(I19/12*13)</f>
        <v>140817.03597045332</v>
      </c>
      <c r="L19" s="153"/>
      <c r="M19" s="152">
        <f>$N$6*I19</f>
        <v>80165.07203227935</v>
      </c>
      <c r="N19" s="152">
        <f>$N$6*(I19/12*13)</f>
        <v>86845.494701635966</v>
      </c>
    </row>
    <row r="20" spans="1:14" x14ac:dyDescent="0.25">
      <c r="B20" s="154"/>
      <c r="C20" s="154"/>
      <c r="D20" s="154"/>
      <c r="E20" s="154"/>
      <c r="F20" s="158"/>
      <c r="G20" s="158"/>
      <c r="H20" s="159"/>
      <c r="I20" s="156"/>
      <c r="K20" s="153"/>
      <c r="L20" s="153"/>
      <c r="M20" s="153"/>
    </row>
    <row r="21" spans="1:14" x14ac:dyDescent="0.25">
      <c r="A21" s="134" t="s">
        <v>140</v>
      </c>
      <c r="B21" s="154">
        <v>5841334.8177616652</v>
      </c>
      <c r="C21" s="154">
        <v>0</v>
      </c>
      <c r="D21" s="154">
        <v>0</v>
      </c>
      <c r="E21" s="154">
        <v>1930120.2622383344</v>
      </c>
      <c r="F21" s="158">
        <f>SUM(B21:E21)</f>
        <v>7771455.0800000001</v>
      </c>
      <c r="G21" s="158">
        <v>169931.66086180136</v>
      </c>
      <c r="H21" s="159">
        <v>2.2042266713000479E-2</v>
      </c>
      <c r="I21" s="156">
        <v>12313888.497179303</v>
      </c>
      <c r="J21" s="152">
        <f>$K$6*I21</f>
        <v>4167019.8674454759</v>
      </c>
      <c r="K21" s="152">
        <f>$K$6*(I21/12*13)</f>
        <v>4514271.5230659321</v>
      </c>
      <c r="L21" s="153"/>
      <c r="M21" s="152">
        <f>$N$6*I21</f>
        <v>2569908.5293613207</v>
      </c>
      <c r="N21" s="152">
        <f>$N$6*(I21/12*13)</f>
        <v>2784067.5734747639</v>
      </c>
    </row>
    <row r="22" spans="1:14" x14ac:dyDescent="0.25">
      <c r="B22" s="154"/>
      <c r="C22" s="154"/>
      <c r="D22" s="154"/>
      <c r="E22" s="154"/>
      <c r="F22" s="158"/>
      <c r="G22" s="158"/>
      <c r="H22" s="159"/>
      <c r="I22" s="156"/>
      <c r="K22" s="153"/>
      <c r="L22" s="153"/>
      <c r="M22" s="153"/>
    </row>
    <row r="23" spans="1:14" x14ac:dyDescent="0.25">
      <c r="A23" s="134" t="s">
        <v>118</v>
      </c>
      <c r="B23" s="154">
        <v>2291783.1082167318</v>
      </c>
      <c r="C23" s="154">
        <v>0</v>
      </c>
      <c r="D23" s="154">
        <v>630517.45178326871</v>
      </c>
      <c r="E23" s="154">
        <v>0</v>
      </c>
      <c r="F23" s="158">
        <f>SUM(B23:E23)</f>
        <v>2922300.5600000005</v>
      </c>
      <c r="G23" s="160">
        <v>-70922.011408440769</v>
      </c>
      <c r="H23" s="155">
        <v>-2.426923923541963E-2</v>
      </c>
      <c r="I23" s="156">
        <v>154579.79999999999</v>
      </c>
      <c r="J23" s="152">
        <f>$K$6*I23</f>
        <v>52309.804319999996</v>
      </c>
      <c r="K23" s="152">
        <f>$K$6*(I23/12*13)</f>
        <v>56668.954679999988</v>
      </c>
      <c r="L23" s="153"/>
      <c r="M23" s="152">
        <f>$N$6*I23</f>
        <v>32260.804259999997</v>
      </c>
      <c r="N23" s="152">
        <f>$N$6*(I23/12*13)</f>
        <v>34949.204614999995</v>
      </c>
    </row>
    <row r="24" spans="1:14" x14ac:dyDescent="0.25">
      <c r="B24" s="151"/>
      <c r="C24" s="151"/>
      <c r="D24" s="151"/>
      <c r="E24" s="151"/>
      <c r="F24" s="161"/>
      <c r="G24" s="151"/>
      <c r="H24" s="151"/>
      <c r="I24" s="156"/>
      <c r="K24" s="153"/>
      <c r="L24" s="153"/>
      <c r="M24" s="153"/>
    </row>
    <row r="25" spans="1:14" x14ac:dyDescent="0.25">
      <c r="A25" s="134" t="s">
        <v>141</v>
      </c>
      <c r="B25" s="154">
        <v>8547.119999999999</v>
      </c>
      <c r="C25" s="154">
        <v>546.24</v>
      </c>
      <c r="D25" s="154">
        <v>10099.84</v>
      </c>
      <c r="E25" s="154">
        <v>16.079999999999998</v>
      </c>
      <c r="F25" s="154">
        <f>SUM(B25:E25)</f>
        <v>19209.28</v>
      </c>
      <c r="G25" s="154">
        <v>39577.010917498861</v>
      </c>
      <c r="H25" s="155">
        <v>2.0603068369818573</v>
      </c>
      <c r="I25" s="156">
        <v>2970.2</v>
      </c>
      <c r="J25" s="152">
        <f>$K$6*I25</f>
        <v>1005.1156799999999</v>
      </c>
      <c r="K25" s="152">
        <f>$K$6*(I25/12*13)</f>
        <v>1088.8753199999999</v>
      </c>
      <c r="L25" s="153"/>
      <c r="M25" s="152">
        <f>$N$6*I25</f>
        <v>619.88073999999995</v>
      </c>
      <c r="N25" s="152">
        <f>$N$6*(I25/12*13)</f>
        <v>671.53746833333321</v>
      </c>
    </row>
    <row r="26" spans="1:14" x14ac:dyDescent="0.25">
      <c r="B26" s="151"/>
      <c r="C26" s="151"/>
      <c r="D26" s="151"/>
      <c r="E26" s="151"/>
      <c r="F26" s="161"/>
      <c r="G26" s="151"/>
      <c r="H26" s="151"/>
      <c r="I26" s="156"/>
    </row>
    <row r="27" spans="1:14" x14ac:dyDescent="0.25">
      <c r="A27" s="134" t="s">
        <v>142</v>
      </c>
      <c r="B27" s="162">
        <f t="shared" ref="B27:E27" si="0">SUM(B10:B25)</f>
        <v>152433239.62309167</v>
      </c>
      <c r="C27" s="162">
        <f t="shared" si="0"/>
        <v>34434961.572972059</v>
      </c>
      <c r="D27" s="162">
        <f t="shared" si="0"/>
        <v>135901397.84777892</v>
      </c>
      <c r="E27" s="162">
        <f t="shared" si="0"/>
        <v>5131907.7389026266</v>
      </c>
      <c r="F27" s="162">
        <f>SUM(F10:F25)</f>
        <v>327901506.78274524</v>
      </c>
      <c r="G27" s="162">
        <f>SUM(G11:G25)</f>
        <v>6786914.2015991248</v>
      </c>
      <c r="H27" s="163">
        <f>G27/F27</f>
        <v>2.0698026880662888E-2</v>
      </c>
      <c r="I27" s="156"/>
      <c r="J27" s="162">
        <f>SUM(J11:J25)</f>
        <v>15043759.117118178</v>
      </c>
      <c r="K27" s="162">
        <f>SUM(K11:K25)</f>
        <v>16297405.710211359</v>
      </c>
      <c r="M27" s="162">
        <f>SUM(M11:M25)</f>
        <v>15044947.024463281</v>
      </c>
      <c r="N27" s="162">
        <f>SUM(N11:N25)</f>
        <v>16298692.609835222</v>
      </c>
    </row>
    <row r="28" spans="1:14" x14ac:dyDescent="0.25">
      <c r="B28" s="151"/>
      <c r="C28" s="151"/>
      <c r="D28" s="151"/>
      <c r="E28" s="151"/>
      <c r="F28" s="161"/>
      <c r="G28" s="164"/>
      <c r="H28" s="159"/>
      <c r="I28" s="159"/>
    </row>
    <row r="29" spans="1:14" x14ac:dyDescent="0.25">
      <c r="A29" s="165" t="s">
        <v>143</v>
      </c>
      <c r="B29" s="166">
        <v>1168995</v>
      </c>
      <c r="C29" s="161"/>
      <c r="D29" s="161"/>
      <c r="E29" s="161"/>
      <c r="F29" s="158">
        <f>B29</f>
        <v>1168995</v>
      </c>
      <c r="G29" s="164"/>
      <c r="H29" s="159"/>
      <c r="I29" s="159"/>
    </row>
    <row r="30" spans="1:14" x14ac:dyDescent="0.25">
      <c r="A30" s="165" t="s">
        <v>144</v>
      </c>
      <c r="B30" s="158">
        <v>477465</v>
      </c>
      <c r="C30" s="161"/>
      <c r="D30" s="161"/>
      <c r="E30" s="161"/>
      <c r="F30" s="158">
        <f>B30</f>
        <v>477465</v>
      </c>
      <c r="G30" s="164"/>
      <c r="H30" s="159"/>
      <c r="I30" s="159"/>
    </row>
    <row r="31" spans="1:14" x14ac:dyDescent="0.25">
      <c r="A31" s="165"/>
      <c r="B31" s="161"/>
      <c r="C31" s="161"/>
      <c r="D31" s="161"/>
      <c r="E31" s="161"/>
      <c r="F31" s="161"/>
      <c r="G31" s="161"/>
      <c r="H31" s="161"/>
      <c r="I31" s="161"/>
    </row>
    <row r="32" spans="1:14" x14ac:dyDescent="0.25">
      <c r="A32" s="165" t="s">
        <v>145</v>
      </c>
      <c r="B32" s="162">
        <f>+B27+B29+B30</f>
        <v>154079699.62309167</v>
      </c>
      <c r="C32" s="162">
        <f t="shared" ref="C32:F32" si="1">+C27+C29+C30</f>
        <v>34434961.572972059</v>
      </c>
      <c r="D32" s="162">
        <f t="shared" si="1"/>
        <v>135901397.84777892</v>
      </c>
      <c r="E32" s="162">
        <f t="shared" si="1"/>
        <v>5131907.7389026266</v>
      </c>
      <c r="F32" s="162">
        <f t="shared" si="1"/>
        <v>329547966.78274524</v>
      </c>
      <c r="G32" s="162">
        <f>+G27+G29+G30</f>
        <v>6786914.2015991248</v>
      </c>
      <c r="H32" s="163">
        <f>G32/F32</f>
        <v>2.0594617129206575E-2</v>
      </c>
      <c r="I32" s="167"/>
    </row>
    <row r="33" spans="2:14" x14ac:dyDescent="0.25">
      <c r="F33" s="165"/>
      <c r="G33" s="165"/>
      <c r="H33" s="165"/>
      <c r="I33" s="165"/>
    </row>
    <row r="35" spans="2:14" x14ac:dyDescent="0.25">
      <c r="B35" s="168"/>
      <c r="C35" s="168"/>
      <c r="D35" s="168"/>
      <c r="E35" s="168"/>
      <c r="F35" s="168"/>
      <c r="G35" s="168"/>
      <c r="H35" s="168"/>
      <c r="I35" s="168"/>
    </row>
    <row r="37" spans="2:14" ht="31.5" x14ac:dyDescent="0.25">
      <c r="G37" s="169" t="s">
        <v>146</v>
      </c>
      <c r="H37" s="169" t="s">
        <v>147</v>
      </c>
      <c r="J37" s="170" t="s">
        <v>148</v>
      </c>
      <c r="K37" s="151" t="s">
        <v>132</v>
      </c>
      <c r="M37" s="169" t="s">
        <v>148</v>
      </c>
      <c r="N37" s="151" t="s">
        <v>132</v>
      </c>
    </row>
    <row r="38" spans="2:14" x14ac:dyDescent="0.25">
      <c r="F38" s="134" t="s">
        <v>111</v>
      </c>
      <c r="G38" s="171">
        <f>F11+G11</f>
        <v>218889573.37439251</v>
      </c>
      <c r="H38" s="172">
        <f>ROUND(G38/$G$40,3)</f>
        <v>0.65400000000000003</v>
      </c>
      <c r="J38" s="173">
        <f>K38/$G38</f>
        <v>3.2686269620091635E-2</v>
      </c>
      <c r="K38" s="171">
        <f>K11</f>
        <v>7154683.6123422254</v>
      </c>
      <c r="M38" s="173">
        <f>N38/$G38</f>
        <v>4.8700996283836305E-2</v>
      </c>
      <c r="N38" s="171">
        <f>N11</f>
        <v>10660140.299476804</v>
      </c>
    </row>
    <row r="39" spans="2:14" x14ac:dyDescent="0.25">
      <c r="F39" s="134" t="s">
        <v>112</v>
      </c>
      <c r="G39" s="171">
        <f>G40-G38</f>
        <v>115798847.60995185</v>
      </c>
      <c r="H39" s="172">
        <f>ROUND(G39/$G$40,3)</f>
        <v>0.34599999999999997</v>
      </c>
      <c r="J39" s="173">
        <f t="shared" ref="J39:J40" si="2">K39/$G39</f>
        <v>7.8953480855567693E-2</v>
      </c>
      <c r="K39" s="171">
        <f>K40-K38</f>
        <v>9142722.0978691336</v>
      </c>
      <c r="M39" s="173">
        <f t="shared" ref="M39:M40" si="3">N39/$G39</f>
        <v>4.8692646142307859E-2</v>
      </c>
      <c r="N39" s="171">
        <f>N40-N38</f>
        <v>5638552.3103584182</v>
      </c>
    </row>
    <row r="40" spans="2:14" x14ac:dyDescent="0.25">
      <c r="F40" s="142" t="s">
        <v>26</v>
      </c>
      <c r="G40" s="171">
        <f>F27+G27</f>
        <v>334688420.98434436</v>
      </c>
      <c r="J40" s="173">
        <f t="shared" si="2"/>
        <v>4.8694262150687603E-2</v>
      </c>
      <c r="K40" s="171">
        <f>K27</f>
        <v>16297405.710211359</v>
      </c>
      <c r="M40" s="173">
        <f t="shared" si="3"/>
        <v>4.869810721834808E-2</v>
      </c>
      <c r="N40" s="171">
        <f>N27</f>
        <v>16298692.609835222</v>
      </c>
    </row>
    <row r="42" spans="2:14" x14ac:dyDescent="0.25">
      <c r="K42" s="174"/>
    </row>
    <row r="43" spans="2:14" x14ac:dyDescent="0.25">
      <c r="K43" s="174"/>
    </row>
    <row r="44" spans="2:14" x14ac:dyDescent="0.25">
      <c r="K44" s="174"/>
    </row>
  </sheetData>
  <printOptions horizontalCentered="1"/>
  <pageMargins left="0.75" right="0.75" top="1.75" bottom="0.5" header="0.75" footer="0.25"/>
  <pageSetup paperSize="3" scale="77" orientation="landscape" r:id="rId1"/>
  <headerFooter>
    <oddHeader>&amp;C&amp;"Times New Roman,Bold"&amp;12Louisville Gas and Electric Company
Case No. 2016-00371
Summary of Proposed Gas Revenue Increase
Forecast Period Sales for the Twelve Months Ended June 30, 2018
Gas Operations</oddHead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85" zoomScaleNormal="85" workbookViewId="0">
      <pane xSplit="1" ySplit="3" topLeftCell="D4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1" width="28.7109375" style="56" bestFit="1" customWidth="1"/>
    <col min="2" max="16" width="15.7109375" style="56" customWidth="1"/>
    <col min="17" max="16384" width="9.140625" style="56"/>
  </cols>
  <sheetData>
    <row r="1" spans="1:17" s="59" customFormat="1" ht="18.75" x14ac:dyDescent="0.3">
      <c r="A1" s="69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58"/>
      <c r="Q1" s="58"/>
    </row>
    <row r="2" spans="1:17" s="61" customFormat="1" x14ac:dyDescent="0.25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61" customForma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7.25" x14ac:dyDescent="0.4">
      <c r="A4" s="62" t="s">
        <v>47</v>
      </c>
      <c r="B4" s="63">
        <v>42917</v>
      </c>
      <c r="C4" s="63">
        <v>42948</v>
      </c>
      <c r="D4" s="63">
        <v>42979</v>
      </c>
      <c r="E4" s="63">
        <v>43009</v>
      </c>
      <c r="F4" s="63">
        <v>43040</v>
      </c>
      <c r="G4" s="63">
        <v>43070</v>
      </c>
      <c r="H4" s="63">
        <v>43101</v>
      </c>
      <c r="I4" s="63">
        <v>43132</v>
      </c>
      <c r="J4" s="63">
        <v>43160</v>
      </c>
      <c r="K4" s="63">
        <v>43191</v>
      </c>
      <c r="L4" s="63">
        <v>43221</v>
      </c>
      <c r="M4" s="63">
        <v>43252</v>
      </c>
      <c r="N4" s="63" t="s">
        <v>39</v>
      </c>
    </row>
    <row r="5" spans="1:17" s="68" customFormat="1" x14ac:dyDescent="0.25">
      <c r="A5" s="68" t="s">
        <v>40</v>
      </c>
      <c r="B5" s="64">
        <v>5194022.5</v>
      </c>
      <c r="C5" s="64">
        <v>5193983</v>
      </c>
      <c r="D5" s="64">
        <v>5189104.5</v>
      </c>
      <c r="E5" s="64">
        <v>5196575</v>
      </c>
      <c r="F5" s="64">
        <v>5207172</v>
      </c>
      <c r="G5" s="64">
        <v>5230860</v>
      </c>
      <c r="H5" s="64">
        <v>5242608</v>
      </c>
      <c r="I5" s="64">
        <v>5246477</v>
      </c>
      <c r="J5" s="64">
        <v>5249482.5</v>
      </c>
      <c r="K5" s="64">
        <v>5235527</v>
      </c>
      <c r="L5" s="64">
        <v>5219156.5</v>
      </c>
      <c r="M5" s="64">
        <v>5210430.5</v>
      </c>
      <c r="N5" s="64">
        <f>SUM(B5:M5)</f>
        <v>62615398.5</v>
      </c>
    </row>
    <row r="6" spans="1:17" s="68" customFormat="1" x14ac:dyDescent="0.25">
      <c r="A6" s="68" t="s">
        <v>48</v>
      </c>
      <c r="B6" s="64">
        <v>2107123.8729907773</v>
      </c>
      <c r="C6" s="64">
        <v>2145275.9581801528</v>
      </c>
      <c r="D6" s="64">
        <v>2304309.5651057162</v>
      </c>
      <c r="E6" s="64">
        <v>3961349.1264316179</v>
      </c>
      <c r="F6" s="64">
        <v>8229925.4087788472</v>
      </c>
      <c r="G6" s="64">
        <v>14294746.399846816</v>
      </c>
      <c r="H6" s="64">
        <v>17809416.309193101</v>
      </c>
      <c r="I6" s="64">
        <v>15208408.818610508</v>
      </c>
      <c r="J6" s="64">
        <v>10775707.243391974</v>
      </c>
      <c r="K6" s="64">
        <v>5214266.3137491746</v>
      </c>
      <c r="L6" s="64">
        <v>3257152.4167579664</v>
      </c>
      <c r="M6" s="64">
        <v>2265468.4412868656</v>
      </c>
      <c r="N6" s="64">
        <f t="shared" ref="N6:N7" si="0">SUM(B6:M6)</f>
        <v>87573149.874323517</v>
      </c>
    </row>
    <row r="7" spans="1:17" s="68" customFormat="1" ht="17.25" x14ac:dyDescent="0.4">
      <c r="A7" s="68" t="s">
        <v>49</v>
      </c>
      <c r="B7" s="70">
        <v>187057.6269</v>
      </c>
      <c r="C7" s="70">
        <v>187057.6269</v>
      </c>
      <c r="D7" s="70">
        <v>187057.6269</v>
      </c>
      <c r="E7" s="70">
        <v>187057.6269</v>
      </c>
      <c r="F7" s="70">
        <v>187057.6269</v>
      </c>
      <c r="G7" s="70">
        <v>187057.6269</v>
      </c>
      <c r="H7" s="70">
        <v>187057.6269</v>
      </c>
      <c r="I7" s="70">
        <v>187057.6269</v>
      </c>
      <c r="J7" s="70">
        <v>187057.6269</v>
      </c>
      <c r="K7" s="70">
        <v>187057.6269</v>
      </c>
      <c r="L7" s="70">
        <v>187057.6269</v>
      </c>
      <c r="M7" s="70">
        <v>187057.6269</v>
      </c>
      <c r="N7" s="70">
        <f t="shared" si="0"/>
        <v>2244691.5227999999</v>
      </c>
    </row>
    <row r="8" spans="1:17" s="68" customFormat="1" ht="17.25" x14ac:dyDescent="0.4">
      <c r="A8" s="71" t="s">
        <v>41</v>
      </c>
      <c r="B8" s="72">
        <f t="shared" ref="B8:N8" si="1">SUM(B5:B7)</f>
        <v>7488203.9998907773</v>
      </c>
      <c r="C8" s="72">
        <f t="shared" si="1"/>
        <v>7526316.5850801524</v>
      </c>
      <c r="D8" s="72">
        <f t="shared" si="1"/>
        <v>7680471.6920057153</v>
      </c>
      <c r="E8" s="72">
        <f t="shared" si="1"/>
        <v>9344981.7533316184</v>
      </c>
      <c r="F8" s="72">
        <f t="shared" si="1"/>
        <v>13624155.035678847</v>
      </c>
      <c r="G8" s="72">
        <f t="shared" si="1"/>
        <v>19712664.026746813</v>
      </c>
      <c r="H8" s="72">
        <f t="shared" si="1"/>
        <v>23239081.936093099</v>
      </c>
      <c r="I8" s="72">
        <f t="shared" si="1"/>
        <v>20641943.445510507</v>
      </c>
      <c r="J8" s="72">
        <f t="shared" si="1"/>
        <v>16212247.370291974</v>
      </c>
      <c r="K8" s="72">
        <f t="shared" si="1"/>
        <v>10636850.940649176</v>
      </c>
      <c r="L8" s="72">
        <f t="shared" si="1"/>
        <v>8663366.5436579678</v>
      </c>
      <c r="M8" s="72">
        <f t="shared" si="1"/>
        <v>7662956.5681868652</v>
      </c>
      <c r="N8" s="72">
        <f t="shared" si="1"/>
        <v>152433239.89712352</v>
      </c>
      <c r="O8" s="65">
        <v>152433239.62309167</v>
      </c>
      <c r="P8" s="65">
        <f>N8-O8</f>
        <v>0.27403184771537781</v>
      </c>
    </row>
    <row r="9" spans="1:17" s="68" customFormat="1" x14ac:dyDescent="0.25"/>
    <row r="10" spans="1:17" s="68" customFormat="1" ht="17.25" x14ac:dyDescent="0.4">
      <c r="A10" s="68" t="s">
        <v>50</v>
      </c>
      <c r="B10" s="73">
        <v>1460734.6751009647</v>
      </c>
      <c r="C10" s="73">
        <v>1521345.8675550926</v>
      </c>
      <c r="D10" s="73">
        <v>1608015.1293030742</v>
      </c>
      <c r="E10" s="73">
        <v>2583797.5950340074</v>
      </c>
      <c r="F10" s="73">
        <v>4386580.1670581419</v>
      </c>
      <c r="G10" s="73">
        <v>6728815.4365725731</v>
      </c>
      <c r="H10" s="73">
        <v>8097443.6575118061</v>
      </c>
      <c r="I10" s="73">
        <v>6938838.982707683</v>
      </c>
      <c r="J10" s="73">
        <v>5021912.2099013254</v>
      </c>
      <c r="K10" s="73">
        <v>2710261.8947777832</v>
      </c>
      <c r="L10" s="73">
        <v>1895546.9563737209</v>
      </c>
      <c r="M10" s="73">
        <v>1502260.3746705505</v>
      </c>
      <c r="N10" s="73">
        <f>SUM(B10:M10)</f>
        <v>44455552.946566723</v>
      </c>
      <c r="O10" s="73">
        <v>44455552.946566723</v>
      </c>
      <c r="P10" s="66">
        <f>N10-O10</f>
        <v>0</v>
      </c>
    </row>
    <row r="12" spans="1:17" ht="17.25" x14ac:dyDescent="0.4">
      <c r="A12" s="56" t="s">
        <v>51</v>
      </c>
      <c r="B12" s="67">
        <f>B8/B10</f>
        <v>5.1263272704697034</v>
      </c>
      <c r="C12" s="67">
        <f t="shared" ref="C12:N12" si="2">C8/C10</f>
        <v>4.9471436742885171</v>
      </c>
      <c r="D12" s="67">
        <f t="shared" si="2"/>
        <v>4.7763678040358295</v>
      </c>
      <c r="E12" s="67">
        <f t="shared" si="2"/>
        <v>3.6167623080431817</v>
      </c>
      <c r="F12" s="67">
        <f t="shared" si="2"/>
        <v>3.1058716623925013</v>
      </c>
      <c r="G12" s="67">
        <f t="shared" si="2"/>
        <v>2.9295890506379774</v>
      </c>
      <c r="H12" s="67">
        <f t="shared" si="2"/>
        <v>2.8699282043827194</v>
      </c>
      <c r="I12" s="67">
        <f t="shared" si="2"/>
        <v>2.9748411077058283</v>
      </c>
      <c r="J12" s="67">
        <f t="shared" si="2"/>
        <v>3.2283016294724365</v>
      </c>
      <c r="K12" s="67">
        <f t="shared" si="2"/>
        <v>3.9246579679788844</v>
      </c>
      <c r="L12" s="67">
        <f t="shared" si="2"/>
        <v>4.5703782301607738</v>
      </c>
      <c r="M12" s="67">
        <f t="shared" si="2"/>
        <v>5.1009510051593896</v>
      </c>
      <c r="N12" s="67">
        <f t="shared" si="2"/>
        <v>3.4288908762498216</v>
      </c>
    </row>
    <row r="16" spans="1:17" x14ac:dyDescent="0.25">
      <c r="A16" s="68"/>
      <c r="L16" s="81" t="s">
        <v>50</v>
      </c>
      <c r="M16" s="79" t="s">
        <v>111</v>
      </c>
      <c r="N16" s="78">
        <v>19516321.910371594</v>
      </c>
    </row>
    <row r="17" spans="1:14" x14ac:dyDescent="0.25">
      <c r="L17" s="81" t="s">
        <v>50</v>
      </c>
      <c r="M17" s="79" t="s">
        <v>112</v>
      </c>
      <c r="N17" s="80">
        <f>N10-N16</f>
        <v>24939231.036195129</v>
      </c>
    </row>
    <row r="18" spans="1:14" x14ac:dyDescent="0.25">
      <c r="A18" s="68"/>
      <c r="B18" s="68"/>
      <c r="C18" s="68"/>
    </row>
  </sheetData>
  <pageMargins left="0.7" right="0.7" top="0.75" bottom="0.75" header="0.3" footer="0.3"/>
  <pageSetup scale="5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opLeftCell="A6" workbookViewId="0">
      <selection activeCell="B1" sqref="B1"/>
    </sheetView>
  </sheetViews>
  <sheetFormatPr defaultColWidth="9.140625" defaultRowHeight="12.75" x14ac:dyDescent="0.2"/>
  <cols>
    <col min="1" max="1" width="1.28515625" style="93" customWidth="1"/>
    <col min="2" max="2" width="41.140625" style="93" customWidth="1"/>
    <col min="3" max="7" width="15.140625" style="93" customWidth="1"/>
    <col min="8" max="8" width="39.85546875" style="93" customWidth="1"/>
    <col min="9" max="14" width="15.140625" style="93" customWidth="1"/>
    <col min="15" max="16384" width="9.140625" style="93"/>
  </cols>
  <sheetData>
    <row r="1" spans="1:10" ht="15" x14ac:dyDescent="0.25">
      <c r="A1" s="92" t="s">
        <v>53</v>
      </c>
      <c r="C1" s="94"/>
      <c r="D1" s="94"/>
      <c r="E1" s="94"/>
      <c r="F1" s="94"/>
      <c r="G1" s="94"/>
      <c r="H1" s="94"/>
      <c r="I1" s="94"/>
      <c r="J1" s="94"/>
    </row>
    <row r="2" spans="1:10" x14ac:dyDescent="0.2">
      <c r="A2" s="93" t="s">
        <v>23</v>
      </c>
      <c r="C2" s="94"/>
      <c r="E2" s="94"/>
      <c r="F2" s="94"/>
      <c r="G2" s="94"/>
      <c r="H2" s="94"/>
      <c r="I2" s="94"/>
      <c r="J2" s="94"/>
    </row>
    <row r="3" spans="1:10" ht="13.5" thickBot="1" x14ac:dyDescent="0.25">
      <c r="C3" s="94"/>
      <c r="D3" s="94"/>
      <c r="E3" s="94"/>
      <c r="F3" s="94"/>
      <c r="G3" s="94"/>
      <c r="H3" s="94"/>
      <c r="I3" s="94"/>
      <c r="J3" s="94"/>
    </row>
    <row r="4" spans="1:10" ht="13.5" thickBot="1" x14ac:dyDescent="0.25">
      <c r="C4" s="205" t="s">
        <v>24</v>
      </c>
      <c r="D4" s="206"/>
      <c r="E4" s="206"/>
      <c r="F4" s="206"/>
      <c r="G4" s="206"/>
      <c r="H4" s="206"/>
      <c r="I4" s="206"/>
      <c r="J4" s="207"/>
    </row>
    <row r="5" spans="1:10" ht="15" x14ac:dyDescent="0.25">
      <c r="C5" s="95"/>
      <c r="D5" s="208" t="s">
        <v>83</v>
      </c>
      <c r="E5" s="209"/>
      <c r="F5" s="209"/>
      <c r="G5" s="209"/>
      <c r="H5" s="211" t="s">
        <v>84</v>
      </c>
      <c r="I5" s="212"/>
      <c r="J5" s="213"/>
    </row>
    <row r="6" spans="1:10" ht="15" x14ac:dyDescent="0.25">
      <c r="A6" s="82"/>
      <c r="B6" s="82"/>
      <c r="C6" s="83" t="s">
        <v>26</v>
      </c>
      <c r="D6" s="84" t="s">
        <v>27</v>
      </c>
      <c r="E6" s="85" t="s">
        <v>43</v>
      </c>
      <c r="F6" s="85" t="s">
        <v>44</v>
      </c>
      <c r="G6" s="85" t="s">
        <v>85</v>
      </c>
      <c r="H6" s="84" t="s">
        <v>28</v>
      </c>
      <c r="I6" s="85" t="s">
        <v>86</v>
      </c>
      <c r="J6" s="85" t="s">
        <v>87</v>
      </c>
    </row>
    <row r="7" spans="1:10" ht="15" x14ac:dyDescent="0.25">
      <c r="B7" s="96" t="s">
        <v>29</v>
      </c>
      <c r="C7" s="94">
        <f>SUM(D7:J7)</f>
        <v>-377457808</v>
      </c>
      <c r="D7" s="97">
        <f>-319183978-H7-J7</f>
        <v>-225879095.58000001</v>
      </c>
      <c r="E7" s="98">
        <v>18358998</v>
      </c>
      <c r="F7" s="98">
        <f>-77925223-I7</f>
        <v>-76461371.609999999</v>
      </c>
      <c r="G7" s="98">
        <v>1292395</v>
      </c>
      <c r="H7" s="99">
        <v>-92764015</v>
      </c>
      <c r="I7" s="100">
        <v>-1463851.39</v>
      </c>
      <c r="J7" s="100">
        <v>-540867.42000000004</v>
      </c>
    </row>
    <row r="8" spans="1:10" x14ac:dyDescent="0.2">
      <c r="B8" s="96" t="s">
        <v>30</v>
      </c>
      <c r="C8" s="94">
        <f>+C7+C14</f>
        <v>-370511283.87229246</v>
      </c>
      <c r="D8" s="99">
        <f t="shared" ref="D8:J9" si="0">+D7+D14</f>
        <v>-220010499.48000002</v>
      </c>
      <c r="E8" s="100">
        <f t="shared" si="0"/>
        <v>18021444.891169745</v>
      </c>
      <c r="F8" s="100">
        <f t="shared" si="0"/>
        <v>-75022018.710000008</v>
      </c>
      <c r="G8" s="100">
        <f t="shared" si="0"/>
        <v>1268523.236537796</v>
      </c>
      <c r="H8" s="99">
        <f t="shared" si="0"/>
        <v>-92764015</v>
      </c>
      <c r="I8" s="100">
        <f t="shared" si="0"/>
        <v>-1463851.39</v>
      </c>
      <c r="J8" s="100">
        <f t="shared" si="0"/>
        <v>-540867.42000000004</v>
      </c>
    </row>
    <row r="9" spans="1:10" x14ac:dyDescent="0.2">
      <c r="B9" s="96" t="s">
        <v>32</v>
      </c>
      <c r="C9" s="94">
        <f>+C8+C15</f>
        <v>-367954128.66483098</v>
      </c>
      <c r="D9" s="99">
        <f t="shared" si="0"/>
        <v>-217865358.18000001</v>
      </c>
      <c r="E9" s="100">
        <f t="shared" si="0"/>
        <v>17898059.484786917</v>
      </c>
      <c r="F9" s="100">
        <f t="shared" si="0"/>
        <v>-74477590.010000005</v>
      </c>
      <c r="G9" s="100">
        <f t="shared" si="0"/>
        <v>1259493.8503820898</v>
      </c>
      <c r="H9" s="99">
        <f t="shared" si="0"/>
        <v>-92764015</v>
      </c>
      <c r="I9" s="100">
        <f t="shared" si="0"/>
        <v>-1463851.39</v>
      </c>
      <c r="J9" s="100">
        <f t="shared" si="0"/>
        <v>-540867.42000000004</v>
      </c>
    </row>
    <row r="10" spans="1:10" ht="13.5" thickBot="1" x14ac:dyDescent="0.25">
      <c r="C10" s="101"/>
      <c r="D10" s="101"/>
      <c r="E10" s="101"/>
      <c r="F10" s="101"/>
      <c r="G10" s="101"/>
    </row>
    <row r="11" spans="1:10" ht="13.5" thickBot="1" x14ac:dyDescent="0.25">
      <c r="B11" s="95"/>
      <c r="C11" s="205" t="s">
        <v>25</v>
      </c>
      <c r="D11" s="206"/>
      <c r="E11" s="206"/>
      <c r="F11" s="206"/>
      <c r="G11" s="206"/>
      <c r="H11" s="206"/>
      <c r="I11" s="206"/>
      <c r="J11" s="207"/>
    </row>
    <row r="12" spans="1:10" ht="15" x14ac:dyDescent="0.25">
      <c r="B12" s="95"/>
      <c r="C12" s="95"/>
      <c r="D12" s="208" t="s">
        <v>83</v>
      </c>
      <c r="E12" s="209"/>
      <c r="F12" s="209"/>
      <c r="G12" s="210"/>
      <c r="H12" s="211" t="s">
        <v>84</v>
      </c>
      <c r="I12" s="212"/>
      <c r="J12" s="213"/>
    </row>
    <row r="13" spans="1:10" ht="15" x14ac:dyDescent="0.25">
      <c r="B13" s="85"/>
      <c r="C13" s="83" t="s">
        <v>26</v>
      </c>
      <c r="D13" s="84" t="s">
        <v>27</v>
      </c>
      <c r="E13" s="85" t="s">
        <v>43</v>
      </c>
      <c r="F13" s="85" t="s">
        <v>44</v>
      </c>
      <c r="G13" s="86" t="s">
        <v>85</v>
      </c>
      <c r="H13" s="84" t="s">
        <v>28</v>
      </c>
      <c r="I13" s="85" t="s">
        <v>86</v>
      </c>
      <c r="J13" s="85" t="s">
        <v>87</v>
      </c>
    </row>
    <row r="14" spans="1:10" x14ac:dyDescent="0.2">
      <c r="B14" s="102" t="s">
        <v>31</v>
      </c>
      <c r="C14" s="94">
        <f>SUM(D14:H14)</f>
        <v>6946524.127707527</v>
      </c>
      <c r="D14" s="99">
        <v>5868596.0999999875</v>
      </c>
      <c r="E14" s="100">
        <f>SUM(D14,H14,J14)/SUM($D$7,$H$7,$J$7)*$E$7</f>
        <v>-337553.10883025447</v>
      </c>
      <c r="F14" s="100">
        <v>1439352.8999999971</v>
      </c>
      <c r="G14" s="103">
        <f>SUM(F14,I14)/SUM($F$7,$I$7)*$G$7</f>
        <v>-23871.76346220397</v>
      </c>
      <c r="H14" s="99">
        <v>0</v>
      </c>
      <c r="I14" s="100">
        <v>0</v>
      </c>
      <c r="J14" s="100">
        <v>0</v>
      </c>
    </row>
    <row r="15" spans="1:10" x14ac:dyDescent="0.2">
      <c r="B15" s="102" t="s">
        <v>45</v>
      </c>
      <c r="C15" s="94">
        <f>SUM(D15:H15)</f>
        <v>2557155.2074614768</v>
      </c>
      <c r="D15" s="99">
        <f>6435423.90000002/12*4</f>
        <v>2145141.3000000068</v>
      </c>
      <c r="E15" s="104">
        <f>SUM(D15,H15,J15)/SUM($D$7,$H$7,$J$7)*$E$7</f>
        <v>-123385.40638282763</v>
      </c>
      <c r="F15" s="100">
        <f>1633286.10000001/12*4</f>
        <v>544428.70000000333</v>
      </c>
      <c r="G15" s="103">
        <f>SUM(F15,I15)/SUM($F$7,$I$7)*$G$7</f>
        <v>-9029.3861557060191</v>
      </c>
      <c r="H15" s="99">
        <v>0</v>
      </c>
      <c r="I15" s="100">
        <v>0</v>
      </c>
      <c r="J15" s="100">
        <v>0</v>
      </c>
    </row>
    <row r="16" spans="1:10" ht="13.5" thickBot="1" x14ac:dyDescent="0.25">
      <c r="B16" s="105" t="s">
        <v>88</v>
      </c>
      <c r="C16" s="106">
        <f>SUM(C14:C15)</f>
        <v>9503679.3351690043</v>
      </c>
      <c r="D16" s="107">
        <f t="shared" ref="D16:J16" si="1">SUM(D14:D15)</f>
        <v>8013737.3999999948</v>
      </c>
      <c r="E16" s="106">
        <f t="shared" si="1"/>
        <v>-460938.51521308208</v>
      </c>
      <c r="F16" s="106">
        <f t="shared" si="1"/>
        <v>1983781.6000000006</v>
      </c>
      <c r="G16" s="108">
        <f t="shared" si="1"/>
        <v>-32901.149617909992</v>
      </c>
      <c r="H16" s="107">
        <f t="shared" si="1"/>
        <v>0</v>
      </c>
      <c r="I16" s="106">
        <f t="shared" si="1"/>
        <v>0</v>
      </c>
      <c r="J16" s="106">
        <f t="shared" si="1"/>
        <v>0</v>
      </c>
    </row>
    <row r="17" spans="2:6" x14ac:dyDescent="0.2">
      <c r="C17" s="109">
        <f>+C16-C22</f>
        <v>0</v>
      </c>
    </row>
    <row r="18" spans="2:6" x14ac:dyDescent="0.2">
      <c r="C18" s="109"/>
    </row>
    <row r="19" spans="2:6" ht="15" x14ac:dyDescent="0.25">
      <c r="B19" s="87" t="s">
        <v>108</v>
      </c>
    </row>
    <row r="20" spans="2:6" ht="15" x14ac:dyDescent="0.25">
      <c r="B20" s="110" t="s">
        <v>33</v>
      </c>
    </row>
    <row r="21" spans="2:6" ht="15" x14ac:dyDescent="0.25">
      <c r="C21" s="83" t="s">
        <v>26</v>
      </c>
      <c r="D21" s="83" t="s">
        <v>27</v>
      </c>
      <c r="E21" s="83" t="s">
        <v>44</v>
      </c>
      <c r="F21" s="83" t="s">
        <v>28</v>
      </c>
    </row>
    <row r="22" spans="2:6" x14ac:dyDescent="0.2">
      <c r="B22" s="93" t="s">
        <v>34</v>
      </c>
      <c r="C22" s="94">
        <f>SUM(D22:F22)</f>
        <v>9503679.3351690043</v>
      </c>
      <c r="D22" s="94">
        <f>SUM(D$16:E$16)</f>
        <v>7552798.8847869132</v>
      </c>
      <c r="E22" s="94">
        <f>SUM(F$16:G$16)</f>
        <v>1950880.4503820906</v>
      </c>
      <c r="F22" s="94">
        <f>+SUM(H$14:H$15)</f>
        <v>0</v>
      </c>
    </row>
    <row r="23" spans="2:6" x14ac:dyDescent="0.2">
      <c r="B23" s="93" t="s">
        <v>35</v>
      </c>
      <c r="C23" s="94">
        <f>SUM(D23:F23)</f>
        <v>1907561.9866666659</v>
      </c>
      <c r="D23" s="94">
        <v>1618843.9173333326</v>
      </c>
      <c r="E23" s="94">
        <v>223585.06933333332</v>
      </c>
      <c r="F23" s="94">
        <v>65133</v>
      </c>
    </row>
    <row r="24" spans="2:6" ht="15.75" thickBot="1" x14ac:dyDescent="0.3">
      <c r="B24" s="93" t="s">
        <v>36</v>
      </c>
      <c r="C24" s="111">
        <f>SUM(C22:C23)</f>
        <v>11411241.321835671</v>
      </c>
      <c r="D24" s="112">
        <f t="shared" ref="D24:F24" si="2">SUM(D22:D23)</f>
        <v>9171642.802120246</v>
      </c>
      <c r="E24" s="112">
        <f t="shared" si="2"/>
        <v>2174465.5197154242</v>
      </c>
      <c r="F24" s="111">
        <f t="shared" si="2"/>
        <v>65133</v>
      </c>
    </row>
    <row r="27" spans="2:6" ht="17.25" x14ac:dyDescent="0.4">
      <c r="B27" s="113" t="s">
        <v>89</v>
      </c>
    </row>
    <row r="28" spans="2:6" x14ac:dyDescent="0.2">
      <c r="B28" s="114" t="s">
        <v>90</v>
      </c>
      <c r="C28" s="109">
        <f>SUM(D7:E7)</f>
        <v>-207520097.58000001</v>
      </c>
    </row>
    <row r="29" spans="2:6" x14ac:dyDescent="0.2">
      <c r="B29" s="114" t="s">
        <v>91</v>
      </c>
      <c r="C29" s="109">
        <f>SUM(F7:G7)</f>
        <v>-75168976.609999999</v>
      </c>
    </row>
    <row r="30" spans="2:6" x14ac:dyDescent="0.2">
      <c r="B30" s="114" t="s">
        <v>92</v>
      </c>
      <c r="C30" s="109">
        <f>SUM(H7:J7)</f>
        <v>-94768733.810000002</v>
      </c>
    </row>
    <row r="31" spans="2:6" ht="13.5" thickBot="1" x14ac:dyDescent="0.25">
      <c r="B31" s="114"/>
      <c r="C31" s="111">
        <f>SUM(C28:C30)</f>
        <v>-377457808</v>
      </c>
    </row>
    <row r="32" spans="2:6" x14ac:dyDescent="0.2">
      <c r="C32" s="109">
        <f>+C31-C7</f>
        <v>0</v>
      </c>
    </row>
    <row r="34" spans="2:12" ht="15" x14ac:dyDescent="0.25">
      <c r="B34" s="115" t="s">
        <v>53</v>
      </c>
      <c r="C34" s="94"/>
      <c r="D34" s="94"/>
      <c r="E34" s="94"/>
      <c r="F34" s="94"/>
      <c r="H34" s="116" t="s">
        <v>53</v>
      </c>
      <c r="I34" s="117"/>
      <c r="J34" s="117"/>
      <c r="K34" s="117"/>
      <c r="L34" s="117"/>
    </row>
    <row r="35" spans="2:12" x14ac:dyDescent="0.2">
      <c r="B35" s="118" t="s">
        <v>54</v>
      </c>
      <c r="C35" s="94"/>
      <c r="D35" s="94"/>
      <c r="E35" s="94"/>
      <c r="F35" s="94"/>
      <c r="H35" s="119" t="s">
        <v>54</v>
      </c>
      <c r="I35" s="117"/>
      <c r="J35" s="117"/>
      <c r="K35" s="117"/>
      <c r="L35" s="117"/>
    </row>
    <row r="36" spans="2:12" ht="15" x14ac:dyDescent="0.25">
      <c r="B36" s="120" t="s">
        <v>38</v>
      </c>
      <c r="C36" s="94"/>
      <c r="D36" s="94"/>
      <c r="E36" s="94"/>
      <c r="F36" s="94"/>
      <c r="H36" s="116" t="s">
        <v>47</v>
      </c>
      <c r="I36" s="117"/>
      <c r="J36" s="117"/>
      <c r="K36" s="117"/>
      <c r="L36" s="117"/>
    </row>
    <row r="37" spans="2:12" ht="51.75" x14ac:dyDescent="0.4">
      <c r="B37" s="88" t="s">
        <v>55</v>
      </c>
      <c r="C37" s="89" t="s">
        <v>56</v>
      </c>
      <c r="D37" s="89" t="s">
        <v>57</v>
      </c>
      <c r="E37" s="89" t="s">
        <v>58</v>
      </c>
      <c r="F37" s="89" t="s">
        <v>59</v>
      </c>
      <c r="H37" s="90" t="s">
        <v>55</v>
      </c>
      <c r="I37" s="91" t="s">
        <v>56</v>
      </c>
      <c r="J37" s="91" t="s">
        <v>57</v>
      </c>
      <c r="K37" s="91" t="s">
        <v>58</v>
      </c>
      <c r="L37" s="91" t="s">
        <v>59</v>
      </c>
    </row>
    <row r="38" spans="2:12" x14ac:dyDescent="0.2">
      <c r="B38" s="118"/>
      <c r="C38" s="94"/>
      <c r="D38" s="94"/>
      <c r="E38" s="94"/>
      <c r="F38" s="94"/>
      <c r="H38" s="119"/>
      <c r="I38" s="117"/>
      <c r="J38" s="117"/>
      <c r="K38" s="117"/>
      <c r="L38" s="117"/>
    </row>
    <row r="39" spans="2:12" ht="15" x14ac:dyDescent="0.25">
      <c r="B39" s="114" t="s">
        <v>93</v>
      </c>
      <c r="C39" s="121">
        <v>-6081252.5999999996</v>
      </c>
      <c r="D39" s="121">
        <v>-2365607.27</v>
      </c>
      <c r="E39" s="121">
        <v>-1565314.42</v>
      </c>
      <c r="F39" s="100">
        <f>+E39-D39</f>
        <v>800292.85000000009</v>
      </c>
      <c r="H39" s="122" t="s">
        <v>60</v>
      </c>
      <c r="I39" s="123">
        <v>-43320.09</v>
      </c>
      <c r="J39" s="123">
        <v>-16851.53</v>
      </c>
      <c r="K39" s="123">
        <v>-11150.6</v>
      </c>
      <c r="L39" s="109">
        <v>5700.9299999999985</v>
      </c>
    </row>
    <row r="40" spans="2:12" ht="15" x14ac:dyDescent="0.25">
      <c r="B40" s="114" t="s">
        <v>60</v>
      </c>
      <c r="C40" s="121">
        <v>-11281598.4</v>
      </c>
      <c r="D40" s="121">
        <v>-4388541.7699999996</v>
      </c>
      <c r="E40" s="121">
        <v>-2903883.42</v>
      </c>
      <c r="F40" s="100">
        <f t="shared" ref="F40:F69" si="3">+E40-D40</f>
        <v>1484658.3499999996</v>
      </c>
      <c r="H40" s="122" t="s">
        <v>61</v>
      </c>
      <c r="I40" s="123">
        <v>15916</v>
      </c>
      <c r="J40" s="123">
        <v>6191.32</v>
      </c>
      <c r="K40" s="123">
        <v>4096.78</v>
      </c>
      <c r="L40" s="109">
        <v>-2094.54</v>
      </c>
    </row>
    <row r="41" spans="2:12" ht="15" x14ac:dyDescent="0.25">
      <c r="B41" s="114" t="s">
        <v>94</v>
      </c>
      <c r="C41" s="121">
        <v>-402606.15</v>
      </c>
      <c r="D41" s="121">
        <v>-156613.79</v>
      </c>
      <c r="E41" s="121">
        <v>-103630.82</v>
      </c>
      <c r="F41" s="100">
        <f t="shared" si="3"/>
        <v>52982.97</v>
      </c>
      <c r="H41" s="122" t="s">
        <v>62</v>
      </c>
      <c r="I41" s="123">
        <v>-987864.17</v>
      </c>
      <c r="J41" s="123">
        <v>-384279.16</v>
      </c>
      <c r="K41" s="123">
        <v>-254276.24</v>
      </c>
      <c r="L41" s="109">
        <v>130002.91999999998</v>
      </c>
    </row>
    <row r="42" spans="2:12" ht="15" x14ac:dyDescent="0.25">
      <c r="B42" s="114" t="s">
        <v>61</v>
      </c>
      <c r="C42" s="121">
        <v>97777</v>
      </c>
      <c r="D42" s="121">
        <v>38035.25</v>
      </c>
      <c r="E42" s="121">
        <v>25167.8</v>
      </c>
      <c r="F42" s="100">
        <f t="shared" si="3"/>
        <v>-12867.45</v>
      </c>
      <c r="H42" s="122" t="s">
        <v>63</v>
      </c>
      <c r="I42" s="123">
        <v>332208.49</v>
      </c>
      <c r="J42" s="123">
        <v>129229.09</v>
      </c>
      <c r="K42" s="123">
        <v>85510.46</v>
      </c>
      <c r="L42" s="109">
        <v>-43718.62999999999</v>
      </c>
    </row>
    <row r="43" spans="2:12" ht="15" x14ac:dyDescent="0.25">
      <c r="B43" s="114" t="s">
        <v>62</v>
      </c>
      <c r="C43" s="121">
        <v>-14570064.289999999</v>
      </c>
      <c r="D43" s="121">
        <v>-5667755</v>
      </c>
      <c r="E43" s="121">
        <v>-3750334.55</v>
      </c>
      <c r="F43" s="100">
        <f t="shared" si="3"/>
        <v>1917420.4500000002</v>
      </c>
      <c r="H43" s="122" t="s">
        <v>64</v>
      </c>
      <c r="I43" s="123">
        <v>4540073.21</v>
      </c>
      <c r="J43" s="123">
        <v>1791489.56</v>
      </c>
      <c r="K43" s="123">
        <v>1199486.93</v>
      </c>
      <c r="L43" s="109">
        <v>-592002.63000000012</v>
      </c>
    </row>
    <row r="44" spans="2:12" ht="15" x14ac:dyDescent="0.25">
      <c r="B44" s="114" t="s">
        <v>63</v>
      </c>
      <c r="C44" s="121">
        <v>794485.14</v>
      </c>
      <c r="D44" s="121">
        <v>309054.71999999997</v>
      </c>
      <c r="E44" s="121">
        <v>204500.48000000001</v>
      </c>
      <c r="F44" s="100">
        <f t="shared" si="3"/>
        <v>-104554.23999999996</v>
      </c>
      <c r="H44" s="122" t="s">
        <v>77</v>
      </c>
      <c r="I44" s="123">
        <v>6557840</v>
      </c>
      <c r="J44" s="123">
        <v>2550999.7599999998</v>
      </c>
      <c r="K44" s="123">
        <v>1687988.02</v>
      </c>
      <c r="L44" s="109">
        <v>-863011.73999999976</v>
      </c>
    </row>
    <row r="45" spans="2:12" ht="15" x14ac:dyDescent="0.25">
      <c r="B45" s="114" t="s">
        <v>64</v>
      </c>
      <c r="C45" s="121">
        <v>12734100.09</v>
      </c>
      <c r="D45" s="121">
        <v>4919356.96</v>
      </c>
      <c r="E45" s="121">
        <v>3236181.5300000003</v>
      </c>
      <c r="F45" s="100">
        <f t="shared" si="3"/>
        <v>-1683175.4299999997</v>
      </c>
      <c r="H45" s="122" t="s">
        <v>65</v>
      </c>
      <c r="I45" s="123">
        <v>94595.590000000026</v>
      </c>
      <c r="J45" s="123">
        <v>36797.700000000012</v>
      </c>
      <c r="K45" s="123">
        <v>24348.92</v>
      </c>
      <c r="L45" s="109">
        <v>-12448.780000000013</v>
      </c>
    </row>
    <row r="46" spans="2:12" ht="15" x14ac:dyDescent="0.25">
      <c r="B46" s="114" t="s">
        <v>95</v>
      </c>
      <c r="C46" s="121">
        <v>-8908773.9100000039</v>
      </c>
      <c r="D46" s="121">
        <v>-3465513.040000001</v>
      </c>
      <c r="E46" s="121">
        <v>-2293118.3999999985</v>
      </c>
      <c r="F46" s="100">
        <f t="shared" si="3"/>
        <v>1172394.6400000025</v>
      </c>
      <c r="H46" s="122" t="s">
        <v>66</v>
      </c>
      <c r="I46" s="123">
        <v>11444776.309999999</v>
      </c>
      <c r="J46" s="123">
        <v>4452017.99</v>
      </c>
      <c r="K46" s="123">
        <v>2945885.41</v>
      </c>
      <c r="L46" s="109">
        <v>-1506132.58</v>
      </c>
    </row>
    <row r="47" spans="2:12" ht="15" x14ac:dyDescent="0.25">
      <c r="B47" s="114" t="s">
        <v>96</v>
      </c>
      <c r="C47" s="121">
        <v>-154470</v>
      </c>
      <c r="D47" s="121">
        <v>-60088.83</v>
      </c>
      <c r="E47" s="121">
        <v>-39760.58</v>
      </c>
      <c r="F47" s="100">
        <f t="shared" si="3"/>
        <v>20328.25</v>
      </c>
      <c r="H47" s="122" t="s">
        <v>67</v>
      </c>
      <c r="I47" s="123">
        <v>853005.45</v>
      </c>
      <c r="J47" s="123">
        <v>331819.14</v>
      </c>
      <c r="K47" s="123">
        <v>219563.6</v>
      </c>
      <c r="L47" s="109">
        <v>-112255.54000000001</v>
      </c>
    </row>
    <row r="48" spans="2:12" ht="15" x14ac:dyDescent="0.25">
      <c r="B48" s="114" t="s">
        <v>97</v>
      </c>
      <c r="C48" s="121">
        <v>1769727.05</v>
      </c>
      <c r="D48" s="121">
        <v>688423.81</v>
      </c>
      <c r="E48" s="121">
        <v>455527.74</v>
      </c>
      <c r="F48" s="100">
        <f t="shared" si="3"/>
        <v>-232896.07000000007</v>
      </c>
      <c r="H48" s="124" t="s">
        <v>68</v>
      </c>
      <c r="I48" s="123">
        <v>-40832761.390000001</v>
      </c>
      <c r="J48" s="123">
        <v>-15883944.220000001</v>
      </c>
      <c r="K48" s="123">
        <v>-10510352.790000001</v>
      </c>
      <c r="L48" s="125">
        <v>5373591.4299999997</v>
      </c>
    </row>
    <row r="49" spans="2:12" ht="15" x14ac:dyDescent="0.25">
      <c r="B49" s="114" t="s">
        <v>65</v>
      </c>
      <c r="C49" s="121">
        <v>11691.980000000003</v>
      </c>
      <c r="D49" s="121">
        <v>4548.1799999999967</v>
      </c>
      <c r="E49" s="121">
        <v>3009.51</v>
      </c>
      <c r="F49" s="100">
        <f t="shared" si="3"/>
        <v>-1538.6699999999964</v>
      </c>
      <c r="H49" s="122" t="s">
        <v>78</v>
      </c>
      <c r="I49" s="123">
        <v>1907100</v>
      </c>
      <c r="J49" s="123">
        <v>741861.9</v>
      </c>
      <c r="K49" s="123">
        <v>490887.54</v>
      </c>
      <c r="L49" s="109">
        <v>-250974.36000000004</v>
      </c>
    </row>
    <row r="50" spans="2:12" ht="15" x14ac:dyDescent="0.25">
      <c r="B50" s="114" t="s">
        <v>98</v>
      </c>
      <c r="C50" s="121">
        <v>-144.44999999999999</v>
      </c>
      <c r="D50" s="121">
        <v>-56.21</v>
      </c>
      <c r="E50" s="121">
        <v>-37.18</v>
      </c>
      <c r="F50" s="100">
        <f t="shared" si="3"/>
        <v>19.03</v>
      </c>
      <c r="H50" s="122" t="s">
        <v>69</v>
      </c>
      <c r="I50" s="123">
        <v>-233313.03999999911</v>
      </c>
      <c r="J50" s="123">
        <v>-90758.75</v>
      </c>
      <c r="K50" s="123">
        <v>-60054.790000000037</v>
      </c>
      <c r="L50" s="109">
        <v>30703.959999999963</v>
      </c>
    </row>
    <row r="51" spans="2:12" ht="15" x14ac:dyDescent="0.25">
      <c r="B51" s="114" t="s">
        <v>99</v>
      </c>
      <c r="C51" s="121">
        <v>-4700000</v>
      </c>
      <c r="D51" s="121">
        <v>-1828300</v>
      </c>
      <c r="E51" s="121">
        <v>-1209780</v>
      </c>
      <c r="F51" s="100">
        <f t="shared" si="3"/>
        <v>618520</v>
      </c>
      <c r="H51" s="122" t="s">
        <v>79</v>
      </c>
      <c r="I51" s="123">
        <v>174919</v>
      </c>
      <c r="J51" s="123">
        <v>68043.490000000005</v>
      </c>
      <c r="K51" s="123">
        <v>45024.15</v>
      </c>
      <c r="L51" s="109">
        <v>-23019.340000000004</v>
      </c>
    </row>
    <row r="52" spans="2:12" ht="15" x14ac:dyDescent="0.25">
      <c r="B52" s="114" t="s">
        <v>100</v>
      </c>
      <c r="C52" s="121">
        <v>409000</v>
      </c>
      <c r="D52" s="121">
        <v>159101</v>
      </c>
      <c r="E52" s="121">
        <v>105276.6</v>
      </c>
      <c r="F52" s="100">
        <f t="shared" si="3"/>
        <v>-53824.399999999994</v>
      </c>
      <c r="H52" s="122" t="s">
        <v>70</v>
      </c>
      <c r="I52" s="123">
        <v>54487.88</v>
      </c>
      <c r="J52" s="123">
        <v>21195.78</v>
      </c>
      <c r="K52" s="123">
        <v>14025.17</v>
      </c>
      <c r="L52" s="109">
        <v>-7170.6099999999988</v>
      </c>
    </row>
    <row r="53" spans="2:12" ht="15" x14ac:dyDescent="0.25">
      <c r="B53" s="114" t="s">
        <v>66</v>
      </c>
      <c r="C53" s="121">
        <v>40947898.490000002</v>
      </c>
      <c r="D53" s="121">
        <v>15928732.520000001</v>
      </c>
      <c r="E53" s="121">
        <v>10539989.08</v>
      </c>
      <c r="F53" s="100">
        <f t="shared" si="3"/>
        <v>-5388743.4400000013</v>
      </c>
      <c r="H53" s="122" t="s">
        <v>71</v>
      </c>
      <c r="I53" s="123">
        <v>-319962.40000000002</v>
      </c>
      <c r="J53" s="123">
        <v>-124465.36</v>
      </c>
      <c r="K53" s="123">
        <v>-82358.31</v>
      </c>
      <c r="L53" s="109">
        <v>42107.05</v>
      </c>
    </row>
    <row r="54" spans="2:12" ht="15" x14ac:dyDescent="0.25">
      <c r="B54" s="114" t="s">
        <v>67</v>
      </c>
      <c r="C54" s="121">
        <v>3089894.45</v>
      </c>
      <c r="D54" s="121">
        <v>1201968.95</v>
      </c>
      <c r="E54" s="121">
        <v>795338.83</v>
      </c>
      <c r="F54" s="100">
        <f t="shared" si="3"/>
        <v>-406630.12</v>
      </c>
      <c r="H54" s="122" t="s">
        <v>80</v>
      </c>
      <c r="I54" s="123">
        <v>-3801685.57</v>
      </c>
      <c r="J54" s="123">
        <v>-1478855.6799999999</v>
      </c>
      <c r="K54" s="123">
        <v>-978553.86</v>
      </c>
      <c r="L54" s="109">
        <v>500301.81999999995</v>
      </c>
    </row>
    <row r="55" spans="2:12" ht="15" x14ac:dyDescent="0.25">
      <c r="B55" s="126" t="s">
        <v>68</v>
      </c>
      <c r="C55" s="121">
        <v>-146796750.84</v>
      </c>
      <c r="D55" s="121">
        <v>-57103936.089999996</v>
      </c>
      <c r="E55" s="121">
        <v>-37785483.659999996</v>
      </c>
      <c r="F55" s="98">
        <f t="shared" si="3"/>
        <v>19318452.43</v>
      </c>
      <c r="H55" s="122" t="s">
        <v>72</v>
      </c>
      <c r="I55" s="123">
        <v>-454862.38</v>
      </c>
      <c r="J55" s="123">
        <v>-176941.46</v>
      </c>
      <c r="K55" s="123">
        <v>-117081.57</v>
      </c>
      <c r="L55" s="109">
        <v>59859.889999999985</v>
      </c>
    </row>
    <row r="56" spans="2:12" ht="15" x14ac:dyDescent="0.25">
      <c r="B56" s="114" t="s">
        <v>69</v>
      </c>
      <c r="C56" s="121">
        <v>-933252.17000000179</v>
      </c>
      <c r="D56" s="121">
        <v>-363035.0700000003</v>
      </c>
      <c r="E56" s="121">
        <v>-240219.09999999963</v>
      </c>
      <c r="F56" s="100">
        <f t="shared" si="3"/>
        <v>122815.97000000067</v>
      </c>
      <c r="H56" s="122" t="s">
        <v>73</v>
      </c>
      <c r="I56" s="123">
        <v>-321825.15000000002</v>
      </c>
      <c r="J56" s="123">
        <v>-112638.8</v>
      </c>
      <c r="K56" s="123">
        <v>-67583.28</v>
      </c>
      <c r="L56" s="109">
        <v>45055.520000000004</v>
      </c>
    </row>
    <row r="57" spans="2:12" ht="15" x14ac:dyDescent="0.25">
      <c r="B57" s="114" t="s">
        <v>101</v>
      </c>
      <c r="C57" s="121">
        <v>231803</v>
      </c>
      <c r="D57" s="121">
        <v>90171.37</v>
      </c>
      <c r="E57" s="121">
        <v>59666.09</v>
      </c>
      <c r="F57" s="100">
        <f t="shared" si="3"/>
        <v>-30505.279999999999</v>
      </c>
      <c r="H57" s="122" t="s">
        <v>74</v>
      </c>
      <c r="I57" s="123">
        <v>76678.37</v>
      </c>
      <c r="J57" s="123">
        <v>29827.88</v>
      </c>
      <c r="K57" s="123">
        <v>19737.009999999998</v>
      </c>
      <c r="L57" s="109">
        <v>-10090.870000000003</v>
      </c>
    </row>
    <row r="58" spans="2:12" ht="15" x14ac:dyDescent="0.25">
      <c r="B58" s="114" t="s">
        <v>70</v>
      </c>
      <c r="C58" s="121">
        <v>217949.56</v>
      </c>
      <c r="D58" s="121">
        <v>84782.39</v>
      </c>
      <c r="E58" s="121">
        <v>56100.22</v>
      </c>
      <c r="F58" s="100">
        <f t="shared" si="3"/>
        <v>-28682.17</v>
      </c>
      <c r="H58" s="122" t="s">
        <v>75</v>
      </c>
      <c r="I58" s="123">
        <v>1108272.4099999999</v>
      </c>
      <c r="J58" s="123">
        <v>431117.95</v>
      </c>
      <c r="K58" s="123">
        <v>285269.32</v>
      </c>
      <c r="L58" s="109">
        <v>-145848.63</v>
      </c>
    </row>
    <row r="59" spans="2:12" ht="15" x14ac:dyDescent="0.25">
      <c r="B59" s="114" t="s">
        <v>102</v>
      </c>
      <c r="C59" s="121">
        <v>-3043316.17</v>
      </c>
      <c r="D59" s="121">
        <v>-1183849.99</v>
      </c>
      <c r="E59" s="121">
        <v>-783349.59</v>
      </c>
      <c r="F59" s="100">
        <f t="shared" si="3"/>
        <v>400500.4</v>
      </c>
      <c r="H59" s="122" t="s">
        <v>76</v>
      </c>
      <c r="I59" s="127">
        <v>784371.05</v>
      </c>
      <c r="J59" s="127">
        <v>305120.34000000003</v>
      </c>
      <c r="K59" s="127">
        <v>201897.1</v>
      </c>
      <c r="L59" s="128">
        <v>-103223.24000000002</v>
      </c>
    </row>
    <row r="60" spans="2:12" ht="15" x14ac:dyDescent="0.25">
      <c r="B60" s="114" t="s">
        <v>71</v>
      </c>
      <c r="C60" s="121">
        <v>-1364049.2</v>
      </c>
      <c r="D60" s="121">
        <v>-530615.13</v>
      </c>
      <c r="E60" s="121">
        <v>-351106.26</v>
      </c>
      <c r="F60" s="100">
        <f t="shared" si="3"/>
        <v>179508.87</v>
      </c>
      <c r="H60" s="119"/>
      <c r="I60" s="117">
        <f>SUM(I39:I59)</f>
        <v>-19051350.43</v>
      </c>
      <c r="J60" s="117">
        <f>SUM(J39:J59)</f>
        <v>-7373023.0599999987</v>
      </c>
      <c r="K60" s="117">
        <f>SUM(K39:K59)</f>
        <v>-4857691.0300000031</v>
      </c>
      <c r="L60" s="117">
        <f>SUM(L39:L59)</f>
        <v>2515332.0299999998</v>
      </c>
    </row>
    <row r="61" spans="2:12" ht="15" x14ac:dyDescent="0.25">
      <c r="B61" s="114" t="s">
        <v>103</v>
      </c>
      <c r="C61" s="121">
        <v>722645.86</v>
      </c>
      <c r="D61" s="121">
        <v>281109.24</v>
      </c>
      <c r="E61" s="121">
        <v>186009.04</v>
      </c>
      <c r="F61" s="100">
        <f t="shared" si="3"/>
        <v>-95100.199999999983</v>
      </c>
    </row>
    <row r="62" spans="2:12" ht="15" x14ac:dyDescent="0.25">
      <c r="B62" s="114" t="s">
        <v>72</v>
      </c>
      <c r="C62" s="121">
        <v>-1651857.7</v>
      </c>
      <c r="D62" s="121">
        <v>-642572.67000000004</v>
      </c>
      <c r="E62" s="121">
        <v>-425188.18</v>
      </c>
      <c r="F62" s="100">
        <f t="shared" si="3"/>
        <v>217384.49000000005</v>
      </c>
    </row>
    <row r="63" spans="2:12" ht="15" x14ac:dyDescent="0.25">
      <c r="B63" s="114" t="s">
        <v>104</v>
      </c>
      <c r="C63" s="121">
        <v>-753305.95</v>
      </c>
      <c r="D63" s="121">
        <v>-293036.01</v>
      </c>
      <c r="E63" s="121">
        <v>-193900.96</v>
      </c>
      <c r="F63" s="100">
        <f t="shared" si="3"/>
        <v>99135.050000000017</v>
      </c>
    </row>
    <row r="64" spans="2:12" ht="15" x14ac:dyDescent="0.25">
      <c r="B64" s="114" t="s">
        <v>73</v>
      </c>
      <c r="C64" s="121">
        <v>2425585.15</v>
      </c>
      <c r="D64" s="121">
        <v>848954.8</v>
      </c>
      <c r="E64" s="121">
        <v>509372.88</v>
      </c>
      <c r="F64" s="100">
        <f t="shared" si="3"/>
        <v>-339581.92000000004</v>
      </c>
    </row>
    <row r="65" spans="2:6" ht="15" x14ac:dyDescent="0.25">
      <c r="B65" s="114" t="s">
        <v>105</v>
      </c>
      <c r="C65" s="121">
        <v>-15864975.84</v>
      </c>
      <c r="D65" s="121">
        <v>-6171475.6200000001</v>
      </c>
      <c r="E65" s="121">
        <v>-4083644.79</v>
      </c>
      <c r="F65" s="100">
        <f t="shared" si="3"/>
        <v>2087830.83</v>
      </c>
    </row>
    <row r="66" spans="2:6" ht="15" x14ac:dyDescent="0.25">
      <c r="B66" s="114" t="s">
        <v>106</v>
      </c>
      <c r="C66" s="121">
        <v>-796573</v>
      </c>
      <c r="D66" s="121">
        <v>-309866.90999999997</v>
      </c>
      <c r="E66" s="121">
        <v>-205037.89</v>
      </c>
      <c r="F66" s="100">
        <f t="shared" si="3"/>
        <v>104829.01999999996</v>
      </c>
    </row>
    <row r="67" spans="2:6" ht="15" x14ac:dyDescent="0.25">
      <c r="B67" s="114" t="s">
        <v>74</v>
      </c>
      <c r="C67" s="121">
        <v>306713.46000000002</v>
      </c>
      <c r="D67" s="121">
        <v>119311.54</v>
      </c>
      <c r="E67" s="121">
        <v>78948.05</v>
      </c>
      <c r="F67" s="100">
        <f t="shared" si="3"/>
        <v>-40363.489999999991</v>
      </c>
    </row>
    <row r="68" spans="2:6" ht="15" x14ac:dyDescent="0.25">
      <c r="B68" s="114" t="s">
        <v>75</v>
      </c>
      <c r="C68" s="121">
        <v>3498538.63</v>
      </c>
      <c r="D68" s="121">
        <v>1360931.53</v>
      </c>
      <c r="E68" s="121">
        <v>900523.84</v>
      </c>
      <c r="F68" s="100">
        <f t="shared" si="3"/>
        <v>-460407.69000000006</v>
      </c>
    </row>
    <row r="69" spans="2:6" ht="15" x14ac:dyDescent="0.25">
      <c r="B69" s="114" t="s">
        <v>76</v>
      </c>
      <c r="C69" s="129">
        <v>2536583.1800000002</v>
      </c>
      <c r="D69" s="129">
        <v>986730.83</v>
      </c>
      <c r="E69" s="129">
        <v>652916.51</v>
      </c>
      <c r="F69" s="130">
        <f t="shared" si="3"/>
        <v>-333814.31999999995</v>
      </c>
    </row>
    <row r="70" spans="2:6" x14ac:dyDescent="0.2">
      <c r="B70" s="118"/>
      <c r="C70" s="94">
        <f>SUM(C39:C69)</f>
        <v>-147508597.62999994</v>
      </c>
      <c r="D70" s="94">
        <f>SUM(D39:D69)</f>
        <v>-57509650.309999995</v>
      </c>
      <c r="E70" s="94">
        <f>SUM(E39:E69)</f>
        <v>-38125261.599999994</v>
      </c>
      <c r="F70" s="94">
        <f>SUM(F39:F69)</f>
        <v>19384388.709999997</v>
      </c>
    </row>
  </sheetData>
  <mergeCells count="6">
    <mergeCell ref="C11:J11"/>
    <mergeCell ref="D12:G12"/>
    <mergeCell ref="H12:J12"/>
    <mergeCell ref="C4:J4"/>
    <mergeCell ref="D5:G5"/>
    <mergeCell ref="H5:J5"/>
  </mergeCells>
  <pageMargins left="0.7" right="0.7" top="0.75" bottom="0.75" header="0.3" footer="0.3"/>
  <pageSetup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opLeftCell="A12" workbookViewId="0">
      <selection activeCell="F32" sqref="F32"/>
    </sheetView>
  </sheetViews>
  <sheetFormatPr defaultColWidth="9.140625" defaultRowHeight="12.75" x14ac:dyDescent="0.2"/>
  <cols>
    <col min="1" max="1" width="1.28515625" style="93" customWidth="1"/>
    <col min="2" max="2" width="41.140625" style="93" customWidth="1"/>
    <col min="3" max="7" width="15.140625" style="93" customWidth="1"/>
    <col min="8" max="8" width="39.85546875" style="93" customWidth="1"/>
    <col min="9" max="14" width="15.140625" style="93" customWidth="1"/>
    <col min="15" max="16384" width="9.140625" style="93"/>
  </cols>
  <sheetData>
    <row r="1" spans="1:10" ht="15" x14ac:dyDescent="0.25">
      <c r="A1" s="92" t="s">
        <v>53</v>
      </c>
      <c r="C1" s="94"/>
      <c r="D1" s="94"/>
      <c r="E1" s="94"/>
      <c r="F1" s="94"/>
      <c r="G1" s="94"/>
      <c r="H1" s="94"/>
      <c r="I1" s="94"/>
      <c r="J1" s="94"/>
    </row>
    <row r="2" spans="1:10" x14ac:dyDescent="0.2">
      <c r="A2" s="93" t="s">
        <v>23</v>
      </c>
      <c r="C2" s="94"/>
      <c r="E2" s="94"/>
      <c r="F2" s="94"/>
      <c r="G2" s="94"/>
      <c r="H2" s="94"/>
      <c r="I2" s="94"/>
      <c r="J2" s="94"/>
    </row>
    <row r="3" spans="1:10" ht="13.5" thickBot="1" x14ac:dyDescent="0.25">
      <c r="C3" s="94"/>
      <c r="D3" s="94"/>
      <c r="E3" s="94"/>
      <c r="F3" s="94"/>
      <c r="G3" s="94"/>
      <c r="H3" s="94"/>
      <c r="I3" s="94"/>
      <c r="J3" s="94"/>
    </row>
    <row r="4" spans="1:10" ht="13.5" thickBot="1" x14ac:dyDescent="0.25">
      <c r="C4" s="205" t="s">
        <v>24</v>
      </c>
      <c r="D4" s="206"/>
      <c r="E4" s="206"/>
      <c r="F4" s="206"/>
      <c r="G4" s="206"/>
      <c r="H4" s="206"/>
      <c r="I4" s="206"/>
      <c r="J4" s="207"/>
    </row>
    <row r="5" spans="1:10" ht="15" x14ac:dyDescent="0.25">
      <c r="C5" s="95"/>
      <c r="D5" s="208" t="s">
        <v>83</v>
      </c>
      <c r="E5" s="209"/>
      <c r="F5" s="209"/>
      <c r="G5" s="209"/>
      <c r="H5" s="211" t="s">
        <v>84</v>
      </c>
      <c r="I5" s="212"/>
      <c r="J5" s="213"/>
    </row>
    <row r="6" spans="1:10" ht="15" x14ac:dyDescent="0.25">
      <c r="A6" s="82"/>
      <c r="B6" s="82"/>
      <c r="C6" s="83" t="s">
        <v>26</v>
      </c>
      <c r="D6" s="84" t="s">
        <v>27</v>
      </c>
      <c r="E6" s="85" t="s">
        <v>43</v>
      </c>
      <c r="F6" s="85" t="s">
        <v>44</v>
      </c>
      <c r="G6" s="85" t="s">
        <v>85</v>
      </c>
      <c r="H6" s="84" t="s">
        <v>28</v>
      </c>
      <c r="I6" s="85" t="s">
        <v>86</v>
      </c>
      <c r="J6" s="85" t="s">
        <v>87</v>
      </c>
    </row>
    <row r="7" spans="1:10" ht="15" x14ac:dyDescent="0.25">
      <c r="B7" s="96" t="s">
        <v>29</v>
      </c>
      <c r="C7" s="94">
        <f>SUM(D7:J7)</f>
        <v>-377457808</v>
      </c>
      <c r="D7" s="97">
        <f>-319183978-H7-J7</f>
        <v>-225879095.58000001</v>
      </c>
      <c r="E7" s="98">
        <v>18358998</v>
      </c>
      <c r="F7" s="98">
        <f>-77925223-I7</f>
        <v>-76461371.609999999</v>
      </c>
      <c r="G7" s="98">
        <v>1292395</v>
      </c>
      <c r="H7" s="99">
        <v>-92764015</v>
      </c>
      <c r="I7" s="100">
        <v>-1463851.39</v>
      </c>
      <c r="J7" s="100">
        <v>-540867.42000000004</v>
      </c>
    </row>
    <row r="8" spans="1:10" x14ac:dyDescent="0.2">
      <c r="B8" s="96" t="s">
        <v>30</v>
      </c>
      <c r="C8" s="94">
        <f>+C7+C14</f>
        <v>-370511283.87229246</v>
      </c>
      <c r="D8" s="99">
        <f t="shared" ref="D8:J9" si="0">+D7+D14</f>
        <v>-220010499.48000002</v>
      </c>
      <c r="E8" s="100">
        <f t="shared" si="0"/>
        <v>18021444.891169745</v>
      </c>
      <c r="F8" s="100">
        <f t="shared" si="0"/>
        <v>-75022018.710000008</v>
      </c>
      <c r="G8" s="100">
        <f t="shared" si="0"/>
        <v>1268523.236537796</v>
      </c>
      <c r="H8" s="99">
        <f t="shared" si="0"/>
        <v>-92764015</v>
      </c>
      <c r="I8" s="100">
        <f t="shared" si="0"/>
        <v>-1463851.39</v>
      </c>
      <c r="J8" s="100">
        <f t="shared" si="0"/>
        <v>-540867.42000000004</v>
      </c>
    </row>
    <row r="9" spans="1:10" x14ac:dyDescent="0.2">
      <c r="B9" s="96" t="s">
        <v>32</v>
      </c>
      <c r="C9" s="94">
        <f>+C8+C15</f>
        <v>-367954128.66483098</v>
      </c>
      <c r="D9" s="99">
        <f t="shared" si="0"/>
        <v>-217865358.18000001</v>
      </c>
      <c r="E9" s="100">
        <f t="shared" si="0"/>
        <v>17898059.484786917</v>
      </c>
      <c r="F9" s="100">
        <f t="shared" si="0"/>
        <v>-74477590.010000005</v>
      </c>
      <c r="G9" s="100">
        <f t="shared" si="0"/>
        <v>1259493.8503820898</v>
      </c>
      <c r="H9" s="99">
        <f t="shared" si="0"/>
        <v>-92764015</v>
      </c>
      <c r="I9" s="100">
        <f t="shared" si="0"/>
        <v>-1463851.39</v>
      </c>
      <c r="J9" s="100">
        <f t="shared" si="0"/>
        <v>-540867.42000000004</v>
      </c>
    </row>
    <row r="10" spans="1:10" ht="13.5" thickBot="1" x14ac:dyDescent="0.25">
      <c r="C10" s="101"/>
      <c r="D10" s="101"/>
      <c r="E10" s="101"/>
      <c r="F10" s="101"/>
      <c r="G10" s="101"/>
    </row>
    <row r="11" spans="1:10" ht="13.5" thickBot="1" x14ac:dyDescent="0.25">
      <c r="B11" s="95"/>
      <c r="C11" s="205" t="s">
        <v>25</v>
      </c>
      <c r="D11" s="206"/>
      <c r="E11" s="206"/>
      <c r="F11" s="206"/>
      <c r="G11" s="206"/>
      <c r="H11" s="206"/>
      <c r="I11" s="206"/>
      <c r="J11" s="207"/>
    </row>
    <row r="12" spans="1:10" ht="15" x14ac:dyDescent="0.25">
      <c r="B12" s="95"/>
      <c r="C12" s="95"/>
      <c r="D12" s="208" t="s">
        <v>83</v>
      </c>
      <c r="E12" s="209"/>
      <c r="F12" s="209"/>
      <c r="G12" s="210"/>
      <c r="H12" s="211" t="s">
        <v>84</v>
      </c>
      <c r="I12" s="212"/>
      <c r="J12" s="213"/>
    </row>
    <row r="13" spans="1:10" ht="15" x14ac:dyDescent="0.25">
      <c r="B13" s="85"/>
      <c r="C13" s="83" t="s">
        <v>26</v>
      </c>
      <c r="D13" s="84" t="s">
        <v>27</v>
      </c>
      <c r="E13" s="85" t="s">
        <v>43</v>
      </c>
      <c r="F13" s="85" t="s">
        <v>44</v>
      </c>
      <c r="G13" s="86" t="s">
        <v>85</v>
      </c>
      <c r="H13" s="84" t="s">
        <v>28</v>
      </c>
      <c r="I13" s="85" t="s">
        <v>86</v>
      </c>
      <c r="J13" s="85" t="s">
        <v>87</v>
      </c>
    </row>
    <row r="14" spans="1:10" x14ac:dyDescent="0.2">
      <c r="B14" s="102" t="s">
        <v>31</v>
      </c>
      <c r="C14" s="94">
        <f>SUM(D14:H14)</f>
        <v>6946524.127707527</v>
      </c>
      <c r="D14" s="99">
        <v>5868596.0999999875</v>
      </c>
      <c r="E14" s="100">
        <f>SUM(D14,H14,J14)/SUM($D$7,$H$7,$J$7)*$E$7</f>
        <v>-337553.10883025447</v>
      </c>
      <c r="F14" s="100">
        <v>1439352.8999999971</v>
      </c>
      <c r="G14" s="103">
        <f>SUM(F14,I14)/SUM($F$7,$I$7)*$G$7</f>
        <v>-23871.76346220397</v>
      </c>
      <c r="H14" s="99">
        <v>0</v>
      </c>
      <c r="I14" s="100">
        <v>0</v>
      </c>
      <c r="J14" s="100">
        <v>0</v>
      </c>
    </row>
    <row r="15" spans="1:10" x14ac:dyDescent="0.2">
      <c r="B15" s="102" t="s">
        <v>45</v>
      </c>
      <c r="C15" s="94">
        <f>SUM(D15:H15)</f>
        <v>2557155.2074614768</v>
      </c>
      <c r="D15" s="99">
        <f>6435423.90000002/12*4</f>
        <v>2145141.3000000068</v>
      </c>
      <c r="E15" s="104">
        <f>SUM(D15,H15,J15)/SUM($D$7,$H$7,$J$7)*$E$7</f>
        <v>-123385.40638282763</v>
      </c>
      <c r="F15" s="100">
        <f>1633286.10000001/12*4</f>
        <v>544428.70000000333</v>
      </c>
      <c r="G15" s="103">
        <f>SUM(F15,I15)/SUM($F$7,$I$7)*$G$7</f>
        <v>-9029.3861557060191</v>
      </c>
      <c r="H15" s="99">
        <v>0</v>
      </c>
      <c r="I15" s="100">
        <v>0</v>
      </c>
      <c r="J15" s="100">
        <v>0</v>
      </c>
    </row>
    <row r="16" spans="1:10" ht="13.5" thickBot="1" x14ac:dyDescent="0.25">
      <c r="B16" s="105" t="s">
        <v>88</v>
      </c>
      <c r="C16" s="106">
        <f>SUM(C14:C15)</f>
        <v>9503679.3351690043</v>
      </c>
      <c r="D16" s="107">
        <f t="shared" ref="D16:J16" si="1">SUM(D14:D15)</f>
        <v>8013737.3999999948</v>
      </c>
      <c r="E16" s="106">
        <f t="shared" si="1"/>
        <v>-460938.51521308208</v>
      </c>
      <c r="F16" s="106">
        <f t="shared" si="1"/>
        <v>1983781.6000000006</v>
      </c>
      <c r="G16" s="108">
        <f t="shared" si="1"/>
        <v>-32901.149617909992</v>
      </c>
      <c r="H16" s="107">
        <f t="shared" si="1"/>
        <v>0</v>
      </c>
      <c r="I16" s="106">
        <f t="shared" si="1"/>
        <v>0</v>
      </c>
      <c r="J16" s="106">
        <f t="shared" si="1"/>
        <v>0</v>
      </c>
    </row>
    <row r="17" spans="2:7" x14ac:dyDescent="0.2">
      <c r="C17" s="109">
        <f>+C16-C22</f>
        <v>0</v>
      </c>
    </row>
    <row r="18" spans="2:7" x14ac:dyDescent="0.2">
      <c r="C18" s="109"/>
    </row>
    <row r="19" spans="2:7" ht="15" x14ac:dyDescent="0.25">
      <c r="B19" s="87" t="s">
        <v>108</v>
      </c>
    </row>
    <row r="20" spans="2:7" ht="15" x14ac:dyDescent="0.25">
      <c r="B20" s="110" t="s">
        <v>33</v>
      </c>
    </row>
    <row r="21" spans="2:7" ht="15" x14ac:dyDescent="0.25">
      <c r="C21" s="83" t="s">
        <v>26</v>
      </c>
      <c r="D21" s="83" t="s">
        <v>27</v>
      </c>
      <c r="E21" s="83" t="s">
        <v>44</v>
      </c>
      <c r="F21" s="83" t="s">
        <v>28</v>
      </c>
    </row>
    <row r="22" spans="2:7" x14ac:dyDescent="0.2">
      <c r="B22" s="93" t="s">
        <v>34</v>
      </c>
      <c r="C22" s="94">
        <f>SUM(D22:F22)</f>
        <v>9503679.3351690043</v>
      </c>
      <c r="D22" s="94">
        <f>SUM(D$16:E$16)</f>
        <v>7552798.8847869132</v>
      </c>
      <c r="E22" s="94">
        <f>SUM(F$16:G$16)</f>
        <v>1950880.4503820906</v>
      </c>
      <c r="F22" s="94">
        <f>+SUM(H$14:H$15)</f>
        <v>0</v>
      </c>
    </row>
    <row r="23" spans="2:7" x14ac:dyDescent="0.2">
      <c r="B23" s="93" t="s">
        <v>35</v>
      </c>
      <c r="C23" s="94">
        <f>SUM(D23:F23)</f>
        <v>5592419.9599999888</v>
      </c>
      <c r="D23" s="94">
        <f>(1618843.91733333/16*12*15)/5/12*16</f>
        <v>4856531.7519999901</v>
      </c>
      <c r="E23" s="94">
        <f>(223585.069333333/16*12*15)/5/12*16</f>
        <v>670755.20799999894</v>
      </c>
      <c r="F23" s="94">
        <v>65133</v>
      </c>
    </row>
    <row r="24" spans="2:7" ht="15.75" thickBot="1" x14ac:dyDescent="0.3">
      <c r="B24" s="93" t="s">
        <v>36</v>
      </c>
      <c r="C24" s="111">
        <f>SUM(C22:C23)</f>
        <v>15096099.295168992</v>
      </c>
      <c r="D24" s="112">
        <f t="shared" ref="D24:F24" si="2">SUM(D22:D23)</f>
        <v>12409330.636786904</v>
      </c>
      <c r="E24" s="112">
        <f t="shared" si="2"/>
        <v>2621635.6583820898</v>
      </c>
      <c r="F24" s="111">
        <f t="shared" si="2"/>
        <v>65133</v>
      </c>
    </row>
    <row r="27" spans="2:7" ht="17.25" x14ac:dyDescent="0.4">
      <c r="B27" s="113" t="s">
        <v>89</v>
      </c>
    </row>
    <row r="28" spans="2:7" x14ac:dyDescent="0.2">
      <c r="B28" s="114" t="s">
        <v>90</v>
      </c>
      <c r="C28" s="109">
        <f>SUM(D7:E7)</f>
        <v>-207520097.58000001</v>
      </c>
      <c r="F28" s="180"/>
      <c r="G28" s="180"/>
    </row>
    <row r="29" spans="2:7" x14ac:dyDescent="0.2">
      <c r="B29" s="114" t="s">
        <v>91</v>
      </c>
      <c r="C29" s="109">
        <f>SUM(F7:G7)</f>
        <v>-75168976.609999999</v>
      </c>
      <c r="F29" s="181"/>
      <c r="G29" s="180"/>
    </row>
    <row r="30" spans="2:7" x14ac:dyDescent="0.2">
      <c r="B30" s="114" t="s">
        <v>92</v>
      </c>
      <c r="C30" s="109">
        <f>SUM(H7:J7)</f>
        <v>-94768733.810000002</v>
      </c>
      <c r="F30" s="182"/>
      <c r="G30" s="183"/>
    </row>
    <row r="31" spans="2:7" ht="13.5" thickBot="1" x14ac:dyDescent="0.25">
      <c r="B31" s="114"/>
      <c r="C31" s="111">
        <f>SUM(C28:C30)</f>
        <v>-377457808</v>
      </c>
      <c r="F31" s="184"/>
      <c r="G31" s="183"/>
    </row>
    <row r="32" spans="2:7" x14ac:dyDescent="0.2">
      <c r="C32" s="109">
        <f>+C31-C7</f>
        <v>0</v>
      </c>
    </row>
    <row r="33" spans="2:12" x14ac:dyDescent="0.2">
      <c r="F33" s="109"/>
    </row>
    <row r="34" spans="2:12" ht="15" x14ac:dyDescent="0.25">
      <c r="B34" s="115" t="s">
        <v>53</v>
      </c>
      <c r="C34" s="94"/>
      <c r="D34" s="94"/>
      <c r="E34" s="94"/>
      <c r="F34" s="94"/>
      <c r="H34" s="116" t="s">
        <v>53</v>
      </c>
      <c r="I34" s="117"/>
      <c r="J34" s="117"/>
      <c r="K34" s="117"/>
      <c r="L34" s="117"/>
    </row>
    <row r="35" spans="2:12" x14ac:dyDescent="0.2">
      <c r="B35" s="118" t="s">
        <v>54</v>
      </c>
      <c r="C35" s="94"/>
      <c r="D35" s="94"/>
      <c r="E35" s="94"/>
      <c r="F35" s="94"/>
      <c r="H35" s="119" t="s">
        <v>54</v>
      </c>
      <c r="I35" s="117"/>
      <c r="J35" s="117"/>
      <c r="K35" s="117"/>
      <c r="L35" s="117"/>
    </row>
    <row r="36" spans="2:12" ht="15" x14ac:dyDescent="0.25">
      <c r="B36" s="120" t="s">
        <v>38</v>
      </c>
      <c r="C36" s="94"/>
      <c r="D36" s="94"/>
      <c r="E36" s="94"/>
      <c r="F36" s="94"/>
      <c r="H36" s="116" t="s">
        <v>47</v>
      </c>
      <c r="I36" s="117"/>
      <c r="J36" s="117"/>
      <c r="K36" s="117"/>
      <c r="L36" s="117"/>
    </row>
    <row r="37" spans="2:12" ht="51.75" x14ac:dyDescent="0.4">
      <c r="B37" s="88" t="s">
        <v>55</v>
      </c>
      <c r="C37" s="89" t="s">
        <v>56</v>
      </c>
      <c r="D37" s="89" t="s">
        <v>57</v>
      </c>
      <c r="E37" s="89" t="s">
        <v>58</v>
      </c>
      <c r="F37" s="89" t="s">
        <v>59</v>
      </c>
      <c r="H37" s="90" t="s">
        <v>55</v>
      </c>
      <c r="I37" s="91" t="s">
        <v>56</v>
      </c>
      <c r="J37" s="91" t="s">
        <v>57</v>
      </c>
      <c r="K37" s="91" t="s">
        <v>58</v>
      </c>
      <c r="L37" s="91" t="s">
        <v>59</v>
      </c>
    </row>
    <row r="38" spans="2:12" x14ac:dyDescent="0.2">
      <c r="B38" s="118"/>
      <c r="C38" s="94"/>
      <c r="D38" s="94"/>
      <c r="E38" s="94"/>
      <c r="F38" s="94"/>
      <c r="H38" s="119"/>
      <c r="I38" s="117"/>
      <c r="J38" s="117"/>
      <c r="K38" s="117"/>
      <c r="L38" s="117"/>
    </row>
    <row r="39" spans="2:12" ht="15" x14ac:dyDescent="0.25">
      <c r="B39" s="114" t="s">
        <v>93</v>
      </c>
      <c r="C39" s="121">
        <v>-6081252.5999999996</v>
      </c>
      <c r="D39" s="121">
        <v>-2365607.27</v>
      </c>
      <c r="E39" s="121">
        <v>-1565314.42</v>
      </c>
      <c r="F39" s="100">
        <f>+E39-D39</f>
        <v>800292.85000000009</v>
      </c>
      <c r="H39" s="122" t="s">
        <v>60</v>
      </c>
      <c r="I39" s="123">
        <v>-43320.09</v>
      </c>
      <c r="J39" s="123">
        <v>-16851.53</v>
      </c>
      <c r="K39" s="123">
        <v>-11150.6</v>
      </c>
      <c r="L39" s="109">
        <v>5700.9299999999985</v>
      </c>
    </row>
    <row r="40" spans="2:12" ht="15" x14ac:dyDescent="0.25">
      <c r="B40" s="114" t="s">
        <v>60</v>
      </c>
      <c r="C40" s="121">
        <v>-11281598.4</v>
      </c>
      <c r="D40" s="121">
        <v>-4388541.7699999996</v>
      </c>
      <c r="E40" s="121">
        <v>-2903883.42</v>
      </c>
      <c r="F40" s="100">
        <f t="shared" ref="F40:F69" si="3">+E40-D40</f>
        <v>1484658.3499999996</v>
      </c>
      <c r="H40" s="122" t="s">
        <v>61</v>
      </c>
      <c r="I40" s="123">
        <v>15916</v>
      </c>
      <c r="J40" s="123">
        <v>6191.32</v>
      </c>
      <c r="K40" s="123">
        <v>4096.78</v>
      </c>
      <c r="L40" s="109">
        <v>-2094.54</v>
      </c>
    </row>
    <row r="41" spans="2:12" ht="15" x14ac:dyDescent="0.25">
      <c r="B41" s="114" t="s">
        <v>94</v>
      </c>
      <c r="C41" s="121">
        <v>-402606.15</v>
      </c>
      <c r="D41" s="121">
        <v>-156613.79</v>
      </c>
      <c r="E41" s="121">
        <v>-103630.82</v>
      </c>
      <c r="F41" s="100">
        <f t="shared" si="3"/>
        <v>52982.97</v>
      </c>
      <c r="H41" s="122" t="s">
        <v>62</v>
      </c>
      <c r="I41" s="123">
        <v>-987864.17</v>
      </c>
      <c r="J41" s="123">
        <v>-384279.16</v>
      </c>
      <c r="K41" s="123">
        <v>-254276.24</v>
      </c>
      <c r="L41" s="109">
        <v>130002.91999999998</v>
      </c>
    </row>
    <row r="42" spans="2:12" ht="15" x14ac:dyDescent="0.25">
      <c r="B42" s="114" t="s">
        <v>61</v>
      </c>
      <c r="C42" s="121">
        <v>97777</v>
      </c>
      <c r="D42" s="121">
        <v>38035.25</v>
      </c>
      <c r="E42" s="121">
        <v>25167.8</v>
      </c>
      <c r="F42" s="100">
        <f t="shared" si="3"/>
        <v>-12867.45</v>
      </c>
      <c r="H42" s="122" t="s">
        <v>63</v>
      </c>
      <c r="I42" s="123">
        <v>332208.49</v>
      </c>
      <c r="J42" s="123">
        <v>129229.09</v>
      </c>
      <c r="K42" s="123">
        <v>85510.46</v>
      </c>
      <c r="L42" s="109">
        <v>-43718.62999999999</v>
      </c>
    </row>
    <row r="43" spans="2:12" ht="15" x14ac:dyDescent="0.25">
      <c r="B43" s="114" t="s">
        <v>62</v>
      </c>
      <c r="C43" s="121">
        <v>-14570064.289999999</v>
      </c>
      <c r="D43" s="121">
        <v>-5667755</v>
      </c>
      <c r="E43" s="121">
        <v>-3750334.55</v>
      </c>
      <c r="F43" s="100">
        <f t="shared" si="3"/>
        <v>1917420.4500000002</v>
      </c>
      <c r="H43" s="122" t="s">
        <v>64</v>
      </c>
      <c r="I43" s="123">
        <v>4540073.21</v>
      </c>
      <c r="J43" s="123">
        <v>1791489.56</v>
      </c>
      <c r="K43" s="123">
        <v>1199486.93</v>
      </c>
      <c r="L43" s="109">
        <v>-592002.63000000012</v>
      </c>
    </row>
    <row r="44" spans="2:12" ht="15" x14ac:dyDescent="0.25">
      <c r="B44" s="114" t="s">
        <v>63</v>
      </c>
      <c r="C44" s="121">
        <v>794485.14</v>
      </c>
      <c r="D44" s="121">
        <v>309054.71999999997</v>
      </c>
      <c r="E44" s="121">
        <v>204500.48000000001</v>
      </c>
      <c r="F44" s="100">
        <f t="shared" si="3"/>
        <v>-104554.23999999996</v>
      </c>
      <c r="H44" s="122" t="s">
        <v>77</v>
      </c>
      <c r="I44" s="123">
        <v>6557840</v>
      </c>
      <c r="J44" s="123">
        <v>2550999.7599999998</v>
      </c>
      <c r="K44" s="123">
        <v>1687988.02</v>
      </c>
      <c r="L44" s="109">
        <v>-863011.73999999976</v>
      </c>
    </row>
    <row r="45" spans="2:12" ht="15" x14ac:dyDescent="0.25">
      <c r="B45" s="114" t="s">
        <v>64</v>
      </c>
      <c r="C45" s="121">
        <v>12734100.09</v>
      </c>
      <c r="D45" s="121">
        <v>4919356.96</v>
      </c>
      <c r="E45" s="121">
        <v>3236181.5300000003</v>
      </c>
      <c r="F45" s="100">
        <f t="shared" si="3"/>
        <v>-1683175.4299999997</v>
      </c>
      <c r="H45" s="122" t="s">
        <v>65</v>
      </c>
      <c r="I45" s="123">
        <v>94595.590000000026</v>
      </c>
      <c r="J45" s="123">
        <v>36797.700000000012</v>
      </c>
      <c r="K45" s="123">
        <v>24348.92</v>
      </c>
      <c r="L45" s="109">
        <v>-12448.780000000013</v>
      </c>
    </row>
    <row r="46" spans="2:12" ht="15" x14ac:dyDescent="0.25">
      <c r="B46" s="114" t="s">
        <v>95</v>
      </c>
      <c r="C46" s="121">
        <v>-8908773.9100000039</v>
      </c>
      <c r="D46" s="121">
        <v>-3465513.040000001</v>
      </c>
      <c r="E46" s="121">
        <v>-2293118.3999999985</v>
      </c>
      <c r="F46" s="100">
        <f t="shared" si="3"/>
        <v>1172394.6400000025</v>
      </c>
      <c r="H46" s="122" t="s">
        <v>66</v>
      </c>
      <c r="I46" s="123">
        <v>11444776.309999999</v>
      </c>
      <c r="J46" s="123">
        <v>4452017.99</v>
      </c>
      <c r="K46" s="123">
        <v>2945885.41</v>
      </c>
      <c r="L46" s="109">
        <v>-1506132.58</v>
      </c>
    </row>
    <row r="47" spans="2:12" ht="15" x14ac:dyDescent="0.25">
      <c r="B47" s="114" t="s">
        <v>96</v>
      </c>
      <c r="C47" s="121">
        <v>-154470</v>
      </c>
      <c r="D47" s="121">
        <v>-60088.83</v>
      </c>
      <c r="E47" s="121">
        <v>-39760.58</v>
      </c>
      <c r="F47" s="100">
        <f t="shared" si="3"/>
        <v>20328.25</v>
      </c>
      <c r="H47" s="122" t="s">
        <v>67</v>
      </c>
      <c r="I47" s="123">
        <v>853005.45</v>
      </c>
      <c r="J47" s="123">
        <v>331819.14</v>
      </c>
      <c r="K47" s="123">
        <v>219563.6</v>
      </c>
      <c r="L47" s="109">
        <v>-112255.54000000001</v>
      </c>
    </row>
    <row r="48" spans="2:12" ht="15" x14ac:dyDescent="0.25">
      <c r="B48" s="114" t="s">
        <v>97</v>
      </c>
      <c r="C48" s="121">
        <v>1769727.05</v>
      </c>
      <c r="D48" s="121">
        <v>688423.81</v>
      </c>
      <c r="E48" s="121">
        <v>455527.74</v>
      </c>
      <c r="F48" s="100">
        <f t="shared" si="3"/>
        <v>-232896.07000000007</v>
      </c>
      <c r="H48" s="124" t="s">
        <v>68</v>
      </c>
      <c r="I48" s="123">
        <v>-40832761.390000001</v>
      </c>
      <c r="J48" s="123">
        <v>-15883944.220000001</v>
      </c>
      <c r="K48" s="123">
        <v>-10510352.790000001</v>
      </c>
      <c r="L48" s="125">
        <v>5373591.4299999997</v>
      </c>
    </row>
    <row r="49" spans="2:12" ht="15" x14ac:dyDescent="0.25">
      <c r="B49" s="114" t="s">
        <v>65</v>
      </c>
      <c r="C49" s="121">
        <v>11691.980000000003</v>
      </c>
      <c r="D49" s="121">
        <v>4548.1799999999967</v>
      </c>
      <c r="E49" s="121">
        <v>3009.51</v>
      </c>
      <c r="F49" s="100">
        <f t="shared" si="3"/>
        <v>-1538.6699999999964</v>
      </c>
      <c r="H49" s="122" t="s">
        <v>78</v>
      </c>
      <c r="I49" s="123">
        <v>1907100</v>
      </c>
      <c r="J49" s="123">
        <v>741861.9</v>
      </c>
      <c r="K49" s="123">
        <v>490887.54</v>
      </c>
      <c r="L49" s="109">
        <v>-250974.36000000004</v>
      </c>
    </row>
    <row r="50" spans="2:12" ht="15" x14ac:dyDescent="0.25">
      <c r="B50" s="114" t="s">
        <v>98</v>
      </c>
      <c r="C50" s="121">
        <v>-144.44999999999999</v>
      </c>
      <c r="D50" s="121">
        <v>-56.21</v>
      </c>
      <c r="E50" s="121">
        <v>-37.18</v>
      </c>
      <c r="F50" s="100">
        <f t="shared" si="3"/>
        <v>19.03</v>
      </c>
      <c r="H50" s="122" t="s">
        <v>69</v>
      </c>
      <c r="I50" s="123">
        <v>-233313.03999999911</v>
      </c>
      <c r="J50" s="123">
        <v>-90758.75</v>
      </c>
      <c r="K50" s="123">
        <v>-60054.790000000037</v>
      </c>
      <c r="L50" s="109">
        <v>30703.959999999963</v>
      </c>
    </row>
    <row r="51" spans="2:12" ht="15" x14ac:dyDescent="0.25">
      <c r="B51" s="114" t="s">
        <v>99</v>
      </c>
      <c r="C51" s="121">
        <v>-4700000</v>
      </c>
      <c r="D51" s="121">
        <v>-1828300</v>
      </c>
      <c r="E51" s="121">
        <v>-1209780</v>
      </c>
      <c r="F51" s="100">
        <f t="shared" si="3"/>
        <v>618520</v>
      </c>
      <c r="H51" s="122" t="s">
        <v>79</v>
      </c>
      <c r="I51" s="123">
        <v>174919</v>
      </c>
      <c r="J51" s="123">
        <v>68043.490000000005</v>
      </c>
      <c r="K51" s="123">
        <v>45024.15</v>
      </c>
      <c r="L51" s="109">
        <v>-23019.340000000004</v>
      </c>
    </row>
    <row r="52" spans="2:12" ht="15" x14ac:dyDescent="0.25">
      <c r="B52" s="114" t="s">
        <v>100</v>
      </c>
      <c r="C52" s="121">
        <v>409000</v>
      </c>
      <c r="D52" s="121">
        <v>159101</v>
      </c>
      <c r="E52" s="121">
        <v>105276.6</v>
      </c>
      <c r="F52" s="100">
        <f t="shared" si="3"/>
        <v>-53824.399999999994</v>
      </c>
      <c r="H52" s="122" t="s">
        <v>70</v>
      </c>
      <c r="I52" s="123">
        <v>54487.88</v>
      </c>
      <c r="J52" s="123">
        <v>21195.78</v>
      </c>
      <c r="K52" s="123">
        <v>14025.17</v>
      </c>
      <c r="L52" s="109">
        <v>-7170.6099999999988</v>
      </c>
    </row>
    <row r="53" spans="2:12" ht="15" x14ac:dyDescent="0.25">
      <c r="B53" s="114" t="s">
        <v>66</v>
      </c>
      <c r="C53" s="121">
        <v>40947898.490000002</v>
      </c>
      <c r="D53" s="121">
        <v>15928732.520000001</v>
      </c>
      <c r="E53" s="121">
        <v>10539989.08</v>
      </c>
      <c r="F53" s="100">
        <f t="shared" si="3"/>
        <v>-5388743.4400000013</v>
      </c>
      <c r="H53" s="122" t="s">
        <v>71</v>
      </c>
      <c r="I53" s="123">
        <v>-319962.40000000002</v>
      </c>
      <c r="J53" s="123">
        <v>-124465.36</v>
      </c>
      <c r="K53" s="123">
        <v>-82358.31</v>
      </c>
      <c r="L53" s="109">
        <v>42107.05</v>
      </c>
    </row>
    <row r="54" spans="2:12" ht="15" x14ac:dyDescent="0.25">
      <c r="B54" s="114" t="s">
        <v>67</v>
      </c>
      <c r="C54" s="121">
        <v>3089894.45</v>
      </c>
      <c r="D54" s="121">
        <v>1201968.95</v>
      </c>
      <c r="E54" s="121">
        <v>795338.83</v>
      </c>
      <c r="F54" s="100">
        <f t="shared" si="3"/>
        <v>-406630.12</v>
      </c>
      <c r="H54" s="122" t="s">
        <v>80</v>
      </c>
      <c r="I54" s="123">
        <v>-3801685.57</v>
      </c>
      <c r="J54" s="123">
        <v>-1478855.6799999999</v>
      </c>
      <c r="K54" s="123">
        <v>-978553.86</v>
      </c>
      <c r="L54" s="109">
        <v>500301.81999999995</v>
      </c>
    </row>
    <row r="55" spans="2:12" ht="15" x14ac:dyDescent="0.25">
      <c r="B55" s="126" t="s">
        <v>68</v>
      </c>
      <c r="C55" s="121">
        <v>-146796750.84</v>
      </c>
      <c r="D55" s="121">
        <v>-57103936.089999996</v>
      </c>
      <c r="E55" s="121">
        <v>-37785483.659999996</v>
      </c>
      <c r="F55" s="98">
        <f t="shared" si="3"/>
        <v>19318452.43</v>
      </c>
      <c r="H55" s="122" t="s">
        <v>72</v>
      </c>
      <c r="I55" s="123">
        <v>-454862.38</v>
      </c>
      <c r="J55" s="123">
        <v>-176941.46</v>
      </c>
      <c r="K55" s="123">
        <v>-117081.57</v>
      </c>
      <c r="L55" s="109">
        <v>59859.889999999985</v>
      </c>
    </row>
    <row r="56" spans="2:12" ht="15" x14ac:dyDescent="0.25">
      <c r="B56" s="114" t="s">
        <v>69</v>
      </c>
      <c r="C56" s="121">
        <v>-933252.17000000179</v>
      </c>
      <c r="D56" s="121">
        <v>-363035.0700000003</v>
      </c>
      <c r="E56" s="121">
        <v>-240219.09999999963</v>
      </c>
      <c r="F56" s="100">
        <f t="shared" si="3"/>
        <v>122815.97000000067</v>
      </c>
      <c r="H56" s="122" t="s">
        <v>73</v>
      </c>
      <c r="I56" s="123">
        <v>-321825.15000000002</v>
      </c>
      <c r="J56" s="123">
        <v>-112638.8</v>
      </c>
      <c r="K56" s="123">
        <v>-67583.28</v>
      </c>
      <c r="L56" s="109">
        <v>45055.520000000004</v>
      </c>
    </row>
    <row r="57" spans="2:12" ht="15" x14ac:dyDescent="0.25">
      <c r="B57" s="114" t="s">
        <v>101</v>
      </c>
      <c r="C57" s="121">
        <v>231803</v>
      </c>
      <c r="D57" s="121">
        <v>90171.37</v>
      </c>
      <c r="E57" s="121">
        <v>59666.09</v>
      </c>
      <c r="F57" s="100">
        <f t="shared" si="3"/>
        <v>-30505.279999999999</v>
      </c>
      <c r="H57" s="122" t="s">
        <v>74</v>
      </c>
      <c r="I57" s="123">
        <v>76678.37</v>
      </c>
      <c r="J57" s="123">
        <v>29827.88</v>
      </c>
      <c r="K57" s="123">
        <v>19737.009999999998</v>
      </c>
      <c r="L57" s="109">
        <v>-10090.870000000003</v>
      </c>
    </row>
    <row r="58" spans="2:12" ht="15" x14ac:dyDescent="0.25">
      <c r="B58" s="114" t="s">
        <v>70</v>
      </c>
      <c r="C58" s="121">
        <v>217949.56</v>
      </c>
      <c r="D58" s="121">
        <v>84782.39</v>
      </c>
      <c r="E58" s="121">
        <v>56100.22</v>
      </c>
      <c r="F58" s="100">
        <f t="shared" si="3"/>
        <v>-28682.17</v>
      </c>
      <c r="H58" s="122" t="s">
        <v>75</v>
      </c>
      <c r="I58" s="123">
        <v>1108272.4099999999</v>
      </c>
      <c r="J58" s="123">
        <v>431117.95</v>
      </c>
      <c r="K58" s="123">
        <v>285269.32</v>
      </c>
      <c r="L58" s="109">
        <v>-145848.63</v>
      </c>
    </row>
    <row r="59" spans="2:12" ht="15" x14ac:dyDescent="0.25">
      <c r="B59" s="114" t="s">
        <v>102</v>
      </c>
      <c r="C59" s="121">
        <v>-3043316.17</v>
      </c>
      <c r="D59" s="121">
        <v>-1183849.99</v>
      </c>
      <c r="E59" s="121">
        <v>-783349.59</v>
      </c>
      <c r="F59" s="100">
        <f t="shared" si="3"/>
        <v>400500.4</v>
      </c>
      <c r="H59" s="122" t="s">
        <v>76</v>
      </c>
      <c r="I59" s="127">
        <v>784371.05</v>
      </c>
      <c r="J59" s="127">
        <v>305120.34000000003</v>
      </c>
      <c r="K59" s="127">
        <v>201897.1</v>
      </c>
      <c r="L59" s="128">
        <v>-103223.24000000002</v>
      </c>
    </row>
    <row r="60" spans="2:12" ht="15" x14ac:dyDescent="0.25">
      <c r="B60" s="114" t="s">
        <v>71</v>
      </c>
      <c r="C60" s="121">
        <v>-1364049.2</v>
      </c>
      <c r="D60" s="121">
        <v>-530615.13</v>
      </c>
      <c r="E60" s="121">
        <v>-351106.26</v>
      </c>
      <c r="F60" s="100">
        <f t="shared" si="3"/>
        <v>179508.87</v>
      </c>
      <c r="H60" s="119"/>
      <c r="I60" s="117">
        <f>SUM(I39:I59)</f>
        <v>-19051350.43</v>
      </c>
      <c r="J60" s="117">
        <f>SUM(J39:J59)</f>
        <v>-7373023.0599999987</v>
      </c>
      <c r="K60" s="117">
        <f>SUM(K39:K59)</f>
        <v>-4857691.0300000031</v>
      </c>
      <c r="L60" s="117">
        <f>SUM(L39:L59)</f>
        <v>2515332.0299999998</v>
      </c>
    </row>
    <row r="61" spans="2:12" ht="15" x14ac:dyDescent="0.25">
      <c r="B61" s="114" t="s">
        <v>103</v>
      </c>
      <c r="C61" s="121">
        <v>722645.86</v>
      </c>
      <c r="D61" s="121">
        <v>281109.24</v>
      </c>
      <c r="E61" s="121">
        <v>186009.04</v>
      </c>
      <c r="F61" s="100">
        <f t="shared" si="3"/>
        <v>-95100.199999999983</v>
      </c>
      <c r="K61" t="s">
        <v>150</v>
      </c>
      <c r="L61" s="176"/>
    </row>
    <row r="62" spans="2:12" ht="15" x14ac:dyDescent="0.25">
      <c r="B62" s="114" t="s">
        <v>72</v>
      </c>
      <c r="C62" s="121">
        <v>-1651857.7</v>
      </c>
      <c r="D62" s="121">
        <v>-642572.67000000004</v>
      </c>
      <c r="E62" s="121">
        <v>-425188.18</v>
      </c>
      <c r="F62" s="100">
        <f t="shared" si="3"/>
        <v>217384.49000000005</v>
      </c>
      <c r="K62" t="s">
        <v>151</v>
      </c>
      <c r="L62" s="177">
        <f>SUM(L60:L61)</f>
        <v>2515332.0299999998</v>
      </c>
    </row>
    <row r="63" spans="2:12" ht="15" x14ac:dyDescent="0.25">
      <c r="B63" s="114" t="s">
        <v>104</v>
      </c>
      <c r="C63" s="121">
        <v>-753305.95</v>
      </c>
      <c r="D63" s="121">
        <v>-293036.01</v>
      </c>
      <c r="E63" s="121">
        <v>-193900.96</v>
      </c>
      <c r="F63" s="100">
        <f t="shared" si="3"/>
        <v>99135.050000000017</v>
      </c>
      <c r="K63" t="s">
        <v>152</v>
      </c>
      <c r="L63" s="178">
        <f>L62/5</f>
        <v>503066.40599999996</v>
      </c>
    </row>
    <row r="64" spans="2:12" ht="15" x14ac:dyDescent="0.25">
      <c r="B64" s="114" t="s">
        <v>73</v>
      </c>
      <c r="C64" s="121">
        <v>2425585.15</v>
      </c>
      <c r="D64" s="121">
        <v>848954.8</v>
      </c>
      <c r="E64" s="121">
        <v>509372.88</v>
      </c>
      <c r="F64" s="100">
        <f t="shared" si="3"/>
        <v>-339581.92000000004</v>
      </c>
      <c r="K64" t="s">
        <v>153</v>
      </c>
      <c r="L64" s="178">
        <f>L63/12*16</f>
        <v>670755.20799999998</v>
      </c>
    </row>
    <row r="65" spans="2:12" ht="15" x14ac:dyDescent="0.25">
      <c r="B65" s="114" t="s">
        <v>105</v>
      </c>
      <c r="C65" s="121">
        <v>-15864975.84</v>
      </c>
      <c r="D65" s="121">
        <v>-6171475.6200000001</v>
      </c>
      <c r="E65" s="121">
        <v>-4083644.79</v>
      </c>
      <c r="F65" s="100">
        <f t="shared" si="3"/>
        <v>2087830.83</v>
      </c>
      <c r="K65" t="s">
        <v>154</v>
      </c>
      <c r="L65" s="177">
        <f>L64-E23</f>
        <v>1.0477378964424133E-9</v>
      </c>
    </row>
    <row r="66" spans="2:12" ht="15" x14ac:dyDescent="0.25">
      <c r="B66" s="114" t="s">
        <v>106</v>
      </c>
      <c r="C66" s="121">
        <v>-796573</v>
      </c>
      <c r="D66" s="121">
        <v>-309866.90999999997</v>
      </c>
      <c r="E66" s="121">
        <v>-205037.89</v>
      </c>
      <c r="F66" s="100">
        <f t="shared" si="3"/>
        <v>104829.01999999996</v>
      </c>
    </row>
    <row r="67" spans="2:12" ht="15" x14ac:dyDescent="0.25">
      <c r="B67" s="114" t="s">
        <v>74</v>
      </c>
      <c r="C67" s="121">
        <v>306713.46000000002</v>
      </c>
      <c r="D67" s="121">
        <v>119311.54</v>
      </c>
      <c r="E67" s="121">
        <v>78948.05</v>
      </c>
      <c r="F67" s="100">
        <f t="shared" si="3"/>
        <v>-40363.489999999991</v>
      </c>
    </row>
    <row r="68" spans="2:12" ht="15" x14ac:dyDescent="0.25">
      <c r="B68" s="114" t="s">
        <v>75</v>
      </c>
      <c r="C68" s="121">
        <v>3498538.63</v>
      </c>
      <c r="D68" s="121">
        <v>1360931.53</v>
      </c>
      <c r="E68" s="121">
        <v>900523.84</v>
      </c>
      <c r="F68" s="100">
        <f t="shared" si="3"/>
        <v>-460407.69000000006</v>
      </c>
    </row>
    <row r="69" spans="2:12" ht="15" x14ac:dyDescent="0.25">
      <c r="B69" s="114" t="s">
        <v>76</v>
      </c>
      <c r="C69" s="129">
        <v>2536583.1800000002</v>
      </c>
      <c r="D69" s="129">
        <v>986730.83</v>
      </c>
      <c r="E69" s="129">
        <v>652916.51</v>
      </c>
      <c r="F69" s="130">
        <f t="shared" si="3"/>
        <v>-333814.31999999995</v>
      </c>
    </row>
    <row r="70" spans="2:12" x14ac:dyDescent="0.2">
      <c r="B70" s="118"/>
      <c r="C70" s="94">
        <f>SUM(C39:C69)</f>
        <v>-147508597.62999994</v>
      </c>
      <c r="D70" s="94">
        <f>SUM(D39:D69)</f>
        <v>-57509650.309999995</v>
      </c>
      <c r="E70" s="94">
        <f>SUM(E39:E69)</f>
        <v>-38125261.599999994</v>
      </c>
      <c r="F70" s="94">
        <f>SUM(F39:F69)</f>
        <v>19384388.709999997</v>
      </c>
    </row>
  </sheetData>
  <mergeCells count="6">
    <mergeCell ref="C4:J4"/>
    <mergeCell ref="D5:G5"/>
    <mergeCell ref="H5:J5"/>
    <mergeCell ref="C11:J11"/>
    <mergeCell ref="D12:G12"/>
    <mergeCell ref="H12:J12"/>
  </mergeCells>
  <pageMargins left="0.7" right="0.7" top="0.75" bottom="0.75" header="0.3" footer="0.3"/>
  <pageSetup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2018</Year>
    <Review_x0020_Case_x0020_Doc_x0020_Types xmlns="65bfb563-8fe2-4d34-a09f-38a217d8feea">04 - Supplemental Data Request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LGE</Value>
    </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65E7599FF547971B22BAED25D99A" ma:contentTypeVersion="22" ma:contentTypeDescription="Create a new document." ma:contentTypeScope="" ma:versionID="b174c1499cc8f9bb7711ff0e46de0e04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151a8680e131b47c3a0a7c4e678ac3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8" ma:format="Dropdown" ma:internalName="Year">
      <xsd:simpleType>
        <xsd:restriction base="dms:Choice">
          <xsd:enumeration value="2018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Supplemental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estimony Only"/>
          <xsd:enumeration value="13 - Intervenor Testimony"/>
          <xsd:enumeration value="14 - Rebuttal Testimon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3BADF1-4DC6-4139-B44F-02145C4A7004}">
  <ds:schemaRefs>
    <ds:schemaRef ds:uri="65bfb563-8fe2-4d34-a09f-38a217d8feea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2ad705b9-adad-42ba-803b-2580de5ca47a"/>
    <ds:schemaRef ds:uri="f789fa03-9022-4931-acb2-79f11ac92ed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4D9EBFF-427B-45A6-BF65-878AEE193F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016C28-AFE7-4580-9C1A-5D00C062A6AD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PSC-3-8</vt:lpstr>
      <vt:lpstr>IMPORT&gt;&gt;&gt;</vt:lpstr>
      <vt:lpstr>Effective Tax Rate</vt:lpstr>
      <vt:lpstr>LGE Composite Tax Rate</vt:lpstr>
      <vt:lpstr>TY TARIFF BILLING</vt:lpstr>
      <vt:lpstr>TY BILLING</vt:lpstr>
      <vt:lpstr>Excess DIT (Unprot 15yr)</vt:lpstr>
      <vt:lpstr>Excess DIT (Unprot 5yr)</vt:lpstr>
      <vt:lpstr>'PSC-3-8'!Print_Area</vt:lpstr>
      <vt:lpstr>'TY BILLING'!Print_Area</vt:lpstr>
      <vt:lpstr>'TY TARIFF BILLING'!Print_Area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2014-12-04T19:33:26Z</dcterms:created>
  <dcterms:modified xsi:type="dcterms:W3CDTF">2018-04-18T18:35:52Z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0x010100DF8A65E7599FF547971B22BAED25D99A</vt:lpwstr>
  </property>
</Properties>
</file>