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/>
  </bookViews>
  <sheets>
    <sheet name="PSC-3-8" sheetId="46" r:id="rId1"/>
    <sheet name="SUPPORT&gt;&gt;&gt;" sheetId="7" r:id="rId2"/>
    <sheet name="Effective Tax Rate" sheetId="31" r:id="rId3"/>
    <sheet name="LGE Composite Tax Rate" sheetId="47" r:id="rId4"/>
    <sheet name="TY TARIFF BILLING" sheetId="44" r:id="rId5"/>
    <sheet name="TY KWH-RS vs Non-RS" sheetId="43" r:id="rId6"/>
    <sheet name="Excess DIT (Unprot 15yr)" sheetId="38" r:id="rId7"/>
    <sheet name="Excess DIT (Unprot 5yr)" sheetId="45" r:id="rId8"/>
  </sheets>
  <externalReferences>
    <externalReference r:id="rId9"/>
  </externalReferences>
  <definedNames>
    <definedName name="\\" localSheetId="7" hidden="1">#REF!</definedName>
    <definedName name="\\" localSheetId="3" hidden="1">#REF!</definedName>
    <definedName name="\\" localSheetId="0" hidden="1">#REF!</definedName>
    <definedName name="\\" hidden="1">#REF!</definedName>
    <definedName name="\\\" localSheetId="7" hidden="1">#REF!</definedName>
    <definedName name="\\\" localSheetId="3" hidden="1">#REF!</definedName>
    <definedName name="\\\" localSheetId="0" hidden="1">#REF!</definedName>
    <definedName name="\\\" hidden="1">#REF!</definedName>
    <definedName name="\\\\" localSheetId="7" hidden="1">#REF!</definedName>
    <definedName name="\\\\" localSheetId="3" hidden="1">#REF!</definedName>
    <definedName name="\\\\" localSheetId="0" hidden="1">#REF!</definedName>
    <definedName name="\\\\" hidden="1">#REF!</definedName>
    <definedName name="__123Graph_1" localSheetId="7" hidden="1">#REF!</definedName>
    <definedName name="__123Graph_1" localSheetId="3" hidden="1">#REF!</definedName>
    <definedName name="__123Graph_1" localSheetId="0" hidden="1">#REF!</definedName>
    <definedName name="__123Graph_1" hidden="1">#REF!</definedName>
    <definedName name="__123Graph_2" localSheetId="7" hidden="1">#REF!</definedName>
    <definedName name="__123Graph_2" localSheetId="3" hidden="1">#REF!</definedName>
    <definedName name="__123Graph_2" localSheetId="0" hidden="1">#REF!</definedName>
    <definedName name="__123Graph_2" hidden="1">#REF!</definedName>
    <definedName name="__123Graph_3" localSheetId="7" hidden="1">#REF!</definedName>
    <definedName name="__123Graph_3" localSheetId="3" hidden="1">#REF!</definedName>
    <definedName name="__123Graph_3" localSheetId="0" hidden="1">#REF!</definedName>
    <definedName name="__123Graph_3" hidden="1">#REF!</definedName>
    <definedName name="__123Graph_4" localSheetId="7" hidden="1">#REF!</definedName>
    <definedName name="__123Graph_4" localSheetId="3" hidden="1">#REF!</definedName>
    <definedName name="__123Graph_4" localSheetId="0" hidden="1">#REF!</definedName>
    <definedName name="__123Graph_4" hidden="1">#REF!</definedName>
    <definedName name="__123Graph_5" localSheetId="7" hidden="1">#REF!</definedName>
    <definedName name="__123Graph_5" localSheetId="3" hidden="1">#REF!</definedName>
    <definedName name="__123Graph_5" localSheetId="0" hidden="1">#REF!</definedName>
    <definedName name="__123Graph_5" hidden="1">#REF!</definedName>
    <definedName name="__123Graph_6" localSheetId="7" hidden="1">#REF!</definedName>
    <definedName name="__123Graph_6" localSheetId="3" hidden="1">#REF!</definedName>
    <definedName name="__123Graph_6" localSheetId="0" hidden="1">#REF!</definedName>
    <definedName name="__123Graph_6" hidden="1">#REF!</definedName>
    <definedName name="__123Graph_8" localSheetId="7" hidden="1">#REF!</definedName>
    <definedName name="__123Graph_8" localSheetId="3" hidden="1">#REF!</definedName>
    <definedName name="__123Graph_8" localSheetId="0" hidden="1">#REF!</definedName>
    <definedName name="__123Graph_8" hidden="1">#REF!</definedName>
    <definedName name="__123Graph_A" localSheetId="7" hidden="1">#REF!</definedName>
    <definedName name="__123Graph_A" localSheetId="3" hidden="1">#REF!</definedName>
    <definedName name="__123Graph_A" localSheetId="0" hidden="1">#REF!</definedName>
    <definedName name="__123Graph_A" hidden="1">#REF!</definedName>
    <definedName name="__123Graph_B" localSheetId="7" hidden="1">#REF!</definedName>
    <definedName name="__123Graph_B" localSheetId="3" hidden="1">#REF!</definedName>
    <definedName name="__123Graph_B" localSheetId="0" hidden="1">#REF!</definedName>
    <definedName name="__123Graph_B" hidden="1">#REF!</definedName>
    <definedName name="__123Graph_C" localSheetId="7" hidden="1">#REF!</definedName>
    <definedName name="__123Graph_C" localSheetId="3" hidden="1">#REF!</definedName>
    <definedName name="__123Graph_C" localSheetId="0" hidden="1">#REF!</definedName>
    <definedName name="__123Graph_C" hidden="1">#REF!</definedName>
    <definedName name="__123Graph_D" localSheetId="7" hidden="1">#REF!</definedName>
    <definedName name="__123Graph_D" localSheetId="3" hidden="1">#REF!</definedName>
    <definedName name="__123Graph_D" localSheetId="0" hidden="1">#REF!</definedName>
    <definedName name="__123Graph_D" hidden="1">#REF!</definedName>
    <definedName name="__123Graph_E" localSheetId="7" hidden="1">#REF!</definedName>
    <definedName name="__123Graph_E" localSheetId="3" hidden="1">#REF!</definedName>
    <definedName name="__123Graph_E" localSheetId="0" hidden="1">#REF!</definedName>
    <definedName name="__123Graph_E" hidden="1">#REF!</definedName>
    <definedName name="__123Graph_F" localSheetId="7" hidden="1">#REF!</definedName>
    <definedName name="__123Graph_F" localSheetId="3" hidden="1">#REF!</definedName>
    <definedName name="__123Graph_F" localSheetId="0" hidden="1">#REF!</definedName>
    <definedName name="__123Graph_F" hidden="1">#REF!</definedName>
    <definedName name="__123Graph_X" localSheetId="7" hidden="1">#REF!</definedName>
    <definedName name="__123Graph_X" localSheetId="3" hidden="1">#REF!</definedName>
    <definedName name="__123Graph_X" localSheetId="0" hidden="1">#REF!</definedName>
    <definedName name="__123Graph_X" hidden="1">#REF!</definedName>
    <definedName name="_Fill" localSheetId="7" hidden="1">#REF!</definedName>
    <definedName name="_Fill" localSheetId="3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ahahahahaha" localSheetId="3" hidden="1">{"'Server Configuration'!$A$1:$DB$281"}</definedName>
    <definedName name="ahahahahaha" localSheetId="0" hidden="1">{"'Server Configuration'!$A$1:$DB$281"}</definedName>
    <definedName name="ahahahahaha" hidden="1">{"'Server Configuration'!$A$1:$DB$281"}</definedName>
    <definedName name="blip" localSheetId="3" hidden="1">{"'Server Configuration'!$A$1:$DB$281"}</definedName>
    <definedName name="blip" localSheetId="0" hidden="1">{"'Server Configuration'!$A$1:$DB$281"}</definedName>
    <definedName name="blip" hidden="1">{"'Server Configuration'!$A$1:$DB$281"}</definedName>
    <definedName name="BNE_MESSAGES_HIDDEN" hidden="1">#REF!</definedName>
    <definedName name="DolUnitFactor">[1]ListsValues!$M$29</definedName>
    <definedName name="HTML_CodePage" hidden="1">1252</definedName>
    <definedName name="HTML_Control" localSheetId="3" hidden="1">{"'Server Configuration'!$A$1:$DB$281"}</definedName>
    <definedName name="HTML_Control" localSheetId="0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0">'PSC-3-8'!$A$1:$E$141</definedName>
    <definedName name="_xlnm.Print_Area" localSheetId="4">'TY TARIFF BILLING'!$A$1:$H$34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C79" i="46" l="1"/>
  <c r="C61" i="46"/>
  <c r="D90" i="46"/>
  <c r="D83" i="46"/>
  <c r="D72" i="46"/>
  <c r="D65" i="46"/>
  <c r="C59" i="46"/>
  <c r="C63" i="46" l="1"/>
  <c r="C70" i="46" s="1"/>
  <c r="D18" i="47"/>
  <c r="D20" i="47" s="1"/>
  <c r="E20" i="47" s="1"/>
  <c r="E16" i="47"/>
  <c r="E14" i="47"/>
  <c r="E18" i="47" s="1"/>
  <c r="D119" i="46"/>
  <c r="D112" i="46"/>
  <c r="C106" i="46"/>
  <c r="D137" i="46"/>
  <c r="D130" i="46"/>
  <c r="D43" i="46"/>
  <c r="D36" i="46"/>
  <c r="D25" i="46"/>
  <c r="D18" i="46"/>
  <c r="C12" i="46"/>
  <c r="E22" i="47" l="1"/>
  <c r="E24" i="47" s="1"/>
  <c r="E26" i="47" s="1"/>
  <c r="E23" i="45"/>
  <c r="D23" i="45"/>
  <c r="C77" i="46" s="1"/>
  <c r="C81" i="46" s="1"/>
  <c r="C88" i="46" s="1"/>
  <c r="C124" i="46" l="1"/>
  <c r="C30" i="46"/>
  <c r="B126" i="46"/>
  <c r="B108" i="46"/>
  <c r="C126" i="46"/>
  <c r="C128" i="46" s="1"/>
  <c r="C108" i="46"/>
  <c r="C110" i="46" s="1"/>
  <c r="E70" i="45"/>
  <c r="D70" i="45"/>
  <c r="C70" i="45"/>
  <c r="F69" i="45"/>
  <c r="F68" i="45"/>
  <c r="F67" i="45"/>
  <c r="F66" i="45"/>
  <c r="F65" i="45"/>
  <c r="F64" i="45"/>
  <c r="F63" i="45"/>
  <c r="F62" i="45"/>
  <c r="F61" i="45"/>
  <c r="L60" i="45"/>
  <c r="K60" i="45"/>
  <c r="J60" i="45"/>
  <c r="I60" i="45"/>
  <c r="F60" i="45"/>
  <c r="F59" i="45"/>
  <c r="F58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71" i="45" s="1"/>
  <c r="F45" i="45"/>
  <c r="F44" i="45"/>
  <c r="F43" i="45"/>
  <c r="F42" i="45"/>
  <c r="F41" i="45"/>
  <c r="F40" i="45"/>
  <c r="F39" i="45"/>
  <c r="C30" i="45"/>
  <c r="C23" i="45"/>
  <c r="F22" i="45"/>
  <c r="F24" i="45" s="1"/>
  <c r="J16" i="45"/>
  <c r="I16" i="45"/>
  <c r="H16" i="45"/>
  <c r="F15" i="45"/>
  <c r="F16" i="45" s="1"/>
  <c r="D15" i="45"/>
  <c r="D16" i="45" s="1"/>
  <c r="J8" i="45"/>
  <c r="J9" i="45" s="1"/>
  <c r="I8" i="45"/>
  <c r="I9" i="45" s="1"/>
  <c r="H8" i="45"/>
  <c r="H9" i="45" s="1"/>
  <c r="F7" i="45"/>
  <c r="C29" i="45" s="1"/>
  <c r="D7" i="45"/>
  <c r="E14" i="45" s="1"/>
  <c r="C117" i="46" l="1"/>
  <c r="C135" i="46"/>
  <c r="F70" i="45"/>
  <c r="F72" i="45" s="1"/>
  <c r="F73" i="45" s="1"/>
  <c r="F74" i="45" s="1"/>
  <c r="F75" i="45" s="1"/>
  <c r="E8" i="45"/>
  <c r="F8" i="45"/>
  <c r="F9" i="45" s="1"/>
  <c r="G15" i="45"/>
  <c r="G14" i="45"/>
  <c r="C28" i="45"/>
  <c r="C31" i="45" s="1"/>
  <c r="C7" i="45"/>
  <c r="D8" i="45"/>
  <c r="D9" i="45" s="1"/>
  <c r="E15" i="45"/>
  <c r="F29" i="31"/>
  <c r="A29" i="31"/>
  <c r="F22" i="38"/>
  <c r="E9" i="45" l="1"/>
  <c r="C15" i="45"/>
  <c r="E16" i="45"/>
  <c r="D22" i="45" s="1"/>
  <c r="D24" i="45" s="1"/>
  <c r="C32" i="45"/>
  <c r="G16" i="45"/>
  <c r="E22" i="45" s="1"/>
  <c r="E24" i="45" s="1"/>
  <c r="G8" i="45"/>
  <c r="G9" i="45" s="1"/>
  <c r="C14" i="45"/>
  <c r="C16" i="45" s="1"/>
  <c r="C8" i="45" l="1"/>
  <c r="C9" i="45" s="1"/>
  <c r="C22" i="45"/>
  <c r="C24" i="45" s="1"/>
  <c r="C17" i="45" l="1"/>
  <c r="G50" i="44" l="1"/>
  <c r="G49" i="44"/>
  <c r="G45" i="44"/>
  <c r="G44" i="44"/>
  <c r="G43" i="44"/>
  <c r="G42" i="44"/>
  <c r="G41" i="44"/>
  <c r="G40" i="44"/>
  <c r="G39" i="44"/>
  <c r="G38" i="44"/>
  <c r="G32" i="44"/>
  <c r="G31" i="44"/>
  <c r="G30" i="44"/>
  <c r="G29" i="44"/>
  <c r="G25" i="44"/>
  <c r="G23" i="44"/>
  <c r="G22" i="44"/>
  <c r="G21" i="44"/>
  <c r="G20" i="44"/>
  <c r="G19" i="44"/>
  <c r="G18" i="44"/>
  <c r="G16" i="44"/>
  <c r="G15" i="44"/>
  <c r="G14" i="44"/>
  <c r="G13" i="44"/>
  <c r="G12" i="44"/>
  <c r="G11" i="44"/>
  <c r="G9" i="44"/>
  <c r="G8" i="44"/>
  <c r="G7" i="44"/>
  <c r="G6" i="44"/>
  <c r="G5" i="44"/>
  <c r="D46" i="44"/>
  <c r="B46" i="44"/>
  <c r="B51" i="44" s="1"/>
  <c r="E45" i="44"/>
  <c r="E44" i="44"/>
  <c r="E43" i="44"/>
  <c r="E42" i="44"/>
  <c r="E41" i="44"/>
  <c r="E40" i="44"/>
  <c r="E39" i="44"/>
  <c r="E38" i="44"/>
  <c r="H36" i="44"/>
  <c r="E36" i="44"/>
  <c r="D36" i="44"/>
  <c r="B36" i="44"/>
  <c r="E30" i="44"/>
  <c r="E29" i="44"/>
  <c r="E25" i="44"/>
  <c r="B24" i="44"/>
  <c r="E24" i="44" s="1"/>
  <c r="E23" i="44"/>
  <c r="E22" i="44"/>
  <c r="E21" i="44"/>
  <c r="E20" i="44"/>
  <c r="E19" i="44"/>
  <c r="E18" i="44"/>
  <c r="D17" i="44"/>
  <c r="B17" i="44"/>
  <c r="E16" i="44"/>
  <c r="E15" i="44"/>
  <c r="E14" i="44"/>
  <c r="E13" i="44"/>
  <c r="E12" i="44"/>
  <c r="E11" i="44"/>
  <c r="D10" i="44"/>
  <c r="B10" i="44"/>
  <c r="E9" i="44"/>
  <c r="E8" i="44"/>
  <c r="E7" i="44"/>
  <c r="J6" i="44"/>
  <c r="E6" i="44"/>
  <c r="J5" i="44"/>
  <c r="E5" i="44"/>
  <c r="G10" i="44" l="1"/>
  <c r="G17" i="44"/>
  <c r="G46" i="44"/>
  <c r="H44" i="44" s="1"/>
  <c r="G24" i="44"/>
  <c r="G26" i="44" s="1"/>
  <c r="J7" i="44"/>
  <c r="E32" i="44"/>
  <c r="E17" i="44"/>
  <c r="E46" i="44"/>
  <c r="D51" i="44"/>
  <c r="E51" i="44" s="1"/>
  <c r="D26" i="44"/>
  <c r="E49" i="44"/>
  <c r="B26" i="44"/>
  <c r="E31" i="44"/>
  <c r="E50" i="44"/>
  <c r="E10" i="44"/>
  <c r="H26" i="44" l="1"/>
  <c r="H23" i="44"/>
  <c r="H9" i="44"/>
  <c r="H7" i="44"/>
  <c r="H25" i="44"/>
  <c r="H10" i="44"/>
  <c r="G51" i="44"/>
  <c r="H46" i="44"/>
  <c r="H40" i="44"/>
  <c r="H38" i="44"/>
  <c r="H45" i="44"/>
  <c r="H43" i="44"/>
  <c r="H42" i="44"/>
  <c r="H41" i="44"/>
  <c r="H39" i="44"/>
  <c r="G33" i="44"/>
  <c r="H5" i="44"/>
  <c r="H17" i="44"/>
  <c r="H12" i="44"/>
  <c r="H11" i="44"/>
  <c r="H16" i="44"/>
  <c r="H14" i="44"/>
  <c r="H21" i="44"/>
  <c r="H20" i="44"/>
  <c r="H19" i="44"/>
  <c r="H24" i="44"/>
  <c r="H18" i="44"/>
  <c r="H13" i="44"/>
  <c r="H8" i="44"/>
  <c r="H22" i="44"/>
  <c r="H15" i="44"/>
  <c r="H6" i="44"/>
  <c r="D33" i="44"/>
  <c r="J26" i="44"/>
  <c r="K7" i="44" s="1"/>
  <c r="B33" i="44"/>
  <c r="E26" i="44"/>
  <c r="D81" i="46" l="1"/>
  <c r="D63" i="46"/>
  <c r="D110" i="46"/>
  <c r="D128" i="46"/>
  <c r="E33" i="44"/>
  <c r="D67" i="46" l="1"/>
  <c r="D70" i="46"/>
  <c r="D74" i="46" s="1"/>
  <c r="E63" i="46"/>
  <c r="E81" i="46"/>
  <c r="D85" i="46"/>
  <c r="D88" i="46"/>
  <c r="D92" i="46" s="1"/>
  <c r="E128" i="46"/>
  <c r="D135" i="46"/>
  <c r="D139" i="46" s="1"/>
  <c r="D132" i="46"/>
  <c r="D114" i="46"/>
  <c r="D117" i="46"/>
  <c r="D121" i="46" s="1"/>
  <c r="E110" i="46"/>
  <c r="B6" i="43"/>
  <c r="E72" i="46" l="1"/>
  <c r="E90" i="46"/>
  <c r="E83" i="46"/>
  <c r="E65" i="46"/>
  <c r="E67" i="46" s="1"/>
  <c r="E70" i="46"/>
  <c r="E74" i="46" s="1"/>
  <c r="E88" i="46"/>
  <c r="E92" i="46" s="1"/>
  <c r="E85" i="46"/>
  <c r="E130" i="46"/>
  <c r="E132" i="46" s="1"/>
  <c r="E18" i="46"/>
  <c r="E119" i="46"/>
  <c r="E137" i="46"/>
  <c r="E25" i="46"/>
  <c r="E112" i="46"/>
  <c r="E114" i="46" s="1"/>
  <c r="E36" i="46"/>
  <c r="E43" i="46"/>
  <c r="E117" i="46"/>
  <c r="E135" i="46"/>
  <c r="B7" i="43"/>
  <c r="C90" i="46" l="1"/>
  <c r="C92" i="46" s="1"/>
  <c r="C72" i="46"/>
  <c r="C74" i="46" s="1"/>
  <c r="E139" i="46"/>
  <c r="E121" i="46"/>
  <c r="C6" i="43"/>
  <c r="C137" i="46"/>
  <c r="C139" i="46" s="1"/>
  <c r="C119" i="46"/>
  <c r="C121" i="46" s="1"/>
  <c r="C43" i="46"/>
  <c r="C25" i="46"/>
  <c r="C5" i="43"/>
  <c r="C7" i="43" s="1"/>
  <c r="E7" i="43"/>
  <c r="E70" i="38" l="1"/>
  <c r="D70" i="38"/>
  <c r="C70" i="38"/>
  <c r="F69" i="38"/>
  <c r="F68" i="38"/>
  <c r="F67" i="38"/>
  <c r="F66" i="38"/>
  <c r="F65" i="38"/>
  <c r="F64" i="38"/>
  <c r="F63" i="38"/>
  <c r="F62" i="38"/>
  <c r="F61" i="38"/>
  <c r="L60" i="38"/>
  <c r="K60" i="38"/>
  <c r="J60" i="38"/>
  <c r="I60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C30" i="38"/>
  <c r="J16" i="38"/>
  <c r="I16" i="38"/>
  <c r="H16" i="38"/>
  <c r="F15" i="38"/>
  <c r="F16" i="38" s="1"/>
  <c r="D15" i="38"/>
  <c r="D16" i="38" s="1"/>
  <c r="J8" i="38"/>
  <c r="J9" i="38" s="1"/>
  <c r="I8" i="38"/>
  <c r="I9" i="38" s="1"/>
  <c r="H8" i="38"/>
  <c r="H9" i="38" s="1"/>
  <c r="F7" i="38"/>
  <c r="F8" i="38" s="1"/>
  <c r="D7" i="38"/>
  <c r="C28" i="38" s="1"/>
  <c r="C29" i="38" l="1"/>
  <c r="C31" i="38" s="1"/>
  <c r="D8" i="38"/>
  <c r="D9" i="38" s="1"/>
  <c r="E14" i="38"/>
  <c r="F24" i="38"/>
  <c r="C7" i="38"/>
  <c r="G14" i="38"/>
  <c r="G8" i="38" s="1"/>
  <c r="F70" i="38"/>
  <c r="F9" i="38"/>
  <c r="E15" i="38"/>
  <c r="G15" i="38"/>
  <c r="C14" i="38" l="1"/>
  <c r="C8" i="38" s="1"/>
  <c r="G9" i="38"/>
  <c r="G16" i="38"/>
  <c r="E16" i="38"/>
  <c r="C32" i="38"/>
  <c r="E8" i="38"/>
  <c r="E9" i="38" s="1"/>
  <c r="C15" i="38"/>
  <c r="C23" i="38"/>
  <c r="C16" i="38" l="1"/>
  <c r="D22" i="38"/>
  <c r="E22" i="38"/>
  <c r="E24" i="38" s="1"/>
  <c r="C9" i="38"/>
  <c r="D24" i="38" l="1"/>
  <c r="C22" i="38"/>
  <c r="C24" i="38" l="1"/>
  <c r="C17" i="38"/>
  <c r="F31" i="31"/>
  <c r="F35" i="31" s="1"/>
  <c r="F11" i="31" s="1"/>
  <c r="A17" i="31"/>
  <c r="F13" i="31" l="1"/>
  <c r="F17" i="31" l="1"/>
  <c r="F19" i="31" s="1"/>
  <c r="F21" i="31" s="1"/>
  <c r="F23" i="31" s="1"/>
  <c r="C32" i="46" l="1"/>
  <c r="C34" i="46" s="1"/>
  <c r="C14" i="46"/>
  <c r="C16" i="46" s="1"/>
  <c r="B32" i="46"/>
  <c r="B14" i="46"/>
  <c r="C23" i="46" l="1"/>
  <c r="C27" i="46" s="1"/>
  <c r="D16" i="46"/>
  <c r="E16" i="46" s="1"/>
  <c r="D34" i="46"/>
  <c r="C41" i="46"/>
  <c r="C45" i="46" s="1"/>
  <c r="E34" i="46" l="1"/>
  <c r="D41" i="46"/>
  <c r="D45" i="46" s="1"/>
  <c r="D38" i="46"/>
  <c r="E20" i="46"/>
  <c r="E23" i="46"/>
  <c r="E27" i="46" s="1"/>
  <c r="D20" i="46"/>
  <c r="D23" i="46"/>
  <c r="D27" i="46" s="1"/>
  <c r="E41" i="46" l="1"/>
  <c r="E45" i="46" s="1"/>
  <c r="E38" i="46"/>
</calcChain>
</file>

<file path=xl/sharedStrings.xml><?xml version="1.0" encoding="utf-8"?>
<sst xmlns="http://schemas.openxmlformats.org/spreadsheetml/2006/main" count="435" uniqueCount="198">
  <si>
    <t>DESCRIPTION</t>
  </si>
  <si>
    <t>STATE</t>
  </si>
  <si>
    <t>LINE NO.</t>
  </si>
  <si>
    <t>$</t>
  </si>
  <si>
    <t>FEDERAL</t>
  </si>
  <si>
    <t>OPERATING REVENUE</t>
  </si>
  <si>
    <t>LESS: UNCOLLECTIBLE ACCOUNTS EXPENSE</t>
  </si>
  <si>
    <t>LESS: PSC FEES</t>
  </si>
  <si>
    <t>Calculation of Composite Federal and Kentucky</t>
  </si>
  <si>
    <t>Income Tax Rate</t>
  </si>
  <si>
    <t>(Based on Law in Effect January 1, 2018)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</si>
  <si>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</si>
  <si>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</si>
  <si>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</si>
  <si>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</si>
  <si>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</si>
  <si>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>5.  Taxable income for Federal income tax (Line 3 - Line 4)</t>
  </si>
  <si>
    <t>6.  Federal income tax at 21% (Line 5 x 21%)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</si>
  <si>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</si>
  <si>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</si>
  <si>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</si>
  <si>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</si>
  <si>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</si>
  <si>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Excess Deferred Tax Forecast</t>
  </si>
  <si>
    <t>Reg Liab before Gross Up</t>
  </si>
  <si>
    <t>Excess Deferred Amortization</t>
  </si>
  <si>
    <t>Total</t>
  </si>
  <si>
    <t>Electric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</si>
  <si>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</si>
  <si>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</si>
  <si>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</si>
  <si>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</si>
  <si>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</si>
  <si>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</si>
  <si>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</si>
  <si>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</si>
  <si>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</si>
  <si>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ELECTRIC</t>
  </si>
  <si>
    <t>Test Year Total</t>
  </si>
  <si>
    <t>Sch M-2.3/
Sch M-2.2 Totals</t>
  </si>
  <si>
    <t>Difference</t>
  </si>
  <si>
    <t>LOUISVILLE GAS AND ELECTRIC COMPANY</t>
  </si>
  <si>
    <t>NOL - ELECTRIC</t>
  </si>
  <si>
    <t>Gas</t>
  </si>
  <si>
    <t>4 Months 2019</t>
  </si>
  <si>
    <t>Louisville Gas &amp; Electric</t>
  </si>
  <si>
    <t>GAS</t>
  </si>
  <si>
    <t xml:space="preserve">     c. Allocated Production Rate</t>
  </si>
  <si>
    <t>Louisville Gas and Electric Company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</si>
  <si>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</si>
  <si>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</si>
  <si>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</si>
  <si>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</si>
  <si>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</si>
  <si>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</si>
  <si>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</si>
  <si>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</si>
  <si>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2011 Summer Storm Damages</t>
  </si>
  <si>
    <t>African American Venture Fund</t>
  </si>
  <si>
    <t>Amortization Loss on Reacquired Debt</t>
  </si>
  <si>
    <t>Bad Debts Reserves</t>
  </si>
  <si>
    <t>CAFC</t>
  </si>
  <si>
    <t>CCR ARO Ponds</t>
  </si>
  <si>
    <t>CMRG Regulatory Asset</t>
  </si>
  <si>
    <t>Contingency Reserve</t>
  </si>
  <si>
    <t>Demand Side Management</t>
  </si>
  <si>
    <t>Emission Allowances</t>
  </si>
  <si>
    <t>Environmental Cost Recovery - Current</t>
  </si>
  <si>
    <t>FAC Under Recovery KY - Current</t>
  </si>
  <si>
    <t>FAS 106 Cost Write-Off (Post Retirement)</t>
  </si>
  <si>
    <t>FAS 112 Cost Write-Off (Post Employment)</t>
  </si>
  <si>
    <t>FAS 87 Pensions</t>
  </si>
  <si>
    <t>Interest Rate Swaps</t>
  </si>
  <si>
    <t>Off-System Sales Tracker - Reg Liab</t>
  </si>
  <si>
    <t>Performance Incentive</t>
  </si>
  <si>
    <t xml:space="preserve">Plant Outage Normalization - Reg Asset </t>
  </si>
  <si>
    <t>Prepaid Insurance</t>
  </si>
  <si>
    <t>Refined Coal - KY - Reg Liab</t>
  </si>
  <si>
    <t>Regulatory Expenses</t>
  </si>
  <si>
    <t>Research Dev. &amp; Demo Exp.</t>
  </si>
  <si>
    <t>State Tax Current</t>
  </si>
  <si>
    <t>Swap Termination</t>
  </si>
  <si>
    <t>Tenant Incentive Amortization</t>
  </si>
  <si>
    <t>Unclaimed Checks</t>
  </si>
  <si>
    <t>Vacation Pay</t>
  </si>
  <si>
    <t>Workers Compensation</t>
  </si>
  <si>
    <t>ENERGY BILLING UNITS (TY KWH / 12 MO x 13 MO)</t>
  </si>
  <si>
    <t>AMORTIZATION OF EXCESS ADIT (UNPROTECTED) - (SL OVER 15 YEARS)</t>
  </si>
  <si>
    <t>BASE RATES</t>
  </si>
  <si>
    <t>MECHANISMS</t>
  </si>
  <si>
    <t>NOL - GAS</t>
  </si>
  <si>
    <t>GLT</t>
  </si>
  <si>
    <t>DSM</t>
  </si>
  <si>
    <t>16 Month Period</t>
  </si>
  <si>
    <t>Protected Deferreds under ARAM</t>
  </si>
  <si>
    <t>Electric - Base</t>
  </si>
  <si>
    <t>Gas - Base</t>
  </si>
  <si>
    <t>Mechanisms</t>
  </si>
  <si>
    <t>Capitalized Gas Inventory Costs</t>
  </si>
  <si>
    <t>Gas Line Tracker Reg Liab - Current</t>
  </si>
  <si>
    <t>Line Pack - IRS Audit</t>
  </si>
  <si>
    <t>Purchased Gas Adjustment - Current</t>
  </si>
  <si>
    <t>RATE PER MONTH CALCULATIONS:</t>
  </si>
  <si>
    <t>TOTAL MONTHLY REDUCTION IN REVENUE REQUIREMENTS (11 / 16 MO)</t>
  </si>
  <si>
    <t>ENERGY BILLING UNITS PER MONTH (TY KWH / 12 MO)</t>
  </si>
  <si>
    <t>% of Total</t>
  </si>
  <si>
    <t>Based on Rates per June 29, 2017 Order</t>
  </si>
  <si>
    <t>Rates RS, RTOD-D, RTOD-E</t>
  </si>
  <si>
    <t>All Other Rates</t>
  </si>
  <si>
    <t>Total kWh</t>
  </si>
  <si>
    <t>PAGE 6 OF 6</t>
  </si>
  <si>
    <t>Per PSC Order (6/29/17)</t>
  </si>
  <si>
    <t>Forecasted Test Year Revenues</t>
  </si>
  <si>
    <t>Increase</t>
  </si>
  <si>
    <t>Percentage Increase</t>
  </si>
  <si>
    <t>Percentage Change</t>
  </si>
  <si>
    <t>Tariffed Revenues:</t>
  </si>
  <si>
    <t>Residential Service - RS</t>
  </si>
  <si>
    <t>Residential Time-of-Day Rate - RTOD</t>
  </si>
  <si>
    <t>General Service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</si>
  <si>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</si>
  <si>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</si>
  <si>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</si>
  <si>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</si>
  <si>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</si>
  <si>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</si>
  <si>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</si>
  <si>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 - RTS</t>
  </si>
  <si>
    <t>Curtailable Service Rider - TODP</t>
  </si>
  <si>
    <t>Curtailable Service Riders</t>
  </si>
  <si>
    <t>Special Contract -- Customer #1 (FK)</t>
  </si>
  <si>
    <t>Special Contract -- Customer #2 (LWC)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</si>
  <si>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</si>
  <si>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</si>
  <si>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</si>
  <si>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</si>
  <si>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</si>
  <si>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</si>
  <si>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</si>
  <si>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</si>
  <si>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</si>
  <si>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</si>
  <si>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</si>
  <si>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</si>
  <si>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Sales</t>
  </si>
  <si>
    <t>Residential Gas Service - RGS</t>
  </si>
  <si>
    <t>Commercial Gas Service - Rate CGS</t>
  </si>
  <si>
    <t>Industrial Gas Service - Rate IGS</t>
  </si>
  <si>
    <t>Distributed Generation Gas Service - Rate DGGS</t>
  </si>
  <si>
    <t>As-Available Gas Service - Rate AAGS</t>
  </si>
  <si>
    <t>Firm Transportation Service (Non-Standby) - Rate FT</t>
  </si>
  <si>
    <t>Special Contract - Intra-Company Sales</t>
  </si>
  <si>
    <t>Substitute Gas Sales Service - Rate SGSS</t>
  </si>
  <si>
    <t>Total Ultimate Consumers and Intra-Company</t>
  </si>
  <si>
    <t>Forecasted Test Year Data - per KPSC's June 29, 2017 Order</t>
  </si>
  <si>
    <t>RESIDENTIAL TARIFF            (41% OF TOTAL REVENUES)</t>
  </si>
  <si>
    <t>OTHER TARIFFS (59% OF TOTAL REVENUES)</t>
  </si>
  <si>
    <t>Total Revenues per Updated Final Order</t>
  </si>
  <si>
    <t>(15 year amort for unprotected - Base)</t>
  </si>
  <si>
    <t>EXHIBIT KWB-5</t>
  </si>
  <si>
    <t>CASE NO. 2018-00034</t>
  </si>
  <si>
    <t>MONTHLY ENERGY CREDIT PER KWH  (14 / 15)</t>
  </si>
  <si>
    <t>Less CCR</t>
  </si>
  <si>
    <t>Unprotected Base</t>
  </si>
  <si>
    <t>Yearly Amort (5 yr)</t>
  </si>
  <si>
    <t>16 Month Amort</t>
  </si>
  <si>
    <t>check digit</t>
  </si>
  <si>
    <t>ATTACHMENT TO RESPONSE TO PSC-3 QUESTION NO. 8</t>
  </si>
  <si>
    <t>METHOD: OFFER AND ACCEPTANCE OF SATISFACTION</t>
  </si>
  <si>
    <t>(2) SURCREDIT IMPACT</t>
  </si>
  <si>
    <t>(1)               REVENUE REQUIREMENT IMPACT</t>
  </si>
  <si>
    <t>15-YEAR AMORTIZATION PERIOD:</t>
  </si>
  <si>
    <t>TOTAL REDUCTION IN REVENUE REQUIREMENTS (LINE 1 x LINE 2)</t>
  </si>
  <si>
    <t>ENERGY CREDIT PER KWH (APRIL 1, 2018 - APRIL 30, 2019) (LINE 3 / LINE 4)</t>
  </si>
  <si>
    <t>TOTAL MONTHLY REDUCTION IN REVENUE REQUIREMENTS (LINE 3 / 16 MO)</t>
  </si>
  <si>
    <t>MONTHLY ENERGY CREDIT PER KWH  (LINE 6 / LINE 7)</t>
  </si>
  <si>
    <t>5-YEAR AMORTIZATION PERIOD:</t>
  </si>
  <si>
    <t>AMORTIZATION OF EXCESS ADIT (UNPROTECTED) - (SL OVER 5 YEARS)</t>
  </si>
  <si>
    <t>(1)</t>
  </si>
  <si>
    <t>Effective tax rate reflects 21% Federal and 6% State Income Tax rates.</t>
  </si>
  <si>
    <t>Effective tax rate reflects 21% Federal and 6% State Income Tax rates, and tax rate impacts of PSC Assessment and Uncollectible rates.</t>
  </si>
  <si>
    <t>UNPROTECTED EXCESS ADIT - ELECTRIC</t>
  </si>
  <si>
    <t>EXHIBIT KWB-3</t>
  </si>
  <si>
    <t>PAGE 5 OF 5</t>
  </si>
  <si>
    <t>COMPUTATION OF COMPOSITE FEDERAL AND STATE INCOME TAX RATE</t>
  </si>
  <si>
    <t>INCOME BEFORE STATE INCOME TAX (LINES 1 - 2 - 3)</t>
  </si>
  <si>
    <t>STATE INCOME TAX (LINE 4 X 6.00%)</t>
  </si>
  <si>
    <t>INCOME BEFORE FEDERAL INCOME TAX (LINES 4 - 5)</t>
  </si>
  <si>
    <t>FEDERAL INCOME TAX (LINE 6 X 21.00%)</t>
  </si>
  <si>
    <t>TOTAL STATE AND FEDERAL INCOME TAXES (LINES 5 + 7)</t>
  </si>
  <si>
    <t>PAGE 4 OF 9</t>
  </si>
  <si>
    <t>PAGE 6 OF 9</t>
  </si>
  <si>
    <t>PAGE 5 OF 9</t>
  </si>
  <si>
    <t>METHOD: COMMISSION'S MARCH 20, 2018 ORDER (PER ORDER)</t>
  </si>
  <si>
    <t>METHOD: COMMISSION'S MARCH 20, 2018 ORDER (PER COMPANY REVISION)</t>
  </si>
  <si>
    <t>GROSS-UP FACTOR (1)</t>
  </si>
  <si>
    <t>Appendix C, Line No. 13 calculated by dividing Line No. 15 by Line No. 12 (12,351,795 / 9,171,643).</t>
  </si>
  <si>
    <t>BASED ON 21% FEDERAL INCOME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</si>
</sst>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[$-409]mmm\-yy;@"/>
    <numFmt numFmtId="175" formatCode="_([$€-2]* #,##0.00_);_([$€-2]* \(#,##0.00\);_([$€-2]* &quot;-&quot;??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0_);\(0\)"/>
    <numFmt numFmtId="182" formatCode="0.000000%"/>
    <numFmt numFmtId="183" formatCode="&quot;$&quot;#,##0.00"/>
    <numFmt numFmtId="184" formatCode="###,000"/>
    <numFmt numFmtId="185" formatCode="#,##0.00\ &quot;DM&quot;;[Red]\-#,##0.00\ &quot;DM&quot;"/>
    <numFmt numFmtId="186" formatCode="#,##0.000_);\(#,##0.000\)"/>
    <numFmt numFmtId="187" formatCode="_(&quot;$&quot;* #,##0_);_(&quot;$&quot;* \(#,##0\);_(&quot;$&quot;* &quot;-&quot;??_);_(@_)"/>
    <numFmt numFmtId="188" formatCode="0.0000%"/>
    <numFmt numFmtId="189" formatCode="_(&quot;$&quot;* #,##0.0000_);_(&quot;$&quot;* \(#,##0.0000\);_(&quot;$&quot;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0.0%"/>
    <numFmt numFmtId="193" formatCode="0.00000000%"/>
    <numFmt numFmtId="194" formatCode="0.000000000%"/>
  </numFmts>
  <fonts count="1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Accounting"/>
      <sz val="13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0"/>
      <color rgb="FF000000"/>
      <name val="Arial"/>
      <family val="2"/>
    </font>
    <font>
      <b/>
      <u val="doubleAccounting"/>
      <sz val="10"/>
      <color rgb="FF000000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9847407452621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655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37" fontId="18" fillId="0" borderId="0"/>
    <xf numFmtId="0" fontId="11" fillId="15" borderId="0"/>
    <xf numFmtId="0" fontId="11" fillId="15" borderId="0"/>
    <xf numFmtId="165" fontId="11" fillId="0" borderId="0"/>
    <xf numFmtId="165" fontId="1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9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9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9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9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9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21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0" fontId="21" fillId="25" borderId="0" applyNumberFormat="0" applyBorder="0" applyAlignment="0" applyProtection="0"/>
    <xf numFmtId="166" fontId="22" fillId="17" borderId="0" applyNumberFormat="0" applyBorder="0" applyAlignment="0" applyProtection="0"/>
    <xf numFmtId="166" fontId="22" fillId="17" borderId="0" applyNumberFormat="0" applyBorder="0" applyAlignment="0" applyProtection="0"/>
    <xf numFmtId="166" fontId="22" fillId="17" borderId="0" applyNumberFormat="0" applyBorder="0" applyAlignment="0" applyProtection="0"/>
    <xf numFmtId="0" fontId="21" fillId="26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0" fontId="21" fillId="23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0" fontId="21" fillId="21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0" fontId="21" fillId="17" borderId="0" applyNumberFormat="0" applyBorder="0" applyAlignment="0" applyProtection="0"/>
    <xf numFmtId="166" fontId="22" fillId="20" borderId="0" applyNumberFormat="0" applyBorder="0" applyAlignment="0" applyProtection="0"/>
    <xf numFmtId="166" fontId="22" fillId="20" borderId="0" applyNumberFormat="0" applyBorder="0" applyAlignment="0" applyProtection="0"/>
    <xf numFmtId="166" fontId="22" fillId="20" borderId="0" applyNumberFormat="0" applyBorder="0" applyAlignment="0" applyProtection="0"/>
    <xf numFmtId="0" fontId="21" fillId="28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0" fontId="21" fillId="25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0" fontId="21" fillId="26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0" fontId="21" fillId="32" borderId="0" applyNumberFormat="0" applyBorder="0" applyAlignment="0" applyProtection="0"/>
    <xf numFmtId="166" fontId="22" fillId="32" borderId="0" applyNumberFormat="0" applyBorder="0" applyAlignment="0" applyProtection="0"/>
    <xf numFmtId="166" fontId="22" fillId="32" borderId="0" applyNumberFormat="0" applyBorder="0" applyAlignment="0" applyProtection="0"/>
    <xf numFmtId="166" fontId="22" fillId="32" borderId="0" applyNumberFormat="0" applyBorder="0" applyAlignment="0" applyProtection="0"/>
    <xf numFmtId="0" fontId="21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0" fontId="21" fillId="30" borderId="0" applyNumberFormat="0" applyBorder="0" applyAlignment="0" applyProtection="0"/>
    <xf numFmtId="166" fontId="22" fillId="25" borderId="0" applyNumberFormat="0" applyBorder="0" applyAlignment="0" applyProtection="0"/>
    <xf numFmtId="166" fontId="22" fillId="25" borderId="0" applyNumberFormat="0" applyBorder="0" applyAlignment="0" applyProtection="0"/>
    <xf numFmtId="166" fontId="22" fillId="25" borderId="0" applyNumberFormat="0" applyBorder="0" applyAlignment="0" applyProtection="0"/>
    <xf numFmtId="0" fontId="23" fillId="33" borderId="0" applyNumberFormat="0" applyBorder="0" applyAlignment="0" applyProtection="0"/>
    <xf numFmtId="166" fontId="24" fillId="23" borderId="0" applyNumberFormat="0" applyBorder="0" applyAlignment="0" applyProtection="0"/>
    <xf numFmtId="166" fontId="24" fillId="23" borderId="0" applyNumberFormat="0" applyBorder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7" fillId="36" borderId="9" applyNumberFormat="0" applyAlignment="0" applyProtection="0"/>
    <xf numFmtId="166" fontId="28" fillId="36" borderId="9" applyNumberFormat="0" applyAlignment="0" applyProtection="0"/>
    <xf numFmtId="166" fontId="28" fillId="36" borderId="9" applyNumberFormat="0" applyAlignment="0" applyProtection="0"/>
    <xf numFmtId="167" fontId="29" fillId="0" borderId="10" applyBorder="0">
      <alignment horizontal="center" vertical="center"/>
    </xf>
    <xf numFmtId="168" fontId="28" fillId="37" borderId="0">
      <alignment horizontal="left"/>
    </xf>
    <xf numFmtId="0" fontId="28" fillId="37" borderId="0">
      <alignment horizontal="left"/>
    </xf>
    <xf numFmtId="166" fontId="28" fillId="37" borderId="0">
      <alignment horizontal="left"/>
    </xf>
    <xf numFmtId="168" fontId="30" fillId="37" borderId="0">
      <alignment horizontal="right"/>
    </xf>
    <xf numFmtId="0" fontId="30" fillId="37" borderId="0">
      <alignment horizontal="right"/>
    </xf>
    <xf numFmtId="166" fontId="30" fillId="37" borderId="0">
      <alignment horizontal="right"/>
    </xf>
    <xf numFmtId="168" fontId="31" fillId="34" borderId="0">
      <alignment horizontal="center"/>
    </xf>
    <xf numFmtId="0" fontId="31" fillId="34" borderId="0">
      <alignment horizontal="center"/>
    </xf>
    <xf numFmtId="166" fontId="31" fillId="34" borderId="0">
      <alignment horizontal="center"/>
    </xf>
    <xf numFmtId="168" fontId="30" fillId="37" borderId="0">
      <alignment horizontal="right"/>
    </xf>
    <xf numFmtId="0" fontId="30" fillId="37" borderId="0">
      <alignment horizontal="right"/>
    </xf>
    <xf numFmtId="166" fontId="30" fillId="37" borderId="0">
      <alignment horizontal="right"/>
    </xf>
    <xf numFmtId="168" fontId="32" fillId="34" borderId="0">
      <alignment horizontal="left"/>
    </xf>
    <xf numFmtId="0" fontId="32" fillId="34" borderId="0">
      <alignment horizontal="left"/>
    </xf>
    <xf numFmtId="166" fontId="32" fillId="34" borderId="0">
      <alignment horizontal="left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37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38" borderId="11" applyNumberFormat="0" applyFont="0" applyAlignment="0">
      <protection locked="0"/>
    </xf>
    <xf numFmtId="0" fontId="11" fillId="38" borderId="11" applyNumberFormat="0" applyFont="0" applyAlignment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10" fillId="0" borderId="0" applyProtection="0"/>
    <xf numFmtId="166" fontId="10" fillId="0" borderId="0" applyProtection="0"/>
    <xf numFmtId="0" fontId="38" fillId="0" borderId="0" applyProtection="0"/>
    <xf numFmtId="166" fontId="38" fillId="0" borderId="0" applyProtection="0"/>
    <xf numFmtId="0" fontId="39" fillId="0" borderId="0" applyProtection="0"/>
    <xf numFmtId="166" fontId="39" fillId="0" borderId="0" applyProtection="0"/>
    <xf numFmtId="0" fontId="9" fillId="0" borderId="0" applyProtection="0"/>
    <xf numFmtId="166" fontId="9" fillId="0" borderId="0" applyProtection="0"/>
    <xf numFmtId="166" fontId="9" fillId="0" borderId="0" applyProtection="0"/>
    <xf numFmtId="0" fontId="11" fillId="0" borderId="0" applyProtection="0"/>
    <xf numFmtId="0" fontId="11" fillId="0" borderId="0" applyProtection="0"/>
    <xf numFmtId="166" fontId="11" fillId="0" borderId="0" applyProtection="0"/>
    <xf numFmtId="166" fontId="11" fillId="0" borderId="0" applyProtection="0"/>
    <xf numFmtId="0" fontId="10" fillId="0" borderId="0" applyProtection="0"/>
    <xf numFmtId="166" fontId="10" fillId="0" borderId="0" applyProtection="0"/>
    <xf numFmtId="0" fontId="40" fillId="0" borderId="0" applyProtection="0"/>
    <xf numFmtId="166" fontId="40" fillId="0" borderId="0" applyProtection="0"/>
    <xf numFmtId="2" fontId="16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1" fillId="21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42" fillId="0" borderId="12" applyNumberFormat="0" applyFill="0" applyAlignment="0" applyProtection="0"/>
    <xf numFmtId="166" fontId="43" fillId="0" borderId="13" applyNumberFormat="0" applyFill="0" applyAlignment="0" applyProtection="0"/>
    <xf numFmtId="0" fontId="13" fillId="0" borderId="4" applyNumberFormat="0" applyFill="0" applyAlignment="0" applyProtection="0"/>
    <xf numFmtId="166" fontId="43" fillId="0" borderId="13" applyNumberFormat="0" applyFill="0" applyAlignment="0" applyProtection="0"/>
    <xf numFmtId="0" fontId="44" fillId="0" borderId="14" applyNumberFormat="0" applyFill="0" applyAlignment="0" applyProtection="0"/>
    <xf numFmtId="166" fontId="45" fillId="0" borderId="15" applyNumberFormat="0" applyFill="0" applyAlignment="0" applyProtection="0"/>
    <xf numFmtId="0" fontId="14" fillId="0" borderId="5" applyNumberFormat="0" applyFill="0" applyAlignment="0" applyProtection="0"/>
    <xf numFmtId="166" fontId="45" fillId="0" borderId="15" applyNumberFormat="0" applyFill="0" applyAlignment="0" applyProtection="0"/>
    <xf numFmtId="0" fontId="46" fillId="0" borderId="16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0" fontId="46" fillId="0" borderId="0" applyNumberFormat="0" applyFill="0" applyBorder="0" applyAlignment="0" applyProtection="0"/>
    <xf numFmtId="166" fontId="47" fillId="0" borderId="0" applyNumberFormat="0" applyFill="0" applyBorder="0" applyAlignment="0" applyProtection="0"/>
    <xf numFmtId="166" fontId="47" fillId="0" borderId="0" applyNumberFormat="0" applyFill="0" applyBorder="0" applyAlignment="0" applyProtection="0"/>
    <xf numFmtId="168" fontId="48" fillId="0" borderId="0" applyNumberFormat="0" applyFill="0" applyBorder="0" applyAlignment="0" applyProtection="0">
      <alignment vertical="top"/>
      <protection locked="0"/>
    </xf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8" fontId="28" fillId="37" borderId="0">
      <alignment horizontal="left"/>
    </xf>
    <xf numFmtId="0" fontId="28" fillId="37" borderId="0">
      <alignment horizontal="left"/>
    </xf>
    <xf numFmtId="166" fontId="28" fillId="37" borderId="0">
      <alignment horizontal="left"/>
    </xf>
    <xf numFmtId="168" fontId="51" fillId="34" borderId="0">
      <alignment horizontal="left"/>
    </xf>
    <xf numFmtId="0" fontId="51" fillId="34" borderId="0">
      <alignment horizontal="left"/>
    </xf>
    <xf numFmtId="0" fontId="51" fillId="34" borderId="0">
      <alignment horizontal="left"/>
    </xf>
    <xf numFmtId="166" fontId="51" fillId="34" borderId="0">
      <alignment horizontal="left"/>
    </xf>
    <xf numFmtId="0" fontId="52" fillId="0" borderId="18" applyNumberFormat="0" applyFill="0" applyAlignment="0" applyProtection="0"/>
    <xf numFmtId="166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4" fillId="22" borderId="0" applyNumberFormat="0" applyBorder="0" applyAlignment="0" applyProtection="0"/>
    <xf numFmtId="166" fontId="55" fillId="22" borderId="0" applyNumberFormat="0" applyBorder="0" applyAlignment="0" applyProtection="0"/>
    <xf numFmtId="166" fontId="55" fillId="22" borderId="0" applyNumberFormat="0" applyBorder="0" applyAlignment="0" applyProtection="0"/>
    <xf numFmtId="168" fontId="11" fillId="0" borderId="0"/>
    <xf numFmtId="0" fontId="11" fillId="0" borderId="0"/>
    <xf numFmtId="166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166" fontId="11" fillId="0" borderId="0"/>
    <xf numFmtId="165" fontId="11" fillId="0" borderId="0"/>
    <xf numFmtId="165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166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166" fontId="11" fillId="0" borderId="0"/>
    <xf numFmtId="0" fontId="11" fillId="0" borderId="0"/>
    <xf numFmtId="0" fontId="20" fillId="0" borderId="0"/>
    <xf numFmtId="171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171" fontId="11" fillId="0" borderId="0"/>
    <xf numFmtId="0" fontId="8" fillId="0" borderId="0"/>
    <xf numFmtId="0" fontId="11" fillId="0" borderId="0"/>
    <xf numFmtId="171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166" fontId="11" fillId="0" borderId="0"/>
    <xf numFmtId="37" fontId="38" fillId="0" borderId="0"/>
    <xf numFmtId="0" fontId="8" fillId="0" borderId="0"/>
    <xf numFmtId="0" fontId="8" fillId="0" borderId="0"/>
    <xf numFmtId="0" fontId="34" fillId="0" borderId="0"/>
    <xf numFmtId="37" fontId="18" fillId="0" borderId="0"/>
    <xf numFmtId="168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1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8" fillId="0" borderId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8" fillId="0" borderId="0"/>
    <xf numFmtId="0" fontId="8" fillId="0" borderId="0"/>
    <xf numFmtId="0" fontId="8" fillId="0" borderId="0"/>
    <xf numFmtId="172" fontId="58" fillId="34" borderId="0">
      <alignment horizontal="right"/>
    </xf>
    <xf numFmtId="40" fontId="59" fillId="40" borderId="0">
      <alignment horizontal="right"/>
    </xf>
    <xf numFmtId="4" fontId="58" fillId="40" borderId="0">
      <alignment horizontal="right"/>
    </xf>
    <xf numFmtId="0" fontId="8" fillId="0" borderId="0"/>
    <xf numFmtId="40" fontId="59" fillId="40" borderId="0">
      <alignment horizontal="right"/>
    </xf>
    <xf numFmtId="168" fontId="60" fillId="41" borderId="0">
      <alignment horizontal="center"/>
    </xf>
    <xf numFmtId="0" fontId="61" fillId="40" borderId="0">
      <alignment horizontal="right"/>
    </xf>
    <xf numFmtId="0" fontId="8" fillId="0" borderId="0"/>
    <xf numFmtId="0" fontId="60" fillId="40" borderId="0">
      <alignment horizontal="center" vertical="center"/>
    </xf>
    <xf numFmtId="0" fontId="8" fillId="0" borderId="0"/>
    <xf numFmtId="0" fontId="61" fillId="40" borderId="0">
      <alignment horizontal="right"/>
    </xf>
    <xf numFmtId="168" fontId="28" fillId="42" borderId="0"/>
    <xf numFmtId="0" fontId="62" fillId="40" borderId="10"/>
    <xf numFmtId="0" fontId="51" fillId="40" borderId="10"/>
    <xf numFmtId="0" fontId="8" fillId="0" borderId="0"/>
    <xf numFmtId="0" fontId="51" fillId="40" borderId="10"/>
    <xf numFmtId="0" fontId="8" fillId="0" borderId="0"/>
    <xf numFmtId="0" fontId="62" fillId="40" borderId="10"/>
    <xf numFmtId="168" fontId="63" fillId="34" borderId="0" applyBorder="0">
      <alignment horizontal="centerContinuous"/>
    </xf>
    <xf numFmtId="0" fontId="62" fillId="0" borderId="0" applyBorder="0">
      <alignment horizontal="centerContinuous"/>
    </xf>
    <xf numFmtId="0" fontId="8" fillId="0" borderId="0"/>
    <xf numFmtId="0" fontId="60" fillId="40" borderId="0" applyBorder="0">
      <alignment horizontal="centerContinuous"/>
    </xf>
    <xf numFmtId="0" fontId="8" fillId="0" borderId="0"/>
    <xf numFmtId="0" fontId="62" fillId="0" borderId="0" applyBorder="0">
      <alignment horizontal="centerContinuous"/>
    </xf>
    <xf numFmtId="168" fontId="64" fillId="42" borderId="0" applyBorder="0">
      <alignment horizontal="centerContinuous"/>
    </xf>
    <xf numFmtId="0" fontId="65" fillId="0" borderId="0" applyBorder="0">
      <alignment horizontal="centerContinuous"/>
    </xf>
    <xf numFmtId="0" fontId="8" fillId="0" borderId="0"/>
    <xf numFmtId="0" fontId="66" fillId="40" borderId="0" applyBorder="0">
      <alignment horizontal="centerContinuous"/>
    </xf>
    <xf numFmtId="0" fontId="8" fillId="0" borderId="0"/>
    <xf numFmtId="0" fontId="65" fillId="0" borderId="0" applyBorder="0">
      <alignment horizontal="centerContinuous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3">
      <alignment horizontal="center"/>
    </xf>
    <xf numFmtId="3" fontId="67" fillId="0" borderId="0" applyFont="0" applyFill="0" applyBorder="0" applyAlignment="0" applyProtection="0"/>
    <xf numFmtId="0" fontId="67" fillId="43" borderId="0" applyNumberFormat="0" applyFont="0" applyBorder="0" applyAlignment="0" applyProtection="0"/>
    <xf numFmtId="168" fontId="51" fillId="22" borderId="0">
      <alignment horizontal="center"/>
    </xf>
    <xf numFmtId="0" fontId="51" fillId="22" borderId="0">
      <alignment horizontal="center"/>
    </xf>
    <xf numFmtId="0" fontId="51" fillId="22" borderId="0">
      <alignment horizontal="center"/>
    </xf>
    <xf numFmtId="0" fontId="8" fillId="0" borderId="0"/>
    <xf numFmtId="49" fontId="69" fillId="34" borderId="0">
      <alignment horizontal="center"/>
    </xf>
    <xf numFmtId="0" fontId="8" fillId="0" borderId="0"/>
    <xf numFmtId="168" fontId="30" fillId="37" borderId="0">
      <alignment horizontal="center"/>
    </xf>
    <xf numFmtId="0" fontId="30" fillId="37" borderId="0">
      <alignment horizontal="center"/>
    </xf>
    <xf numFmtId="0" fontId="8" fillId="0" borderId="0"/>
    <xf numFmtId="168" fontId="30" fillId="37" borderId="0">
      <alignment horizontal="centerContinuous"/>
    </xf>
    <xf numFmtId="0" fontId="30" fillId="37" borderId="0">
      <alignment horizontal="centerContinuous"/>
    </xf>
    <xf numFmtId="0" fontId="8" fillId="0" borderId="0"/>
    <xf numFmtId="168" fontId="70" fillId="34" borderId="0">
      <alignment horizontal="left"/>
    </xf>
    <xf numFmtId="0" fontId="70" fillId="34" borderId="0">
      <alignment horizontal="left"/>
    </xf>
    <xf numFmtId="0" fontId="8" fillId="0" borderId="0"/>
    <xf numFmtId="49" fontId="70" fillId="34" borderId="0">
      <alignment horizontal="center"/>
    </xf>
    <xf numFmtId="0" fontId="8" fillId="0" borderId="0"/>
    <xf numFmtId="168" fontId="28" fillId="37" borderId="0">
      <alignment horizontal="left"/>
    </xf>
    <xf numFmtId="0" fontId="28" fillId="37" borderId="0">
      <alignment horizontal="left"/>
    </xf>
    <xf numFmtId="0" fontId="8" fillId="0" borderId="0"/>
    <xf numFmtId="49" fontId="70" fillId="34" borderId="0">
      <alignment horizontal="left"/>
    </xf>
    <xf numFmtId="0" fontId="8" fillId="0" borderId="0"/>
    <xf numFmtId="168" fontId="28" fillId="37" borderId="0">
      <alignment horizontal="centerContinuous"/>
    </xf>
    <xf numFmtId="0" fontId="28" fillId="37" borderId="0">
      <alignment horizontal="centerContinuous"/>
    </xf>
    <xf numFmtId="0" fontId="8" fillId="0" borderId="0"/>
    <xf numFmtId="168" fontId="28" fillId="37" borderId="0">
      <alignment horizontal="right"/>
    </xf>
    <xf numFmtId="0" fontId="28" fillId="37" borderId="0">
      <alignment horizontal="right"/>
    </xf>
    <xf numFmtId="0" fontId="8" fillId="0" borderId="0"/>
    <xf numFmtId="49" fontId="51" fillId="34" borderId="0">
      <alignment horizontal="left"/>
    </xf>
    <xf numFmtId="49" fontId="51" fillId="34" borderId="0">
      <alignment horizontal="left"/>
    </xf>
    <xf numFmtId="0" fontId="8" fillId="0" borderId="0"/>
    <xf numFmtId="168" fontId="30" fillId="37" borderId="0">
      <alignment horizontal="right"/>
    </xf>
    <xf numFmtId="0" fontId="30" fillId="37" borderId="0">
      <alignment horizontal="right"/>
    </xf>
    <xf numFmtId="0" fontId="8" fillId="0" borderId="0"/>
    <xf numFmtId="168" fontId="70" fillId="20" borderId="0">
      <alignment horizontal="center"/>
    </xf>
    <xf numFmtId="0" fontId="70" fillId="20" borderId="0">
      <alignment horizontal="center"/>
    </xf>
    <xf numFmtId="0" fontId="8" fillId="0" borderId="0"/>
    <xf numFmtId="168" fontId="71" fillId="20" borderId="0">
      <alignment horizontal="center"/>
    </xf>
    <xf numFmtId="0" fontId="71" fillId="20" borderId="0">
      <alignment horizontal="center"/>
    </xf>
    <xf numFmtId="0" fontId="8" fillId="0" borderId="0"/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0" fillId="42" borderId="0" applyNumberFormat="0" applyProtection="0">
      <alignment horizontal="left" vertical="center" indent="1"/>
    </xf>
    <xf numFmtId="4" fontId="10" fillId="42" borderId="0" applyNumberFormat="0" applyProtection="0">
      <alignment horizontal="left" vertical="center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0" fillId="49" borderId="0" applyNumberFormat="0" applyProtection="0">
      <alignment horizontal="left" vertical="center" indent="1"/>
    </xf>
    <xf numFmtId="4" fontId="10" fillId="49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75" fillId="0" borderId="0" applyNumberFormat="0" applyProtection="0">
      <alignment horizontal="left" vertical="center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6" fillId="0" borderId="0" applyNumberFormat="0" applyFill="0" applyBorder="0" applyAlignment="0" applyProtection="0"/>
    <xf numFmtId="0" fontId="8" fillId="0" borderId="0"/>
    <xf numFmtId="0" fontId="8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8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8" fillId="0" borderId="0"/>
    <xf numFmtId="0" fontId="15" fillId="0" borderId="7" applyNumberFormat="0" applyFill="0" applyAlignment="0" applyProtection="0"/>
    <xf numFmtId="0" fontId="8" fillId="0" borderId="0"/>
    <xf numFmtId="0" fontId="8" fillId="0" borderId="0"/>
    <xf numFmtId="0" fontId="18" fillId="0" borderId="0"/>
    <xf numFmtId="168" fontId="78" fillId="34" borderId="0">
      <alignment horizontal="center"/>
    </xf>
    <xf numFmtId="0" fontId="78" fillId="34" borderId="0">
      <alignment horizontal="center"/>
    </xf>
    <xf numFmtId="0" fontId="8" fillId="0" borderId="0"/>
    <xf numFmtId="0" fontId="5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8" fillId="0" borderId="0" applyFont="0" applyFill="0" applyBorder="0" applyAlignment="0" applyProtection="0"/>
    <xf numFmtId="165" fontId="11" fillId="0" borderId="0"/>
    <xf numFmtId="165" fontId="11" fillId="0" borderId="0"/>
    <xf numFmtId="0" fontId="11" fillId="0" borderId="0"/>
    <xf numFmtId="0" fontId="19" fillId="71" borderId="0" applyNumberFormat="0" applyBorder="0" applyAlignment="0" applyProtection="0"/>
    <xf numFmtId="174" fontId="20" fillId="3" borderId="0" applyNumberFormat="0" applyBorder="0" applyAlignment="0" applyProtection="0"/>
    <xf numFmtId="174" fontId="20" fillId="3" borderId="0" applyNumberFormat="0" applyBorder="0" applyAlignment="0" applyProtection="0"/>
    <xf numFmtId="0" fontId="19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23" borderId="0" applyNumberFormat="0" applyBorder="0" applyAlignment="0" applyProtection="0"/>
    <xf numFmtId="174" fontId="20" fillId="5" borderId="0" applyNumberFormat="0" applyBorder="0" applyAlignment="0" applyProtection="0"/>
    <xf numFmtId="174" fontId="20" fillId="5" borderId="0" applyNumberFormat="0" applyBorder="0" applyAlignment="0" applyProtection="0"/>
    <xf numFmtId="0" fontId="19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39" borderId="0" applyNumberFormat="0" applyBorder="0" applyAlignment="0" applyProtection="0"/>
    <xf numFmtId="174" fontId="20" fillId="7" borderId="0" applyNumberFormat="0" applyBorder="0" applyAlignment="0" applyProtection="0"/>
    <xf numFmtId="174" fontId="20" fillId="7" borderId="0" applyNumberFormat="0" applyBorder="0" applyAlignment="0" applyProtection="0"/>
    <xf numFmtId="0" fontId="19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74" fontId="20" fillId="9" borderId="0" applyNumberFormat="0" applyBorder="0" applyAlignment="0" applyProtection="0"/>
    <xf numFmtId="174" fontId="20" fillId="9" borderId="0" applyNumberFormat="0" applyBorder="0" applyAlignment="0" applyProtection="0"/>
    <xf numFmtId="0" fontId="19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19" fillId="21" borderId="0" applyNumberFormat="0" applyBorder="0" applyAlignment="0" applyProtection="0"/>
    <xf numFmtId="174" fontId="20" fillId="11" borderId="0" applyNumberFormat="0" applyBorder="0" applyAlignment="0" applyProtection="0"/>
    <xf numFmtId="174" fontId="20" fillId="11" borderId="0" applyNumberFormat="0" applyBorder="0" applyAlignment="0" applyProtection="0"/>
    <xf numFmtId="0" fontId="19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20" borderId="0" applyNumberFormat="0" applyBorder="0" applyAlignment="0" applyProtection="0"/>
    <xf numFmtId="174" fontId="20" fillId="13" borderId="0" applyNumberFormat="0" applyBorder="0" applyAlignment="0" applyProtection="0"/>
    <xf numFmtId="174" fontId="20" fillId="13" borderId="0" applyNumberFormat="0" applyBorder="0" applyAlignment="0" applyProtection="0"/>
    <xf numFmtId="0" fontId="19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16" borderId="0" applyNumberFormat="0" applyBorder="0" applyAlignment="0" applyProtection="0"/>
    <xf numFmtId="174" fontId="20" fillId="4" borderId="0" applyNumberFormat="0" applyBorder="0" applyAlignment="0" applyProtection="0"/>
    <xf numFmtId="174" fontId="20" fillId="4" borderId="0" applyNumberFormat="0" applyBorder="0" applyAlignment="0" applyProtection="0"/>
    <xf numFmtId="0" fontId="19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17" borderId="0" applyNumberFormat="0" applyBorder="0" applyAlignment="0" applyProtection="0"/>
    <xf numFmtId="174" fontId="20" fillId="6" borderId="0" applyNumberFormat="0" applyBorder="0" applyAlignment="0" applyProtection="0"/>
    <xf numFmtId="174" fontId="20" fillId="6" borderId="0" applyNumberFormat="0" applyBorder="0" applyAlignment="0" applyProtection="0"/>
    <xf numFmtId="0" fontId="19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38" borderId="0" applyNumberFormat="0" applyBorder="0" applyAlignment="0" applyProtection="0"/>
    <xf numFmtId="174" fontId="20" fillId="8" borderId="0" applyNumberFormat="0" applyBorder="0" applyAlignment="0" applyProtection="0"/>
    <xf numFmtId="174" fontId="20" fillId="8" borderId="0" applyNumberFormat="0" applyBorder="0" applyAlignment="0" applyProtection="0"/>
    <xf numFmtId="0" fontId="19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33" borderId="0" applyNumberFormat="0" applyBorder="0" applyAlignment="0" applyProtection="0"/>
    <xf numFmtId="174" fontId="20" fillId="10" borderId="0" applyNumberFormat="0" applyBorder="0" applyAlignment="0" applyProtection="0"/>
    <xf numFmtId="174" fontId="20" fillId="10" borderId="0" applyNumberFormat="0" applyBorder="0" applyAlignment="0" applyProtection="0"/>
    <xf numFmtId="0" fontId="19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16" borderId="0" applyNumberFormat="0" applyBorder="0" applyAlignment="0" applyProtection="0"/>
    <xf numFmtId="174" fontId="20" fillId="12" borderId="0" applyNumberFormat="0" applyBorder="0" applyAlignment="0" applyProtection="0"/>
    <xf numFmtId="174" fontId="20" fillId="12" borderId="0" applyNumberFormat="0" applyBorder="0" applyAlignment="0" applyProtection="0"/>
    <xf numFmtId="0" fontId="19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26" borderId="0" applyNumberFormat="0" applyBorder="0" applyAlignment="0" applyProtection="0"/>
    <xf numFmtId="174" fontId="20" fillId="14" borderId="0" applyNumberFormat="0" applyBorder="0" applyAlignment="0" applyProtection="0"/>
    <xf numFmtId="174" fontId="20" fillId="14" borderId="0" applyNumberFormat="0" applyBorder="0" applyAlignment="0" applyProtection="0"/>
    <xf numFmtId="0" fontId="19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174" fontId="93" fillId="60" borderId="0" applyNumberFormat="0" applyBorder="0" applyAlignment="0" applyProtection="0"/>
    <xf numFmtId="174" fontId="93" fillId="60" borderId="0" applyNumberFormat="0" applyBorder="0" applyAlignment="0" applyProtection="0"/>
    <xf numFmtId="0" fontId="21" fillId="21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174" fontId="93" fillId="62" borderId="0" applyNumberFormat="0" applyBorder="0" applyAlignment="0" applyProtection="0"/>
    <xf numFmtId="174" fontId="93" fillId="62" borderId="0" applyNumberFormat="0" applyBorder="0" applyAlignment="0" applyProtection="0"/>
    <xf numFmtId="0" fontId="21" fillId="25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74" fontId="93" fillId="64" borderId="0" applyNumberFormat="0" applyBorder="0" applyAlignment="0" applyProtection="0"/>
    <xf numFmtId="174" fontId="93" fillId="64" borderId="0" applyNumberFormat="0" applyBorder="0" applyAlignment="0" applyProtection="0"/>
    <xf numFmtId="0" fontId="21" fillId="26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74" fontId="93" fillId="66" borderId="0" applyNumberFormat="0" applyBorder="0" applyAlignment="0" applyProtection="0"/>
    <xf numFmtId="174" fontId="93" fillId="66" borderId="0" applyNumberFormat="0" applyBorder="0" applyAlignment="0" applyProtection="0"/>
    <xf numFmtId="0" fontId="21" fillId="2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4" fontId="93" fillId="68" borderId="0" applyNumberFormat="0" applyBorder="0" applyAlignment="0" applyProtection="0"/>
    <xf numFmtId="174" fontId="93" fillId="68" borderId="0" applyNumberFormat="0" applyBorder="0" applyAlignment="0" applyProtection="0"/>
    <xf numFmtId="0" fontId="21" fillId="21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174" fontId="93" fillId="70" borderId="0" applyNumberFormat="0" applyBorder="0" applyAlignment="0" applyProtection="0"/>
    <xf numFmtId="174" fontId="93" fillId="70" borderId="0" applyNumberFormat="0" applyBorder="0" applyAlignment="0" applyProtection="0"/>
    <xf numFmtId="0" fontId="21" fillId="17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56" fillId="0" borderId="2" applyBorder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174" fontId="93" fillId="59" borderId="0" applyNumberFormat="0" applyBorder="0" applyAlignment="0" applyProtection="0"/>
    <xf numFmtId="174" fontId="93" fillId="59" borderId="0" applyNumberFormat="0" applyBorder="0" applyAlignment="0" applyProtection="0"/>
    <xf numFmtId="0" fontId="21" fillId="28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4" fontId="93" fillId="61" borderId="0" applyNumberFormat="0" applyBorder="0" applyAlignment="0" applyProtection="0"/>
    <xf numFmtId="174" fontId="93" fillId="61" borderId="0" applyNumberFormat="0" applyBorder="0" applyAlignment="0" applyProtection="0"/>
    <xf numFmtId="0" fontId="21" fillId="25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4" fontId="93" fillId="63" borderId="0" applyNumberFormat="0" applyBorder="0" applyAlignment="0" applyProtection="0"/>
    <xf numFmtId="174" fontId="93" fillId="63" borderId="0" applyNumberFormat="0" applyBorder="0" applyAlignment="0" applyProtection="0"/>
    <xf numFmtId="0" fontId="21" fillId="26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74" fontId="93" fillId="65" borderId="0" applyNumberFormat="0" applyBorder="0" applyAlignment="0" applyProtection="0"/>
    <xf numFmtId="174" fontId="93" fillId="65" borderId="0" applyNumberFormat="0" applyBorder="0" applyAlignment="0" applyProtection="0"/>
    <xf numFmtId="0" fontId="21" fillId="32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4" fontId="93" fillId="67" borderId="0" applyNumberFormat="0" applyBorder="0" applyAlignment="0" applyProtection="0"/>
    <xf numFmtId="174" fontId="93" fillId="67" borderId="0" applyNumberFormat="0" applyBorder="0" applyAlignment="0" applyProtection="0"/>
    <xf numFmtId="0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74" fontId="93" fillId="69" borderId="0" applyNumberFormat="0" applyBorder="0" applyAlignment="0" applyProtection="0"/>
    <xf numFmtId="174" fontId="93" fillId="69" borderId="0" applyNumberFormat="0" applyBorder="0" applyAlignment="0" applyProtection="0"/>
    <xf numFmtId="0" fontId="21" fillId="30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4" fontId="94" fillId="54" borderId="0" applyNumberFormat="0" applyBorder="0" applyAlignment="0" applyProtection="0"/>
    <xf numFmtId="174" fontId="94" fillId="54" borderId="0" applyNumberFormat="0" applyBorder="0" applyAlignment="0" applyProtection="0"/>
    <xf numFmtId="0" fontId="23" fillId="3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0" fontId="23" fillId="23" borderId="0" applyNumberFormat="0" applyBorder="0" applyAlignment="0" applyProtection="0"/>
    <xf numFmtId="164" fontId="95" fillId="0" borderId="26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174" fontId="96" fillId="58" borderId="32" applyNumberFormat="0" applyAlignment="0" applyProtection="0"/>
    <xf numFmtId="174" fontId="96" fillId="58" borderId="32" applyNumberFormat="0" applyAlignment="0" applyProtection="0"/>
    <xf numFmtId="0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0" fontId="27" fillId="36" borderId="9" applyNumberFormat="0" applyAlignment="0" applyProtection="0"/>
    <xf numFmtId="0" fontId="28" fillId="37" borderId="0">
      <alignment horizontal="left"/>
    </xf>
    <xf numFmtId="168" fontId="28" fillId="37" borderId="0">
      <alignment horizontal="left"/>
    </xf>
    <xf numFmtId="0" fontId="30" fillId="37" borderId="0">
      <alignment horizontal="right"/>
    </xf>
    <xf numFmtId="168" fontId="30" fillId="37" borderId="0">
      <alignment horizontal="right"/>
    </xf>
    <xf numFmtId="0" fontId="31" fillId="34" borderId="0">
      <alignment horizontal="center"/>
    </xf>
    <xf numFmtId="168" fontId="31" fillId="34" borderId="0">
      <alignment horizontal="center"/>
    </xf>
    <xf numFmtId="0" fontId="30" fillId="37" borderId="0">
      <alignment horizontal="right"/>
    </xf>
    <xf numFmtId="168" fontId="30" fillId="37" borderId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3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98" fillId="0" borderId="0"/>
    <xf numFmtId="0" fontId="98" fillId="0" borderId="33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99" fillId="0" borderId="0" applyNumberFormat="0" applyFill="0" applyBorder="0" applyAlignment="0" applyProtection="0"/>
    <xf numFmtId="174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4" fontId="10" fillId="0" borderId="0" applyProtection="0"/>
    <xf numFmtId="174" fontId="10" fillId="0" borderId="0" applyProtection="0"/>
    <xf numFmtId="0" fontId="10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4" fontId="38" fillId="0" borderId="0" applyProtection="0"/>
    <xf numFmtId="174" fontId="38" fillId="0" borderId="0" applyProtection="0"/>
    <xf numFmtId="0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4" fontId="39" fillId="0" borderId="0" applyProtection="0"/>
    <xf numFmtId="174" fontId="39" fillId="0" borderId="0" applyProtection="0"/>
    <xf numFmtId="0" fontId="3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4" fontId="9" fillId="0" borderId="0" applyProtection="0"/>
    <xf numFmtId="174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4" fontId="11" fillId="0" borderId="0" applyProtection="0"/>
    <xf numFmtId="174" fontId="11" fillId="0" borderId="0" applyProtection="0"/>
    <xf numFmtId="0" fontId="11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4" fontId="10" fillId="0" borderId="0" applyProtection="0"/>
    <xf numFmtId="174" fontId="10" fillId="0" borderId="0" applyProtection="0"/>
    <xf numFmtId="0" fontId="1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4" fontId="40" fillId="0" borderId="0" applyProtection="0"/>
    <xf numFmtId="174" fontId="40" fillId="0" borderId="0" applyProtection="0"/>
    <xf numFmtId="0" fontId="40" fillId="0" borderId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4" fontId="100" fillId="53" borderId="0" applyNumberFormat="0" applyBorder="0" applyAlignment="0" applyProtection="0"/>
    <xf numFmtId="174" fontId="100" fillId="53" borderId="0" applyNumberFormat="0" applyBorder="0" applyAlignment="0" applyProtection="0"/>
    <xf numFmtId="0" fontId="41" fillId="21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174" fontId="102" fillId="0" borderId="4" applyNumberFormat="0" applyFill="0" applyAlignment="0" applyProtection="0"/>
    <xf numFmtId="174" fontId="102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4" fillId="0" borderId="0" applyNumberFormat="0" applyFon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174" fontId="106" fillId="0" borderId="5" applyNumberFormat="0" applyFill="0" applyAlignment="0" applyProtection="0"/>
    <xf numFmtId="174" fontId="10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9" fillId="0" borderId="0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174" fontId="108" fillId="0" borderId="28" applyNumberFormat="0" applyFill="0" applyAlignment="0" applyProtection="0"/>
    <xf numFmtId="174" fontId="108" fillId="0" borderId="28" applyNumberFormat="0" applyFill="0" applyAlignment="0" applyProtection="0"/>
    <xf numFmtId="0" fontId="46" fillId="0" borderId="1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4" fontId="108" fillId="0" borderId="0" applyNumberFormat="0" applyFill="0" applyBorder="0" applyAlignment="0" applyProtection="0"/>
    <xf numFmtId="174" fontId="10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109" fillId="41" borderId="33"/>
    <xf numFmtId="0" fontId="28" fillId="37" borderId="0">
      <alignment horizontal="left"/>
    </xf>
    <xf numFmtId="168" fontId="28" fillId="37" borderId="0">
      <alignment horizontal="left"/>
    </xf>
    <xf numFmtId="0" fontId="51" fillId="34" borderId="0">
      <alignment horizontal="left"/>
    </xf>
    <xf numFmtId="168" fontId="51" fillId="34" borderId="0">
      <alignment horizontal="left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174" fontId="111" fillId="0" borderId="31" applyNumberFormat="0" applyFill="0" applyAlignment="0" applyProtection="0"/>
    <xf numFmtId="174" fontId="111" fillId="0" borderId="31" applyNumberFormat="0" applyFill="0" applyAlignment="0" applyProtection="0"/>
    <xf numFmtId="0" fontId="52" fillId="0" borderId="18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0" fontId="110" fillId="0" borderId="19" applyNumberFormat="0" applyFill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174" fontId="113" fillId="55" borderId="0" applyNumberFormat="0" applyBorder="0" applyAlignment="0" applyProtection="0"/>
    <xf numFmtId="174" fontId="113" fillId="55" borderId="0" applyNumberFormat="0" applyBorder="0" applyAlignment="0" applyProtection="0"/>
    <xf numFmtId="0" fontId="54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0" fontId="112" fillId="22" borderId="0" applyNumberFormat="0" applyBorder="0" applyAlignment="0" applyProtection="0"/>
    <xf numFmtId="180" fontId="1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1" fillId="0" borderId="0"/>
    <xf numFmtId="0" fontId="11" fillId="0" borderId="0"/>
    <xf numFmtId="168" fontId="11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5" fontId="11" fillId="0" borderId="0"/>
    <xf numFmtId="174" fontId="11" fillId="0" borderId="0"/>
    <xf numFmtId="174" fontId="11" fillId="0" borderId="0"/>
    <xf numFmtId="0" fontId="35" fillId="0" borderId="0"/>
    <xf numFmtId="0" fontId="97" fillId="0" borderId="0"/>
    <xf numFmtId="0" fontId="97" fillId="0" borderId="0"/>
    <xf numFmtId="0" fontId="97" fillId="0" borderId="0"/>
    <xf numFmtId="168" fontId="11" fillId="0" borderId="0"/>
    <xf numFmtId="0" fontId="97" fillId="0" borderId="0"/>
    <xf numFmtId="41" fontId="35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97" fillId="0" borderId="0"/>
    <xf numFmtId="0" fontId="97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8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174" fontId="20" fillId="0" borderId="0"/>
    <xf numFmtId="174" fontId="20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35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20" fillId="0" borderId="0"/>
    <xf numFmtId="165" fontId="11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37" fontId="18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37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9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7" fillId="0" borderId="0"/>
    <xf numFmtId="0" fontId="9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97" fillId="0" borderId="0"/>
    <xf numFmtId="37" fontId="18" fillId="0" borderId="0"/>
    <xf numFmtId="37" fontId="18" fillId="0" borderId="0"/>
    <xf numFmtId="0" fontId="11" fillId="0" borderId="0"/>
    <xf numFmtId="0" fontId="11" fillId="0" borderId="0"/>
    <xf numFmtId="0" fontId="97" fillId="0" borderId="0"/>
    <xf numFmtId="0" fontId="97" fillId="0" borderId="0"/>
    <xf numFmtId="0" fontId="97" fillId="0" borderId="0"/>
    <xf numFmtId="37" fontId="18" fillId="0" borderId="0"/>
    <xf numFmtId="0" fontId="7" fillId="0" borderId="0"/>
    <xf numFmtId="0" fontId="11" fillId="0" borderId="0"/>
    <xf numFmtId="37" fontId="18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174" fontId="114" fillId="57" borderId="30" applyNumberFormat="0" applyAlignment="0" applyProtection="0"/>
    <xf numFmtId="174" fontId="114" fillId="57" borderId="30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0" fontId="57" fillId="19" borderId="21" applyNumberFormat="0" applyAlignment="0" applyProtection="0"/>
    <xf numFmtId="172" fontId="58" fillId="34" borderId="0">
      <alignment horizontal="right"/>
    </xf>
    <xf numFmtId="40" fontId="59" fillId="40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4" fontId="58" fillId="40" borderId="0">
      <alignment horizontal="right"/>
    </xf>
    <xf numFmtId="40" fontId="59" fillId="40" borderId="0">
      <alignment horizontal="right"/>
    </xf>
    <xf numFmtId="40" fontId="59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172" fontId="58" fillId="34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0" fontId="60" fillId="41" borderId="0">
      <alignment horizontal="center"/>
    </xf>
    <xf numFmtId="0" fontId="60" fillId="41" borderId="0">
      <alignment horizontal="center"/>
    </xf>
    <xf numFmtId="168" fontId="60" fillId="41" borderId="0">
      <alignment horizontal="center"/>
    </xf>
    <xf numFmtId="0" fontId="60" fillId="41" borderId="0">
      <alignment horizontal="center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0" fillId="41" borderId="0">
      <alignment horizontal="center"/>
    </xf>
    <xf numFmtId="0" fontId="61" fillId="40" borderId="0">
      <alignment horizontal="right"/>
    </xf>
    <xf numFmtId="0" fontId="61" fillId="40" borderId="0">
      <alignment horizontal="right"/>
    </xf>
    <xf numFmtId="0" fontId="60" fillId="40" borderId="0">
      <alignment horizontal="center" vertical="center"/>
    </xf>
    <xf numFmtId="0" fontId="60" fillId="40" borderId="0">
      <alignment horizontal="center" vertical="center"/>
    </xf>
    <xf numFmtId="0" fontId="60" fillId="40" borderId="0">
      <alignment horizontal="center" vertical="center"/>
    </xf>
    <xf numFmtId="174" fontId="60" fillId="40" borderId="0">
      <alignment horizontal="center" vertical="center"/>
    </xf>
    <xf numFmtId="174" fontId="60" fillId="40" borderId="0">
      <alignment horizontal="center" vertical="center"/>
    </xf>
    <xf numFmtId="0" fontId="28" fillId="42" borderId="0"/>
    <xf numFmtId="0" fontId="28" fillId="42" borderId="0"/>
    <xf numFmtId="168" fontId="28" fillId="42" borderId="0"/>
    <xf numFmtId="165" fontId="62" fillId="40" borderId="10"/>
    <xf numFmtId="0" fontId="51" fillId="40" borderId="10"/>
    <xf numFmtId="0" fontId="28" fillId="42" borderId="0"/>
    <xf numFmtId="0" fontId="62" fillId="40" borderId="10"/>
    <xf numFmtId="0" fontId="62" fillId="40" borderId="10"/>
    <xf numFmtId="0" fontId="62" fillId="40" borderId="10"/>
    <xf numFmtId="0" fontId="62" fillId="40" borderId="10"/>
    <xf numFmtId="0" fontId="62" fillId="40" borderId="10"/>
    <xf numFmtId="0" fontId="28" fillId="42" borderId="0"/>
    <xf numFmtId="165" fontId="62" fillId="40" borderId="10"/>
    <xf numFmtId="0" fontId="62" fillId="40" borderId="10"/>
    <xf numFmtId="0" fontId="62" fillId="40" borderId="10"/>
    <xf numFmtId="0" fontId="51" fillId="40" borderId="10"/>
    <xf numFmtId="0" fontId="51" fillId="40" borderId="10"/>
    <xf numFmtId="0" fontId="51" fillId="40" borderId="10"/>
    <xf numFmtId="174" fontId="51" fillId="40" borderId="10"/>
    <xf numFmtId="174" fontId="51" fillId="40" borderId="10"/>
    <xf numFmtId="0" fontId="63" fillId="34" borderId="0" applyBorder="0">
      <alignment horizontal="centerContinuous"/>
    </xf>
    <xf numFmtId="0" fontId="63" fillId="34" borderId="0" applyBorder="0">
      <alignment horizontal="centerContinuous"/>
    </xf>
    <xf numFmtId="168" fontId="63" fillId="34" borderId="0" applyBorder="0">
      <alignment horizontal="centerContinuous"/>
    </xf>
    <xf numFmtId="0" fontId="63" fillId="34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34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174" fontId="60" fillId="40" borderId="0" applyBorder="0">
      <alignment horizontal="centerContinuous"/>
    </xf>
    <xf numFmtId="174" fontId="60" fillId="40" borderId="0" applyBorder="0">
      <alignment horizontal="centerContinuous"/>
    </xf>
    <xf numFmtId="0" fontId="64" fillId="42" borderId="0" applyBorder="0">
      <alignment horizontal="centerContinuous"/>
    </xf>
    <xf numFmtId="0" fontId="64" fillId="42" borderId="0" applyBorder="0">
      <alignment horizontal="centerContinuous"/>
    </xf>
    <xf numFmtId="168" fontId="64" fillId="42" borderId="0" applyBorder="0">
      <alignment horizontal="centerContinuous"/>
    </xf>
    <xf numFmtId="0" fontId="115" fillId="42" borderId="0" applyBorder="0">
      <alignment horizontal="centerContinuous"/>
    </xf>
    <xf numFmtId="0" fontId="64" fillId="42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4" fillId="42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174" fontId="66" fillId="40" borderId="0" applyBorder="0">
      <alignment horizontal="centerContinuous"/>
    </xf>
    <xf numFmtId="174" fontId="66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2" borderId="0">
      <alignment horizontal="center"/>
    </xf>
    <xf numFmtId="168" fontId="51" fillId="22" borderId="0">
      <alignment horizontal="center"/>
    </xf>
    <xf numFmtId="49" fontId="69" fillId="34" borderId="0">
      <alignment horizontal="center"/>
    </xf>
    <xf numFmtId="0" fontId="98" fillId="0" borderId="0"/>
    <xf numFmtId="0" fontId="30" fillId="37" borderId="0">
      <alignment horizontal="center"/>
    </xf>
    <xf numFmtId="168" fontId="30" fillId="37" borderId="0">
      <alignment horizontal="center"/>
    </xf>
    <xf numFmtId="0" fontId="30" fillId="37" borderId="0">
      <alignment horizontal="centerContinuous"/>
    </xf>
    <xf numFmtId="168" fontId="30" fillId="37" borderId="0">
      <alignment horizontal="centerContinuous"/>
    </xf>
    <xf numFmtId="0" fontId="70" fillId="34" borderId="0">
      <alignment horizontal="left"/>
    </xf>
    <xf numFmtId="168" fontId="70" fillId="34" borderId="0">
      <alignment horizontal="left"/>
    </xf>
    <xf numFmtId="49" fontId="70" fillId="34" borderId="0">
      <alignment horizontal="center"/>
    </xf>
    <xf numFmtId="0" fontId="28" fillId="37" borderId="0">
      <alignment horizontal="left"/>
    </xf>
    <xf numFmtId="168" fontId="28" fillId="37" borderId="0">
      <alignment horizontal="left"/>
    </xf>
    <xf numFmtId="49" fontId="70" fillId="34" borderId="0">
      <alignment horizontal="left"/>
    </xf>
    <xf numFmtId="0" fontId="28" fillId="37" borderId="0">
      <alignment horizontal="centerContinuous"/>
    </xf>
    <xf numFmtId="168" fontId="28" fillId="37" borderId="0">
      <alignment horizontal="centerContinuous"/>
    </xf>
    <xf numFmtId="0" fontId="28" fillId="37" borderId="0">
      <alignment horizontal="right"/>
    </xf>
    <xf numFmtId="168" fontId="28" fillId="37" borderId="0">
      <alignment horizontal="right"/>
    </xf>
    <xf numFmtId="49" fontId="51" fillId="34" borderId="0">
      <alignment horizontal="left"/>
    </xf>
    <xf numFmtId="0" fontId="30" fillId="37" borderId="0">
      <alignment horizontal="right"/>
    </xf>
    <xf numFmtId="168" fontId="30" fillId="37" borderId="0">
      <alignment horizontal="right"/>
    </xf>
    <xf numFmtId="0" fontId="70" fillId="20" borderId="0">
      <alignment horizontal="center"/>
    </xf>
    <xf numFmtId="168" fontId="70" fillId="20" borderId="0">
      <alignment horizontal="center"/>
    </xf>
    <xf numFmtId="0" fontId="71" fillId="20" borderId="0">
      <alignment horizontal="center"/>
    </xf>
    <xf numFmtId="168" fontId="71" fillId="20" borderId="0">
      <alignment horizont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8" fillId="0" borderId="33"/>
    <xf numFmtId="49" fontId="11" fillId="0" borderId="37">
      <alignment horizontal="center" vertical="center"/>
      <protection locked="0"/>
    </xf>
    <xf numFmtId="0" fontId="116" fillId="37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174" fontId="118" fillId="0" borderId="7" applyNumberFormat="0" applyFill="0" applyAlignment="0" applyProtection="0"/>
    <xf numFmtId="174" fontId="118" fillId="0" borderId="7" applyNumberForma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168" fontId="16" fillId="0" borderId="40" applyNumberFormat="0" applyFont="0" applyBorder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1" fillId="0" borderId="39" applyNumberFormat="0" applyFont="0" applyFill="0" applyAlignment="0" applyProtection="0"/>
    <xf numFmtId="165" fontId="77" fillId="0" borderId="38" applyNumberFormat="0" applyFill="0" applyAlignment="0" applyProtection="0"/>
    <xf numFmtId="168" fontId="16" fillId="0" borderId="40" applyNumberFormat="0" applyFont="0" applyBorder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109" fillId="0" borderId="41"/>
    <xf numFmtId="0" fontId="109" fillId="0" borderId="33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174" fontId="1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7" fontId="18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37" fontId="18" fillId="0" borderId="0"/>
    <xf numFmtId="4" fontId="58" fillId="40" borderId="0">
      <alignment horizontal="right"/>
    </xf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0" fontId="76" fillId="0" borderId="0" applyNumberFormat="0" applyFill="0" applyBorder="0" applyAlignment="0" applyProtection="0"/>
    <xf numFmtId="0" fontId="11" fillId="0" borderId="0"/>
    <xf numFmtId="0" fontId="11" fillId="0" borderId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7" fillId="3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7" fillId="5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7" fillId="7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7" fillId="1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" fillId="13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" fillId="4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7" fillId="6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" fillId="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" fillId="10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" fillId="12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7" fillId="14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92" fillId="60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0" fontId="92" fillId="62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92" fillId="64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92" fillId="66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92" fillId="68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92" fillId="70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0" fontId="92" fillId="59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0" fontId="92" fillId="61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0" fontId="92" fillId="63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0" fontId="92" fillId="65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92" fillId="67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92" fillId="69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0" fontId="83" fillId="54" borderId="0" applyNumberFormat="0" applyBorder="0" applyAlignment="0" applyProtection="0"/>
    <xf numFmtId="165" fontId="23" fillId="23" borderId="0" applyNumberFormat="0" applyBorder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174" fontId="122" fillId="57" borderId="29" applyNumberFormat="0" applyAlignment="0" applyProtection="0"/>
    <xf numFmtId="174" fontId="122" fillId="57" borderId="29" applyNumberFormat="0" applyAlignment="0" applyProtection="0"/>
    <xf numFmtId="0" fontId="87" fillId="57" borderId="29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0" fontId="121" fillId="19" borderId="8" applyNumberFormat="0" applyAlignment="0" applyProtection="0"/>
    <xf numFmtId="0" fontId="89" fillId="58" borderId="32" applyNumberFormat="0" applyAlignment="0" applyProtection="0"/>
    <xf numFmtId="165" fontId="27" fillId="36" borderId="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82" fillId="53" borderId="0" applyNumberFormat="0" applyBorder="0" applyAlignment="0" applyProtection="0"/>
    <xf numFmtId="165" fontId="41" fillId="39" borderId="0" applyNumberFormat="0" applyBorder="0" applyAlignment="0" applyProtection="0"/>
    <xf numFmtId="0" fontId="81" fillId="0" borderId="28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0" fontId="81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174" fontId="123" fillId="56" borderId="29" applyNumberFormat="0" applyAlignment="0" applyProtection="0"/>
    <xf numFmtId="174" fontId="123" fillId="56" borderId="29" applyNumberFormat="0" applyAlignment="0" applyProtection="0"/>
    <xf numFmtId="0" fontId="85" fillId="56" borderId="29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0" fontId="49" fillId="20" borderId="8" applyNumberFormat="0" applyAlignment="0" applyProtection="0"/>
    <xf numFmtId="0" fontId="88" fillId="0" borderId="31" applyNumberFormat="0" applyFill="0" applyAlignment="0" applyProtection="0"/>
    <xf numFmtId="165" fontId="110" fillId="0" borderId="19" applyNumberFormat="0" applyFill="0" applyAlignment="0" applyProtection="0"/>
    <xf numFmtId="0" fontId="84" fillId="55" borderId="0" applyNumberFormat="0" applyBorder="0" applyAlignment="0" applyProtection="0"/>
    <xf numFmtId="165" fontId="112" fillId="22" borderId="0" applyNumberFormat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67" fillId="0" borderId="0"/>
    <xf numFmtId="165" fontId="67" fillId="0" borderId="0"/>
    <xf numFmtId="165" fontId="67" fillId="0" borderId="0"/>
    <xf numFmtId="0" fontId="11" fillId="0" borderId="0"/>
    <xf numFmtId="174" fontId="20" fillId="0" borderId="0"/>
    <xf numFmtId="174" fontId="20" fillId="0" borderId="0"/>
    <xf numFmtId="174" fontId="20" fillId="0" borderId="0"/>
    <xf numFmtId="0" fontId="11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174" fontId="124" fillId="2" borderId="6" applyNumberFormat="0" applyFont="0" applyAlignment="0" applyProtection="0"/>
    <xf numFmtId="174" fontId="124" fillId="2" borderId="6" applyNumberFormat="0" applyFont="0" applyAlignment="0" applyProtection="0"/>
    <xf numFmtId="174" fontId="124" fillId="2" borderId="6" applyNumberFormat="0" applyFont="0" applyAlignment="0" applyProtection="0"/>
    <xf numFmtId="174" fontId="124" fillId="2" borderId="6" applyNumberFormat="0" applyFont="0" applyAlignment="0" applyProtection="0"/>
    <xf numFmtId="165" fontId="124" fillId="18" borderId="20" applyNumberFormat="0" applyFont="0" applyAlignment="0" applyProtection="0"/>
    <xf numFmtId="174" fontId="124" fillId="2" borderId="6" applyNumberFormat="0" applyFont="0" applyAlignment="0" applyProtection="0"/>
    <xf numFmtId="174" fontId="124" fillId="2" borderId="6" applyNumberFormat="0" applyFont="0" applyAlignment="0" applyProtection="0"/>
    <xf numFmtId="165" fontId="124" fillId="18" borderId="20" applyNumberFormat="0" applyFont="0" applyAlignment="0" applyProtection="0"/>
    <xf numFmtId="174" fontId="124" fillId="2" borderId="6" applyNumberFormat="0" applyFont="0" applyAlignment="0" applyProtection="0"/>
    <xf numFmtId="174" fontId="124" fillId="2" borderId="6" applyNumberFormat="0" applyFont="0" applyAlignment="0" applyProtection="0"/>
    <xf numFmtId="165" fontId="124" fillId="18" borderId="20" applyNumberFormat="0" applyFont="0" applyAlignment="0" applyProtection="0"/>
    <xf numFmtId="174" fontId="124" fillId="2" borderId="6" applyNumberFormat="0" applyFont="0" applyAlignment="0" applyProtection="0"/>
    <xf numFmtId="174" fontId="124" fillId="2" borderId="6" applyNumberFormat="0" applyFont="0" applyAlignment="0" applyProtection="0"/>
    <xf numFmtId="165" fontId="124" fillId="18" borderId="20" applyNumberFormat="0" applyFont="0" applyAlignment="0" applyProtection="0"/>
    <xf numFmtId="174" fontId="124" fillId="2" borderId="6" applyNumberFormat="0" applyFont="0" applyAlignment="0" applyProtection="0"/>
    <xf numFmtId="174" fontId="124" fillId="2" borderId="6" applyNumberFormat="0" applyFont="0" applyAlignment="0" applyProtection="0"/>
    <xf numFmtId="165" fontId="124" fillId="18" borderId="20" applyNumberFormat="0" applyFont="0" applyAlignment="0" applyProtection="0"/>
    <xf numFmtId="174" fontId="124" fillId="2" borderId="6" applyNumberFormat="0" applyFont="0" applyAlignment="0" applyProtection="0"/>
    <xf numFmtId="174" fontId="124" fillId="2" borderId="6" applyNumberFormat="0" applyFont="0" applyAlignment="0" applyProtection="0"/>
    <xf numFmtId="0" fontId="124" fillId="18" borderId="20" applyNumberFormat="0" applyFont="0" applyAlignment="0" applyProtection="0"/>
    <xf numFmtId="0" fontId="86" fillId="57" borderId="30" applyNumberFormat="0" applyAlignment="0" applyProtection="0"/>
    <xf numFmtId="165" fontId="57" fillId="19" borderId="21" applyNumberFormat="0" applyAlignment="0" applyProtection="0"/>
    <xf numFmtId="0" fontId="60" fillId="40" borderId="0">
      <alignment horizontal="center" vertical="center"/>
    </xf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9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9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8" fontId="32" fillId="34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165" fontId="1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8" fillId="18" borderId="20" applyNumberFormat="0" applyFont="0" applyAlignment="0" applyProtection="0"/>
    <xf numFmtId="172" fontId="58" fillId="34" borderId="0">
      <alignment horizontal="right"/>
    </xf>
    <xf numFmtId="40" fontId="59" fillId="40" borderId="0">
      <alignment horizontal="right"/>
    </xf>
    <xf numFmtId="168" fontId="60" fillId="41" borderId="0">
      <alignment horizontal="center"/>
    </xf>
    <xf numFmtId="168" fontId="63" fillId="34" borderId="0" applyBorder="0">
      <alignment horizontal="centerContinuous"/>
    </xf>
    <xf numFmtId="168" fontId="64" fillId="42" borderId="0" applyBorder="0">
      <alignment horizontal="centerContinuous"/>
    </xf>
    <xf numFmtId="9" fontId="11" fillId="0" borderId="0" applyFont="0" applyFill="0" applyBorder="0" applyAlignment="0" applyProtection="0"/>
    <xf numFmtId="181" fontId="120" fillId="76" borderId="42">
      <alignment horizontal="left"/>
    </xf>
    <xf numFmtId="168" fontId="78" fillId="34" borderId="0">
      <alignment horizontal="center"/>
    </xf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71" borderId="0" applyNumberFormat="0" applyBorder="0" applyAlignment="0" applyProtection="0"/>
    <xf numFmtId="0" fontId="7" fillId="3" borderId="0" applyNumberFormat="0" applyBorder="0" applyAlignment="0" applyProtection="0"/>
    <xf numFmtId="0" fontId="19" fillId="23" borderId="0" applyNumberFormat="0" applyBorder="0" applyAlignment="0" applyProtection="0"/>
    <xf numFmtId="0" fontId="7" fillId="5" borderId="0" applyNumberFormat="0" applyBorder="0" applyAlignment="0" applyProtection="0"/>
    <xf numFmtId="0" fontId="19" fillId="39" borderId="0" applyNumberFormat="0" applyBorder="0" applyAlignment="0" applyProtection="0"/>
    <xf numFmtId="0" fontId="7" fillId="7" borderId="0" applyNumberFormat="0" applyBorder="0" applyAlignment="0" applyProtection="0"/>
    <xf numFmtId="0" fontId="19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19" fillId="20" borderId="0" applyNumberFormat="0" applyBorder="0" applyAlignment="0" applyProtection="0"/>
    <xf numFmtId="0" fontId="7" fillId="13" borderId="0" applyNumberFormat="0" applyBorder="0" applyAlignment="0" applyProtection="0"/>
    <xf numFmtId="0" fontId="19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9" fillId="38" borderId="0" applyNumberFormat="0" applyBorder="0" applyAlignment="0" applyProtection="0"/>
    <xf numFmtId="0" fontId="7" fillId="8" borderId="0" applyNumberFormat="0" applyBorder="0" applyAlignment="0" applyProtection="0"/>
    <xf numFmtId="0" fontId="19" fillId="33" borderId="0" applyNumberFormat="0" applyBorder="0" applyAlignment="0" applyProtection="0"/>
    <xf numFmtId="0" fontId="7" fillId="10" borderId="0" applyNumberFormat="0" applyBorder="0" applyAlignment="0" applyProtection="0"/>
    <xf numFmtId="0" fontId="19" fillId="16" borderId="0" applyNumberFormat="0" applyBorder="0" applyAlignment="0" applyProtection="0"/>
    <xf numFmtId="0" fontId="7" fillId="12" borderId="0" applyNumberFormat="0" applyBorder="0" applyAlignment="0" applyProtection="0"/>
    <xf numFmtId="0" fontId="19" fillId="26" borderId="0" applyNumberFormat="0" applyBorder="0" applyAlignment="0" applyProtection="0"/>
    <xf numFmtId="0" fontId="7" fillId="14" borderId="0" applyNumberFormat="0" applyBorder="0" applyAlignment="0" applyProtection="0"/>
    <xf numFmtId="0" fontId="21" fillId="72" borderId="0" applyNumberFormat="0" applyBorder="0" applyAlignment="0" applyProtection="0"/>
    <xf numFmtId="0" fontId="92" fillId="60" borderId="0" applyNumberFormat="0" applyBorder="0" applyAlignment="0" applyProtection="0"/>
    <xf numFmtId="0" fontId="21" fillId="17" borderId="0" applyNumberFormat="0" applyBorder="0" applyAlignment="0" applyProtection="0"/>
    <xf numFmtId="0" fontId="92" fillId="62" borderId="0" applyNumberFormat="0" applyBorder="0" applyAlignment="0" applyProtection="0"/>
    <xf numFmtId="0" fontId="21" fillId="38" borderId="0" applyNumberFormat="0" applyBorder="0" applyAlignment="0" applyProtection="0"/>
    <xf numFmtId="0" fontId="92" fillId="64" borderId="0" applyNumberFormat="0" applyBorder="0" applyAlignment="0" applyProtection="0"/>
    <xf numFmtId="0" fontId="21" fillId="73" borderId="0" applyNumberFormat="0" applyBorder="0" applyAlignment="0" applyProtection="0"/>
    <xf numFmtId="0" fontId="92" fillId="66" borderId="0" applyNumberFormat="0" applyBorder="0" applyAlignment="0" applyProtection="0"/>
    <xf numFmtId="0" fontId="21" fillId="29" borderId="0" applyNumberFormat="0" applyBorder="0" applyAlignment="0" applyProtection="0"/>
    <xf numFmtId="0" fontId="92" fillId="68" borderId="0" applyNumberFormat="0" applyBorder="0" applyAlignment="0" applyProtection="0"/>
    <xf numFmtId="0" fontId="21" fillId="48" borderId="0" applyNumberFormat="0" applyBorder="0" applyAlignment="0" applyProtection="0"/>
    <xf numFmtId="0" fontId="92" fillId="70" borderId="0" applyNumberFormat="0" applyBorder="0" applyAlignment="0" applyProtection="0"/>
    <xf numFmtId="0" fontId="21" fillId="74" borderId="0" applyNumberFormat="0" applyBorder="0" applyAlignment="0" applyProtection="0"/>
    <xf numFmtId="0" fontId="92" fillId="59" borderId="0" applyNumberFormat="0" applyBorder="0" applyAlignment="0" applyProtection="0"/>
    <xf numFmtId="0" fontId="21" fillId="30" borderId="0" applyNumberFormat="0" applyBorder="0" applyAlignment="0" applyProtection="0"/>
    <xf numFmtId="0" fontId="92" fillId="61" borderId="0" applyNumberFormat="0" applyBorder="0" applyAlignment="0" applyProtection="0"/>
    <xf numFmtId="0" fontId="21" fillId="31" borderId="0" applyNumberFormat="0" applyBorder="0" applyAlignment="0" applyProtection="0"/>
    <xf numFmtId="0" fontId="92" fillId="63" borderId="0" applyNumberFormat="0" applyBorder="0" applyAlignment="0" applyProtection="0"/>
    <xf numFmtId="0" fontId="21" fillId="73" borderId="0" applyNumberFormat="0" applyBorder="0" applyAlignment="0" applyProtection="0"/>
    <xf numFmtId="0" fontId="92" fillId="65" borderId="0" applyNumberFormat="0" applyBorder="0" applyAlignment="0" applyProtection="0"/>
    <xf numFmtId="0" fontId="92" fillId="67" borderId="0" applyNumberFormat="0" applyBorder="0" applyAlignment="0" applyProtection="0"/>
    <xf numFmtId="0" fontId="21" fillId="25" borderId="0" applyNumberFormat="0" applyBorder="0" applyAlignment="0" applyProtection="0"/>
    <xf numFmtId="0" fontId="92" fillId="69" borderId="0" applyNumberFormat="0" applyBorder="0" applyAlignment="0" applyProtection="0"/>
    <xf numFmtId="0" fontId="23" fillId="23" borderId="0" applyNumberFormat="0" applyBorder="0" applyAlignment="0" applyProtection="0"/>
    <xf numFmtId="0" fontId="83" fillId="54" borderId="0" applyNumberFormat="0" applyBorder="0" applyAlignment="0" applyProtection="0"/>
    <xf numFmtId="0" fontId="121" fillId="19" borderId="8" applyNumberFormat="0" applyAlignment="0" applyProtection="0"/>
    <xf numFmtId="0" fontId="87" fillId="57" borderId="29" applyNumberFormat="0" applyAlignment="0" applyProtection="0"/>
    <xf numFmtId="0" fontId="89" fillId="58" borderId="32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82" fillId="53" borderId="0" applyNumberFormat="0" applyBorder="0" applyAlignment="0" applyProtection="0"/>
    <xf numFmtId="0" fontId="101" fillId="0" borderId="34" applyNumberFormat="0" applyFill="0" applyAlignment="0" applyProtection="0"/>
    <xf numFmtId="0" fontId="105" fillId="0" borderId="35" applyNumberFormat="0" applyFill="0" applyAlignment="0" applyProtection="0"/>
    <xf numFmtId="0" fontId="107" fillId="0" borderId="36" applyNumberFormat="0" applyFill="0" applyAlignment="0" applyProtection="0"/>
    <xf numFmtId="0" fontId="81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9" fillId="20" borderId="8" applyNumberFormat="0" applyAlignment="0" applyProtection="0"/>
    <xf numFmtId="0" fontId="85" fillId="56" borderId="29" applyNumberFormat="0" applyAlignment="0" applyProtection="0"/>
    <xf numFmtId="0" fontId="110" fillId="0" borderId="19" applyNumberFormat="0" applyFill="0" applyAlignment="0" applyProtection="0"/>
    <xf numFmtId="0" fontId="88" fillId="0" borderId="31" applyNumberFormat="0" applyFill="0" applyAlignment="0" applyProtection="0"/>
    <xf numFmtId="0" fontId="112" fillId="22" borderId="0" applyNumberFormat="0" applyBorder="0" applyAlignment="0" applyProtection="0"/>
    <xf numFmtId="0" fontId="84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8" borderId="20" applyNumberFormat="0" applyFont="0" applyAlignment="0" applyProtection="0"/>
    <xf numFmtId="0" fontId="57" fillId="19" borderId="21" applyNumberFormat="0" applyAlignment="0" applyProtection="0"/>
    <xf numFmtId="0" fontId="86" fillId="57" borderId="3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90" fillId="0" borderId="0" applyNumberFormat="0" applyFill="0" applyBorder="0" applyAlignment="0" applyProtection="0"/>
    <xf numFmtId="0" fontId="126" fillId="0" borderId="0"/>
    <xf numFmtId="0" fontId="11" fillId="0" borderId="0"/>
    <xf numFmtId="0" fontId="11" fillId="0" borderId="0"/>
    <xf numFmtId="0" fontId="11" fillId="0" borderId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" fillId="0" borderId="0"/>
    <xf numFmtId="183" fontId="9" fillId="0" borderId="0" applyFill="0"/>
    <xf numFmtId="183" fontId="9" fillId="0" borderId="0">
      <alignment horizontal="center"/>
    </xf>
    <xf numFmtId="0" fontId="9" fillId="0" borderId="0" applyFill="0">
      <alignment horizontal="center"/>
    </xf>
    <xf numFmtId="183" fontId="39" fillId="0" borderId="39" applyFill="0"/>
    <xf numFmtId="0" fontId="11" fillId="0" borderId="0" applyFont="0" applyAlignment="0"/>
    <xf numFmtId="0" fontId="128" fillId="0" borderId="0" applyFill="0">
      <alignment vertical="top"/>
    </xf>
    <xf numFmtId="0" fontId="39" fillId="0" borderId="0" applyFill="0">
      <alignment horizontal="left" vertical="top"/>
    </xf>
    <xf numFmtId="183" fontId="17" fillId="0" borderId="1" applyFill="0"/>
    <xf numFmtId="0" fontId="11" fillId="0" borderId="0" applyNumberFormat="0" applyFont="0" applyAlignment="0"/>
    <xf numFmtId="0" fontId="128" fillId="0" borderId="0" applyFill="0">
      <alignment wrapText="1"/>
    </xf>
    <xf numFmtId="0" fontId="39" fillId="0" borderId="0" applyFill="0">
      <alignment horizontal="left" vertical="top" wrapText="1"/>
    </xf>
    <xf numFmtId="183" fontId="129" fillId="0" borderId="0" applyFill="0"/>
    <xf numFmtId="0" fontId="130" fillId="0" borderId="0" applyNumberFormat="0" applyFont="0" applyAlignment="0">
      <alignment horizontal="center"/>
    </xf>
    <xf numFmtId="0" fontId="131" fillId="0" borderId="0" applyFill="0">
      <alignment vertical="top" wrapText="1"/>
    </xf>
    <xf numFmtId="0" fontId="17" fillId="0" borderId="0" applyFill="0">
      <alignment horizontal="left" vertical="top" wrapText="1"/>
    </xf>
    <xf numFmtId="183" fontId="11" fillId="0" borderId="0" applyFill="0"/>
    <xf numFmtId="0" fontId="130" fillId="0" borderId="0" applyNumberFormat="0" applyFont="0" applyAlignment="0">
      <alignment horizontal="center"/>
    </xf>
    <xf numFmtId="0" fontId="132" fillId="0" borderId="0" applyFill="0">
      <alignment vertical="center" wrapText="1"/>
    </xf>
    <xf numFmtId="0" fontId="16" fillId="0" borderId="0">
      <alignment horizontal="left" vertical="center" wrapText="1"/>
    </xf>
    <xf numFmtId="183" fontId="133" fillId="0" borderId="0" applyFill="0"/>
    <xf numFmtId="0" fontId="130" fillId="0" borderId="0" applyNumberFormat="0" applyFont="0" applyAlignment="0">
      <alignment horizontal="center"/>
    </xf>
    <xf numFmtId="0" fontId="134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83" fontId="135" fillId="0" borderId="0" applyFill="0"/>
    <xf numFmtId="0" fontId="130" fillId="0" borderId="0" applyNumberFormat="0" applyFont="0" applyAlignment="0">
      <alignment horizontal="center"/>
    </xf>
    <xf numFmtId="0" fontId="136" fillId="0" borderId="0" applyFill="0">
      <alignment horizontal="center" vertical="center" wrapText="1"/>
    </xf>
    <xf numFmtId="0" fontId="137" fillId="0" borderId="0" applyFill="0">
      <alignment horizontal="center" vertical="center" wrapText="1"/>
    </xf>
    <xf numFmtId="183" fontId="138" fillId="0" borderId="0" applyFill="0"/>
    <xf numFmtId="0" fontId="130" fillId="0" borderId="0" applyNumberFormat="0" applyFont="0" applyAlignment="0">
      <alignment horizontal="center"/>
    </xf>
    <xf numFmtId="0" fontId="139" fillId="0" borderId="0">
      <alignment horizontal="center" wrapText="1"/>
    </xf>
    <xf numFmtId="0" fontId="135" fillId="0" borderId="0" applyFill="0">
      <alignment horizont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9" fillId="15" borderId="0" applyFill="0"/>
    <xf numFmtId="0" fontId="140" fillId="0" borderId="0">
      <alignment horizontal="left" indent="7"/>
    </xf>
    <xf numFmtId="0" fontId="9" fillId="0" borderId="0" applyFill="0">
      <alignment horizontal="left" indent="7"/>
    </xf>
    <xf numFmtId="7" fontId="141" fillId="0" borderId="26" applyFill="0">
      <alignment horizontal="right"/>
    </xf>
    <xf numFmtId="0" fontId="17" fillId="0" borderId="0" applyNumberFormat="0">
      <alignment horizontal="right"/>
    </xf>
    <xf numFmtId="0" fontId="142" fillId="0" borderId="26" applyFont="0" applyFill="0"/>
    <xf numFmtId="0" fontId="17" fillId="0" borderId="26" applyFill="0"/>
    <xf numFmtId="39" fontId="141" fillId="0" borderId="0" applyFill="0"/>
    <xf numFmtId="0" fontId="11" fillId="0" borderId="0" applyNumberFormat="0" applyFont="0" applyBorder="0" applyAlignment="0"/>
    <xf numFmtId="0" fontId="131" fillId="0" borderId="0" applyFill="0">
      <alignment horizontal="left" indent="1"/>
    </xf>
    <xf numFmtId="0" fontId="17" fillId="0" borderId="0" applyFill="0">
      <alignment horizontal="left" indent="1"/>
    </xf>
    <xf numFmtId="39" fontId="133" fillId="0" borderId="0" applyFill="0"/>
    <xf numFmtId="0" fontId="11" fillId="0" borderId="0" applyNumberFormat="0" applyFont="0" applyFill="0" applyBorder="0" applyAlignment="0"/>
    <xf numFmtId="0" fontId="131" fillId="0" borderId="0" applyFill="0">
      <alignment horizontal="left" indent="2"/>
    </xf>
    <xf numFmtId="0" fontId="69" fillId="0" borderId="0" applyFill="0">
      <alignment horizontal="left" indent="2"/>
    </xf>
    <xf numFmtId="39" fontId="133" fillId="0" borderId="0" applyFill="0"/>
    <xf numFmtId="0" fontId="11" fillId="0" borderId="0" applyNumberFormat="0" applyFont="0" applyBorder="0" applyAlignment="0"/>
    <xf numFmtId="0" fontId="143" fillId="0" borderId="0">
      <alignment horizontal="left" indent="3"/>
    </xf>
    <xf numFmtId="0" fontId="144" fillId="0" borderId="0" applyFill="0">
      <alignment horizontal="left" indent="3"/>
    </xf>
    <xf numFmtId="39" fontId="133" fillId="0" borderId="0" applyFill="0"/>
    <xf numFmtId="0" fontId="11" fillId="0" borderId="0" applyNumberFormat="0" applyFont="0" applyBorder="0" applyAlignment="0"/>
    <xf numFmtId="0" fontId="134" fillId="0" borderId="0">
      <alignment horizontal="left" indent="4"/>
    </xf>
    <xf numFmtId="0" fontId="11" fillId="0" borderId="0" applyFill="0">
      <alignment horizontal="left" indent="4"/>
    </xf>
    <xf numFmtId="39" fontId="133" fillId="0" borderId="0" applyFill="0"/>
    <xf numFmtId="0" fontId="11" fillId="0" borderId="0" applyNumberFormat="0" applyFont="0" applyBorder="0" applyAlignment="0"/>
    <xf numFmtId="0" fontId="136" fillId="0" borderId="0">
      <alignment horizontal="left" indent="5"/>
    </xf>
    <xf numFmtId="0" fontId="137" fillId="0" borderId="0" applyFill="0">
      <alignment horizontal="left" indent="5"/>
    </xf>
    <xf numFmtId="39" fontId="138" fillId="0" borderId="0" applyFill="0"/>
    <xf numFmtId="0" fontId="11" fillId="0" borderId="0" applyNumberFormat="0" applyFont="0" applyFill="0" applyBorder="0" applyAlignment="0"/>
    <xf numFmtId="0" fontId="139" fillId="0" borderId="0" applyFill="0">
      <alignment horizontal="left" indent="6"/>
    </xf>
    <xf numFmtId="0" fontId="135" fillId="0" borderId="0" applyFill="0">
      <alignment horizontal="left" indent="6"/>
    </xf>
    <xf numFmtId="0" fontId="3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184" fontId="145" fillId="0" borderId="43" applyNumberFormat="0" applyProtection="0">
      <alignment horizontal="right" vertical="center"/>
    </xf>
    <xf numFmtId="184" fontId="146" fillId="0" borderId="44" applyNumberFormat="0" applyProtection="0">
      <alignment horizontal="right" vertical="center"/>
    </xf>
    <xf numFmtId="0" fontId="146" fillId="77" borderId="45" applyNumberFormat="0" applyAlignment="0" applyProtection="0">
      <alignment horizontal="left" vertical="center" indent="1"/>
    </xf>
    <xf numFmtId="0" fontId="147" fillId="0" borderId="46" applyNumberFormat="0" applyFill="0" applyBorder="0" applyAlignment="0" applyProtection="0"/>
    <xf numFmtId="0" fontId="148" fillId="78" borderId="45" applyNumberFormat="0" applyAlignment="0" applyProtection="0">
      <alignment horizontal="left" vertical="center" indent="1"/>
    </xf>
    <xf numFmtId="0" fontId="148" fillId="79" borderId="45" applyNumberFormat="0" applyAlignment="0" applyProtection="0">
      <alignment horizontal="left" vertical="center" indent="1"/>
    </xf>
    <xf numFmtId="0" fontId="148" fillId="80" borderId="45" applyNumberFormat="0" applyAlignment="0" applyProtection="0">
      <alignment horizontal="left" vertical="center" indent="1"/>
    </xf>
    <xf numFmtId="0" fontId="148" fillId="81" borderId="45" applyNumberFormat="0" applyAlignment="0" applyProtection="0">
      <alignment horizontal="left" vertical="center" indent="1"/>
    </xf>
    <xf numFmtId="0" fontId="148" fillId="82" borderId="44" applyNumberFormat="0" applyAlignment="0" applyProtection="0">
      <alignment horizontal="left" vertical="center" indent="1"/>
    </xf>
    <xf numFmtId="184" fontId="145" fillId="83" borderId="45" applyNumberFormat="0" applyAlignment="0" applyProtection="0">
      <alignment horizontal="left" vertical="center" indent="1"/>
    </xf>
    <xf numFmtId="0" fontId="146" fillId="77" borderId="44" applyNumberFormat="0" applyAlignment="0" applyProtection="0">
      <alignment horizontal="left" vertical="center" indent="1"/>
    </xf>
    <xf numFmtId="38" fontId="11" fillId="84" borderId="0" applyNumberFormat="0" applyFont="0" applyBorder="0" applyAlignment="0" applyProtection="0"/>
    <xf numFmtId="185" fontId="67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49" fillId="57" borderId="29" applyNumberFormat="0" applyAlignment="0" applyProtection="0"/>
    <xf numFmtId="168" fontId="28" fillId="37" borderId="0">
      <alignment horizontal="left"/>
    </xf>
    <xf numFmtId="168" fontId="30" fillId="37" borderId="0">
      <alignment horizontal="right"/>
    </xf>
    <xf numFmtId="168" fontId="31" fillId="34" borderId="0">
      <alignment horizontal="center"/>
    </xf>
    <xf numFmtId="168" fontId="30" fillId="37" borderId="0">
      <alignment horizontal="right"/>
    </xf>
    <xf numFmtId="168" fontId="32" fillId="34" borderId="0">
      <alignment horizontal="lef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0" fillId="56" borderId="29" applyNumberFormat="0" applyAlignment="0" applyProtection="0"/>
    <xf numFmtId="168" fontId="28" fillId="37" borderId="0">
      <alignment horizontal="left"/>
    </xf>
    <xf numFmtId="168" fontId="51" fillId="34" borderId="0">
      <alignment horizontal="left"/>
    </xf>
    <xf numFmtId="168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171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168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" borderId="6" applyNumberFormat="0" applyFont="0" applyAlignment="0" applyProtection="0"/>
    <xf numFmtId="0" fontId="35" fillId="18" borderId="20" applyNumberFormat="0" applyFont="0" applyAlignment="0" applyProtection="0"/>
    <xf numFmtId="0" fontId="6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0" borderId="0"/>
    <xf numFmtId="0" fontId="35" fillId="18" borderId="20" applyNumberFormat="0" applyFont="0" applyAlignment="0" applyProtection="0"/>
    <xf numFmtId="0" fontId="6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0" borderId="0"/>
    <xf numFmtId="0" fontId="35" fillId="18" borderId="20" applyNumberFormat="0" applyFont="0" applyAlignment="0" applyProtection="0"/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168" fontId="51" fillId="22" borderId="0">
      <alignment horizontal="center"/>
    </xf>
    <xf numFmtId="168" fontId="30" fillId="37" borderId="0">
      <alignment horizontal="center"/>
    </xf>
    <xf numFmtId="168" fontId="30" fillId="37" borderId="0">
      <alignment horizontal="centerContinuous"/>
    </xf>
    <xf numFmtId="168" fontId="70" fillId="34" borderId="0">
      <alignment horizontal="left"/>
    </xf>
    <xf numFmtId="168" fontId="28" fillId="37" borderId="0">
      <alignment horizontal="left"/>
    </xf>
    <xf numFmtId="168" fontId="28" fillId="37" borderId="0">
      <alignment horizontal="centerContinuous"/>
    </xf>
    <xf numFmtId="168" fontId="28" fillId="37" borderId="0">
      <alignment horizontal="right"/>
    </xf>
    <xf numFmtId="168" fontId="30" fillId="37" borderId="0">
      <alignment horizontal="right"/>
    </xf>
    <xf numFmtId="168" fontId="70" fillId="20" borderId="0">
      <alignment horizontal="center"/>
    </xf>
    <xf numFmtId="168" fontId="71" fillId="20" borderId="0">
      <alignment horizontal="center"/>
    </xf>
    <xf numFmtId="168" fontId="78" fillId="34" borderId="0">
      <alignment horizontal="center"/>
    </xf>
    <xf numFmtId="43" fontId="11" fillId="0" borderId="0" applyFont="0" applyFill="0" applyBorder="0" applyAlignment="0" applyProtection="0"/>
    <xf numFmtId="166" fontId="11" fillId="0" borderId="0"/>
    <xf numFmtId="44" fontId="11" fillId="0" borderId="0" applyFont="0" applyFill="0" applyBorder="0" applyAlignment="0" applyProtection="0"/>
    <xf numFmtId="0" fontId="16" fillId="0" borderId="0"/>
    <xf numFmtId="166" fontId="11" fillId="0" borderId="0"/>
    <xf numFmtId="166" fontId="151" fillId="0" borderId="0"/>
    <xf numFmtId="0" fontId="11" fillId="0" borderId="0"/>
    <xf numFmtId="37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37" fontId="18" fillId="0" borderId="0"/>
    <xf numFmtId="37" fontId="18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192">
    <xf numFmtId="0" fontId="0" fillId="0" borderId="0" xfId="0"/>
    <xf numFmtId="0" fontId="11" fillId="0" borderId="0" xfId="8" applyFont="1"/>
    <xf numFmtId="0" fontId="79" fillId="0" borderId="0" xfId="5126" applyFont="1" applyFill="1" applyBorder="1" applyAlignment="1">
      <alignment horizontal="left"/>
    </xf>
    <xf numFmtId="0" fontId="79" fillId="0" borderId="0" xfId="5126" applyFont="1" applyFill="1" applyBorder="1" applyAlignment="1">
      <alignment horizontal="right"/>
    </xf>
    <xf numFmtId="0" fontId="79" fillId="0" borderId="0" xfId="5126" applyFont="1" applyFill="1" applyBorder="1" applyAlignment="1">
      <alignment horizontal="left" vertical="top"/>
    </xf>
    <xf numFmtId="0" fontId="79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wrapText="1"/>
    </xf>
    <xf numFmtId="164" fontId="79" fillId="0" borderId="0" xfId="3950" applyNumberFormat="1" applyFont="1" applyFill="1" applyBorder="1" applyAlignment="1">
      <alignment horizontal="right" wrapText="1"/>
    </xf>
    <xf numFmtId="173" fontId="79" fillId="0" borderId="0" xfId="5126" applyNumberFormat="1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vertical="center" wrapText="1"/>
    </xf>
    <xf numFmtId="164" fontId="79" fillId="0" borderId="0" xfId="3950" applyNumberFormat="1" applyFont="1" applyFill="1" applyBorder="1" applyAlignment="1">
      <alignment horizontal="center" vertical="center" wrapText="1"/>
    </xf>
    <xf numFmtId="0" fontId="10" fillId="0" borderId="0" xfId="5126" applyFont="1" applyFill="1" applyBorder="1" applyAlignment="1">
      <alignment horizontal="left" wrapText="1"/>
    </xf>
    <xf numFmtId="0" fontId="11" fillId="0" borderId="0" xfId="0" applyFont="1" applyBorder="1"/>
    <xf numFmtId="0" fontId="79" fillId="0" borderId="1" xfId="5126" applyFont="1" applyFill="1" applyBorder="1" applyAlignment="1">
      <alignment horizontal="left"/>
    </xf>
    <xf numFmtId="0" fontId="11" fillId="0" borderId="2" xfId="5126" applyFont="1" applyFill="1" applyBorder="1" applyAlignment="1">
      <alignment horizontal="center" wrapText="1"/>
    </xf>
    <xf numFmtId="10" fontId="79" fillId="0" borderId="0" xfId="12089" applyNumberFormat="1" applyFont="1" applyFill="1" applyBorder="1" applyAlignment="1">
      <alignment horizontal="right" wrapText="1"/>
    </xf>
    <xf numFmtId="164" fontId="79" fillId="0" borderId="0" xfId="1" applyNumberFormat="1" applyFont="1" applyFill="1" applyBorder="1" applyAlignment="1">
      <alignment horizontal="right" wrapText="1"/>
    </xf>
    <xf numFmtId="37" fontId="16" fillId="0" borderId="0" xfId="14643" applyFont="1"/>
    <xf numFmtId="0" fontId="152" fillId="0" borderId="0" xfId="5126" applyFont="1" applyFill="1" applyBorder="1" applyAlignment="1">
      <alignment horizontal="right"/>
    </xf>
    <xf numFmtId="37" fontId="11" fillId="0" borderId="0" xfId="14643" applyFont="1"/>
    <xf numFmtId="0" fontId="17" fillId="0" borderId="0" xfId="4614" quotePrefix="1" applyFont="1" applyAlignment="1" applyProtection="1">
      <alignment horizontal="left"/>
    </xf>
    <xf numFmtId="0" fontId="17" fillId="0" borderId="0" xfId="5126" applyFont="1" applyFill="1" applyBorder="1" applyAlignment="1">
      <alignment horizontal="right"/>
    </xf>
    <xf numFmtId="37" fontId="17" fillId="0" borderId="0" xfId="14643" applyFont="1" applyAlignment="1"/>
    <xf numFmtId="37" fontId="16" fillId="0" borderId="0" xfId="14643" applyFont="1" applyBorder="1"/>
    <xf numFmtId="164" fontId="16" fillId="0" borderId="0" xfId="4" applyNumberFormat="1" applyFont="1" applyBorder="1" applyAlignment="1">
      <alignment horizontal="centerContinuous"/>
    </xf>
    <xf numFmtId="164" fontId="153" fillId="0" borderId="0" xfId="4" applyNumberFormat="1" applyFont="1" applyBorder="1" applyAlignment="1">
      <alignment horizontal="centerContinuous"/>
    </xf>
    <xf numFmtId="164" fontId="16" fillId="0" borderId="0" xfId="4" applyNumberFormat="1" applyFont="1" applyBorder="1"/>
    <xf numFmtId="186" fontId="16" fillId="0" borderId="0" xfId="14643" applyNumberFormat="1" applyFont="1"/>
    <xf numFmtId="187" fontId="16" fillId="0" borderId="0" xfId="2" applyNumberFormat="1" applyFont="1" applyBorder="1" applyAlignment="1">
      <alignment horizontal="left"/>
    </xf>
    <xf numFmtId="187" fontId="16" fillId="0" borderId="0" xfId="2" applyNumberFormat="1" applyFont="1" applyBorder="1" applyAlignment="1">
      <alignment horizontal="fill"/>
    </xf>
    <xf numFmtId="187" fontId="16" fillId="0" borderId="0" xfId="2" applyNumberFormat="1" applyFont="1" applyBorder="1"/>
    <xf numFmtId="188" fontId="16" fillId="0" borderId="0" xfId="1" applyNumberFormat="1" applyFont="1"/>
    <xf numFmtId="37" fontId="16" fillId="0" borderId="0" xfId="14643" applyFont="1" applyBorder="1" applyAlignment="1">
      <alignment horizontal="left"/>
    </xf>
    <xf numFmtId="164" fontId="16" fillId="0" borderId="0" xfId="4" applyNumberFormat="1" applyFont="1" applyBorder="1" applyProtection="1">
      <protection locked="0"/>
    </xf>
    <xf numFmtId="189" fontId="16" fillId="0" borderId="0" xfId="14643" applyNumberFormat="1" applyFont="1" applyProtection="1"/>
    <xf numFmtId="188" fontId="16" fillId="0" borderId="2" xfId="1" applyNumberFormat="1" applyFont="1" applyBorder="1" applyProtection="1"/>
    <xf numFmtId="190" fontId="16" fillId="0" borderId="0" xfId="4" applyNumberFormat="1" applyFont="1" applyProtection="1"/>
    <xf numFmtId="37" fontId="16" fillId="0" borderId="0" xfId="14643" quotePrefix="1" applyFont="1" applyBorder="1" applyAlignment="1">
      <alignment horizontal="left"/>
    </xf>
    <xf numFmtId="187" fontId="16" fillId="0" borderId="0" xfId="2" applyNumberFormat="1" applyFont="1" applyBorder="1" applyProtection="1"/>
    <xf numFmtId="188" fontId="16" fillId="0" borderId="0" xfId="1" applyNumberFormat="1" applyFont="1" applyBorder="1" applyProtection="1"/>
    <xf numFmtId="37" fontId="16" fillId="0" borderId="0" xfId="14644" quotePrefix="1" applyFont="1" applyAlignment="1">
      <alignment horizontal="left"/>
    </xf>
    <xf numFmtId="9" fontId="16" fillId="0" borderId="0" xfId="4" applyNumberFormat="1" applyFont="1" applyBorder="1" applyProtection="1"/>
    <xf numFmtId="186" fontId="11" fillId="0" borderId="0" xfId="14643" applyNumberFormat="1" applyFont="1"/>
    <xf numFmtId="10" fontId="16" fillId="0" borderId="0" xfId="1" applyNumberFormat="1" applyFont="1" applyBorder="1" applyProtection="1"/>
    <xf numFmtId="37" fontId="16" fillId="0" borderId="0" xfId="14644" quotePrefix="1" applyFont="1" applyBorder="1" applyAlignment="1">
      <alignment horizontal="left"/>
    </xf>
    <xf numFmtId="188" fontId="16" fillId="0" borderId="0" xfId="1" applyNumberFormat="1" applyFont="1" applyFill="1" applyBorder="1" applyProtection="1"/>
    <xf numFmtId="190" fontId="16" fillId="0" borderId="0" xfId="4" applyNumberFormat="1" applyFont="1" applyBorder="1" applyProtection="1"/>
    <xf numFmtId="188" fontId="16" fillId="0" borderId="27" xfId="1" applyNumberFormat="1" applyFont="1" applyBorder="1"/>
    <xf numFmtId="164" fontId="16" fillId="0" borderId="0" xfId="4" applyNumberFormat="1" applyFont="1" applyBorder="1" applyAlignment="1">
      <alignment horizontal="right"/>
    </xf>
    <xf numFmtId="186" fontId="16" fillId="0" borderId="0" xfId="14643" applyNumberFormat="1" applyFont="1" applyProtection="1"/>
    <xf numFmtId="37" fontId="153" fillId="0" borderId="0" xfId="14644" applyFont="1"/>
    <xf numFmtId="37" fontId="16" fillId="0" borderId="0" xfId="14644" applyFont="1" applyBorder="1" applyAlignment="1">
      <alignment horizontal="left"/>
    </xf>
    <xf numFmtId="189" fontId="16" fillId="0" borderId="0" xfId="14644" applyNumberFormat="1" applyFont="1" applyProtection="1"/>
    <xf numFmtId="37" fontId="16" fillId="0" borderId="0" xfId="14644" applyFont="1" applyBorder="1"/>
    <xf numFmtId="188" fontId="16" fillId="0" borderId="27" xfId="1" applyNumberFormat="1" applyFont="1" applyBorder="1" applyProtection="1"/>
    <xf numFmtId="37" fontId="144" fillId="0" borderId="0" xfId="14644" quotePrefix="1" applyFont="1" applyBorder="1" applyAlignment="1">
      <alignment horizontal="left"/>
    </xf>
    <xf numFmtId="173" fontId="164" fillId="0" borderId="0" xfId="5126" applyNumberFormat="1" applyFont="1" applyFill="1" applyBorder="1" applyAlignment="1">
      <alignment horizontal="center" wrapText="1"/>
    </xf>
    <xf numFmtId="164" fontId="164" fillId="0" borderId="0" xfId="3950" applyNumberFormat="1" applyFont="1" applyFill="1" applyBorder="1" applyAlignment="1">
      <alignment horizontal="right" wrapText="1"/>
    </xf>
    <xf numFmtId="191" fontId="164" fillId="0" borderId="0" xfId="3950" applyNumberFormat="1" applyFont="1" applyFill="1" applyBorder="1" applyAlignment="1">
      <alignment horizontal="right" wrapText="1"/>
    </xf>
    <xf numFmtId="0" fontId="155" fillId="85" borderId="0" xfId="14652" applyFont="1" applyFill="1"/>
    <xf numFmtId="0" fontId="156" fillId="0" borderId="0" xfId="14652" applyFont="1" applyFill="1"/>
    <xf numFmtId="0" fontId="157" fillId="0" borderId="0" xfId="14652" applyFont="1" applyFill="1"/>
    <xf numFmtId="0" fontId="158" fillId="0" borderId="0" xfId="14652" applyFont="1"/>
    <xf numFmtId="0" fontId="159" fillId="0" borderId="0" xfId="14652" applyFont="1" applyFill="1"/>
    <xf numFmtId="0" fontId="2" fillId="0" borderId="0" xfId="14652" applyFont="1"/>
    <xf numFmtId="17" fontId="160" fillId="86" borderId="0" xfId="14652" applyNumberFormat="1" applyFont="1" applyFill="1" applyAlignment="1">
      <alignment horizontal="center" wrapText="1"/>
    </xf>
    <xf numFmtId="17" fontId="161" fillId="0" borderId="0" xfId="14652" applyNumberFormat="1" applyFont="1" applyAlignment="1">
      <alignment horizontal="center" wrapText="1"/>
    </xf>
    <xf numFmtId="0" fontId="2" fillId="0" borderId="0" xfId="14652"/>
    <xf numFmtId="187" fontId="0" fillId="0" borderId="0" xfId="14653" applyNumberFormat="1" applyFont="1"/>
    <xf numFmtId="192" fontId="0" fillId="0" borderId="0" xfId="14650" applyNumberFormat="1" applyFont="1"/>
    <xf numFmtId="0" fontId="2" fillId="0" borderId="0" xfId="14652" applyAlignment="1">
      <alignment vertical="top"/>
    </xf>
    <xf numFmtId="192" fontId="161" fillId="0" borderId="0" xfId="14650" applyNumberFormat="1" applyFont="1"/>
    <xf numFmtId="0" fontId="2" fillId="0" borderId="0" xfId="14652" applyAlignment="1">
      <alignment horizontal="left" indent="2"/>
    </xf>
    <xf numFmtId="187" fontId="162" fillId="0" borderId="0" xfId="14653" applyNumberFormat="1" applyFont="1"/>
    <xf numFmtId="192" fontId="162" fillId="0" borderId="0" xfId="14650" applyNumberFormat="1" applyFont="1"/>
    <xf numFmtId="164" fontId="0" fillId="0" borderId="0" xfId="14651" applyNumberFormat="1" applyFont="1"/>
    <xf numFmtId="164" fontId="161" fillId="0" borderId="0" xfId="14651" applyNumberFormat="1" applyFont="1"/>
    <xf numFmtId="164" fontId="162" fillId="0" borderId="0" xfId="14651" applyNumberFormat="1" applyFont="1"/>
    <xf numFmtId="0" fontId="2" fillId="0" borderId="0" xfId="14652" applyFill="1"/>
    <xf numFmtId="0" fontId="167" fillId="0" borderId="0" xfId="14652" applyFont="1" applyFill="1"/>
    <xf numFmtId="0" fontId="168" fillId="0" borderId="0" xfId="14652" applyFont="1" applyFill="1" applyAlignment="1">
      <alignment horizontal="center"/>
    </xf>
    <xf numFmtId="0" fontId="170" fillId="0" borderId="0" xfId="14652" applyFont="1" applyAlignment="1">
      <alignment horizontal="left" wrapText="1"/>
    </xf>
    <xf numFmtId="0" fontId="160" fillId="0" borderId="0" xfId="14652" applyFont="1" applyAlignment="1">
      <alignment horizontal="center" wrapText="1"/>
    </xf>
    <xf numFmtId="0" fontId="15" fillId="0" borderId="0" xfId="14652" applyFont="1" applyAlignment="1">
      <alignment horizontal="center" wrapText="1"/>
    </xf>
    <xf numFmtId="0" fontId="2" fillId="0" borderId="0" xfId="14652" applyAlignment="1">
      <alignment horizontal="center" wrapText="1"/>
    </xf>
    <xf numFmtId="0" fontId="15" fillId="0" borderId="0" xfId="14652" applyFont="1" applyAlignment="1">
      <alignment horizontal="left"/>
    </xf>
    <xf numFmtId="0" fontId="15" fillId="0" borderId="0" xfId="14652" applyFont="1" applyAlignment="1">
      <alignment horizontal="left" indent="1"/>
    </xf>
    <xf numFmtId="10" fontId="0" fillId="0" borderId="0" xfId="14650" applyNumberFormat="1" applyFont="1"/>
    <xf numFmtId="187" fontId="2" fillId="0" borderId="0" xfId="14652" applyNumberFormat="1"/>
    <xf numFmtId="0" fontId="15" fillId="87" borderId="0" xfId="14652" applyFont="1" applyFill="1" applyAlignment="1">
      <alignment horizontal="left" indent="1"/>
    </xf>
    <xf numFmtId="164" fontId="0" fillId="87" borderId="0" xfId="14651" applyNumberFormat="1" applyFont="1" applyFill="1"/>
    <xf numFmtId="10" fontId="0" fillId="87" borderId="0" xfId="14650" applyNumberFormat="1" applyFont="1" applyFill="1"/>
    <xf numFmtId="0" fontId="15" fillId="0" borderId="0" xfId="14652" applyFont="1" applyFill="1" applyAlignment="1">
      <alignment horizontal="left" indent="1"/>
    </xf>
    <xf numFmtId="164" fontId="0" fillId="0" borderId="0" xfId="14651" applyNumberFormat="1" applyFont="1" applyFill="1"/>
    <xf numFmtId="10" fontId="0" fillId="0" borderId="0" xfId="14650" applyNumberFormat="1" applyFont="1" applyFill="1"/>
    <xf numFmtId="164" fontId="0" fillId="88" borderId="0" xfId="14651" applyNumberFormat="1" applyFont="1" applyFill="1"/>
    <xf numFmtId="0" fontId="15" fillId="0" borderId="0" xfId="14652" applyFont="1"/>
    <xf numFmtId="187" fontId="0" fillId="0" borderId="0" xfId="14653" applyNumberFormat="1" applyFont="1" applyFill="1"/>
    <xf numFmtId="164" fontId="161" fillId="0" borderId="0" xfId="14651" applyNumberFormat="1" applyFont="1" applyFill="1"/>
    <xf numFmtId="187" fontId="162" fillId="0" borderId="0" xfId="14653" applyNumberFormat="1" applyFont="1" applyFill="1"/>
    <xf numFmtId="0" fontId="169" fillId="87" borderId="0" xfId="14652" applyFont="1" applyFill="1" applyAlignment="1">
      <alignment horizontal="center" wrapText="1"/>
    </xf>
    <xf numFmtId="0" fontId="171" fillId="0" borderId="0" xfId="14654" applyFont="1" applyAlignment="1">
      <alignment horizontal="center" wrapText="1"/>
    </xf>
    <xf numFmtId="9" fontId="0" fillId="0" borderId="0" xfId="14650" applyNumberFormat="1" applyFont="1"/>
    <xf numFmtId="0" fontId="15" fillId="0" borderId="0" xfId="0" applyFont="1" applyFill="1"/>
    <xf numFmtId="0" fontId="0" fillId="0" borderId="0" xfId="0" applyFill="1"/>
    <xf numFmtId="164" fontId="0" fillId="0" borderId="0" xfId="4" applyNumberFormat="1" applyFont="1" applyFill="1"/>
    <xf numFmtId="164" fontId="0" fillId="0" borderId="0" xfId="4" applyNumberFormat="1" applyFont="1" applyFill="1" applyBorder="1" applyAlignment="1">
      <alignment horizontal="center"/>
    </xf>
    <xf numFmtId="0" fontId="154" fillId="0" borderId="0" xfId="0" applyFont="1" applyFill="1" applyAlignment="1">
      <alignment horizontal="center"/>
    </xf>
    <xf numFmtId="164" fontId="154" fillId="0" borderId="0" xfId="4" applyNumberFormat="1" applyFont="1" applyFill="1" applyAlignment="1">
      <alignment horizontal="center"/>
    </xf>
    <xf numFmtId="164" fontId="154" fillId="0" borderId="54" xfId="4" applyNumberFormat="1" applyFont="1" applyFill="1" applyBorder="1" applyAlignment="1">
      <alignment horizontal="center"/>
    </xf>
    <xf numFmtId="164" fontId="154" fillId="0" borderId="0" xfId="4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right"/>
    </xf>
    <xf numFmtId="164" fontId="3" fillId="0" borderId="54" xfId="4" applyNumberFormat="1" applyFont="1" applyFill="1" applyBorder="1"/>
    <xf numFmtId="164" fontId="3" fillId="0" borderId="0" xfId="4" applyNumberFormat="1" applyFont="1" applyFill="1" applyBorder="1"/>
    <xf numFmtId="164" fontId="0" fillId="0" borderId="54" xfId="4" applyNumberFormat="1" applyFont="1" applyFill="1" applyBorder="1"/>
    <xf numFmtId="164" fontId="0" fillId="0" borderId="0" xfId="4" applyNumberFormat="1" applyFont="1" applyFill="1" applyBorder="1"/>
    <xf numFmtId="0" fontId="0" fillId="0" borderId="0" xfId="0" applyFill="1" applyBorder="1"/>
    <xf numFmtId="164" fontId="154" fillId="0" borderId="10" xfId="4" applyNumberFormat="1" applyFont="1" applyFill="1" applyBorder="1" applyAlignment="1">
      <alignment horizontal="center"/>
    </xf>
    <xf numFmtId="164" fontId="0" fillId="0" borderId="0" xfId="4" quotePrefix="1" applyNumberFormat="1" applyFont="1" applyFill="1" applyBorder="1" applyAlignment="1">
      <alignment horizontal="right"/>
    </xf>
    <xf numFmtId="164" fontId="0" fillId="0" borderId="10" xfId="4" applyNumberFormat="1" applyFont="1" applyFill="1" applyBorder="1"/>
    <xf numFmtId="43" fontId="0" fillId="0" borderId="0" xfId="4" applyNumberFormat="1" applyFont="1" applyFill="1" applyBorder="1"/>
    <xf numFmtId="0" fontId="0" fillId="0" borderId="0" xfId="0" applyFill="1" applyAlignment="1">
      <alignment horizontal="right"/>
    </xf>
    <xf numFmtId="164" fontId="0" fillId="0" borderId="50" xfId="0" applyNumberFormat="1" applyFill="1" applyBorder="1"/>
    <xf numFmtId="164" fontId="0" fillId="0" borderId="55" xfId="0" applyNumberFormat="1" applyFill="1" applyBorder="1"/>
    <xf numFmtId="164" fontId="0" fillId="0" borderId="56" xfId="0" applyNumberFormat="1" applyFill="1" applyBorder="1"/>
    <xf numFmtId="164" fontId="0" fillId="0" borderId="0" xfId="0" applyNumberFormat="1" applyFill="1"/>
    <xf numFmtId="0" fontId="165" fillId="0" borderId="0" xfId="0" applyFont="1" applyFill="1"/>
    <xf numFmtId="0" fontId="166" fillId="0" borderId="0" xfId="0" applyFont="1" applyFill="1"/>
    <xf numFmtId="164" fontId="0" fillId="0" borderId="50" xfId="4" applyNumberFormat="1" applyFont="1" applyFill="1" applyBorder="1"/>
    <xf numFmtId="164" fontId="3" fillId="0" borderId="50" xfId="4" applyNumberFormat="1" applyFont="1" applyFill="1" applyBorder="1"/>
    <xf numFmtId="43" fontId="160" fillId="0" borderId="0" xfId="4" applyFont="1" applyFill="1"/>
    <xf numFmtId="43" fontId="0" fillId="0" borderId="0" xfId="4" applyFont="1" applyFill="1"/>
    <xf numFmtId="43" fontId="15" fillId="0" borderId="0" xfId="4" applyFont="1" applyFill="1" applyAlignment="1">
      <alignment horizontal="left"/>
    </xf>
    <xf numFmtId="43" fontId="15" fillId="0" borderId="0" xfId="14648" applyFont="1" applyFill="1" applyAlignment="1">
      <alignment horizontal="left"/>
    </xf>
    <xf numFmtId="164" fontId="0" fillId="0" borderId="0" xfId="14648" applyNumberFormat="1" applyFont="1" applyFill="1"/>
    <xf numFmtId="43" fontId="0" fillId="0" borderId="0" xfId="4" applyFont="1" applyFill="1" applyAlignment="1">
      <alignment horizontal="left"/>
    </xf>
    <xf numFmtId="43" fontId="0" fillId="0" borderId="0" xfId="14648" applyFont="1" applyFill="1" applyAlignment="1">
      <alignment horizontal="left"/>
    </xf>
    <xf numFmtId="43" fontId="163" fillId="0" borderId="0" xfId="4" applyFont="1" applyFill="1" applyAlignment="1">
      <alignment horizontal="left"/>
    </xf>
    <xf numFmtId="43" fontId="161" fillId="0" borderId="0" xfId="4" applyFont="1" applyFill="1" applyAlignment="1">
      <alignment horizontal="left" wrapText="1"/>
    </xf>
    <xf numFmtId="164" fontId="161" fillId="0" borderId="0" xfId="4" applyNumberFormat="1" applyFont="1" applyFill="1" applyAlignment="1">
      <alignment horizontal="center" wrapText="1"/>
    </xf>
    <xf numFmtId="43" fontId="161" fillId="0" borderId="0" xfId="14648" applyFont="1" applyFill="1" applyAlignment="1">
      <alignment horizontal="left" wrapText="1"/>
    </xf>
    <xf numFmtId="164" fontId="161" fillId="0" borderId="0" xfId="14648" applyNumberFormat="1" applyFont="1" applyFill="1" applyAlignment="1">
      <alignment horizontal="center" wrapText="1"/>
    </xf>
    <xf numFmtId="164" fontId="3" fillId="0" borderId="0" xfId="4" applyNumberFormat="1" applyFont="1" applyFill="1"/>
    <xf numFmtId="43" fontId="0" fillId="0" borderId="0" xfId="14648" applyFont="1" applyFill="1"/>
    <xf numFmtId="164" fontId="3" fillId="0" borderId="0" xfId="14648" applyNumberFormat="1" applyFont="1" applyFill="1"/>
    <xf numFmtId="164" fontId="15" fillId="0" borderId="0" xfId="0" applyNumberFormat="1" applyFont="1" applyFill="1"/>
    <xf numFmtId="164" fontId="3" fillId="0" borderId="2" xfId="14648" applyNumberFormat="1" applyFont="1" applyFill="1" applyBorder="1"/>
    <xf numFmtId="164" fontId="0" fillId="0" borderId="2" xfId="0" applyNumberFormat="1" applyFill="1" applyBorder="1"/>
    <xf numFmtId="164" fontId="3" fillId="0" borderId="2" xfId="4" applyNumberFormat="1" applyFont="1" applyFill="1" applyBorder="1"/>
    <xf numFmtId="164" fontId="0" fillId="0" borderId="2" xfId="4" applyNumberFormat="1" applyFont="1" applyFill="1" applyBorder="1"/>
    <xf numFmtId="43" fontId="1" fillId="0" borderId="0" xfId="4" applyFont="1" applyFill="1"/>
    <xf numFmtId="164" fontId="1" fillId="0" borderId="0" xfId="4" applyNumberFormat="1" applyFont="1" applyFill="1"/>
    <xf numFmtId="164" fontId="1" fillId="0" borderId="0" xfId="4" applyNumberFormat="1" applyFont="1" applyFill="1" applyBorder="1"/>
    <xf numFmtId="43" fontId="1" fillId="0" borderId="0" xfId="14648" applyFont="1" applyFill="1"/>
    <xf numFmtId="164" fontId="0" fillId="0" borderId="2" xfId="0" applyNumberFormat="1" applyBorder="1"/>
    <xf numFmtId="164" fontId="0" fillId="0" borderId="0" xfId="0" applyNumberFormat="1"/>
    <xf numFmtId="164" fontId="0" fillId="0" borderId="0" xfId="4" applyNumberFormat="1" applyFont="1" applyBorder="1"/>
    <xf numFmtId="49" fontId="11" fillId="0" borderId="0" xfId="5126" applyNumberFormat="1" applyFont="1" applyFill="1" applyBorder="1" applyAlignment="1">
      <alignment horizontal="center"/>
    </xf>
    <xf numFmtId="164" fontId="0" fillId="0" borderId="0" xfId="0" applyNumberFormat="1" applyFill="1" applyBorder="1"/>
    <xf numFmtId="43" fontId="0" fillId="0" borderId="0" xfId="0" applyNumberFormat="1" applyFill="1" applyBorder="1"/>
    <xf numFmtId="0" fontId="0" fillId="0" borderId="0" xfId="0" applyBorder="1"/>
    <xf numFmtId="0" fontId="164" fillId="0" borderId="0" xfId="5126" applyFont="1" applyFill="1" applyBorder="1" applyAlignment="1">
      <alignment horizontal="left" wrapText="1"/>
    </xf>
    <xf numFmtId="43" fontId="172" fillId="0" borderId="0" xfId="1" applyNumberFormat="1" applyFont="1" applyFill="1" applyBorder="1" applyAlignment="1">
      <alignment horizontal="right" wrapText="1"/>
    </xf>
    <xf numFmtId="43" fontId="79" fillId="0" borderId="0" xfId="5126" applyNumberFormat="1" applyFont="1" applyFill="1" applyBorder="1" applyAlignment="1">
      <alignment horizontal="left" vertical="top"/>
    </xf>
    <xf numFmtId="164" fontId="172" fillId="0" borderId="0" xfId="3950" applyNumberFormat="1" applyFont="1" applyFill="1" applyBorder="1" applyAlignment="1">
      <alignment horizontal="right" wrapText="1"/>
    </xf>
    <xf numFmtId="191" fontId="173" fillId="0" borderId="0" xfId="3950" applyNumberFormat="1" applyFont="1" applyFill="1" applyBorder="1" applyAlignment="1">
      <alignment horizontal="right" wrapText="1"/>
    </xf>
    <xf numFmtId="0" fontId="79" fillId="0" borderId="0" xfId="5126" quotePrefix="1" applyFont="1" applyFill="1" applyBorder="1" applyAlignment="1">
      <alignment horizontal="right"/>
    </xf>
    <xf numFmtId="49" fontId="11" fillId="0" borderId="0" xfId="5126" applyNumberFormat="1" applyFont="1" applyFill="1" applyBorder="1" applyAlignment="1">
      <alignment horizontal="right"/>
    </xf>
    <xf numFmtId="182" fontId="79" fillId="0" borderId="0" xfId="12089" applyNumberFormat="1" applyFont="1" applyFill="1" applyBorder="1" applyAlignment="1">
      <alignment horizontal="right" wrapText="1"/>
    </xf>
    <xf numFmtId="182" fontId="79" fillId="0" borderId="2" xfId="12089" applyNumberFormat="1" applyFont="1" applyFill="1" applyBorder="1" applyAlignment="1">
      <alignment horizontal="right" wrapText="1"/>
    </xf>
    <xf numFmtId="0" fontId="11" fillId="0" borderId="0" xfId="4614" applyFont="1"/>
    <xf numFmtId="0" fontId="10" fillId="0" borderId="0" xfId="4614" applyFont="1"/>
    <xf numFmtId="193" fontId="79" fillId="0" borderId="0" xfId="12089" applyNumberFormat="1" applyFont="1" applyFill="1" applyBorder="1" applyAlignment="1">
      <alignment horizontal="left" vertical="top"/>
    </xf>
    <xf numFmtId="182" fontId="79" fillId="0" borderId="27" xfId="12089" applyNumberFormat="1" applyFont="1" applyFill="1" applyBorder="1" applyAlignment="1">
      <alignment horizontal="right" wrapText="1"/>
    </xf>
    <xf numFmtId="194" fontId="79" fillId="0" borderId="0" xfId="12089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0" fontId="79" fillId="0" borderId="26" xfId="5126" applyFont="1" applyFill="1" applyBorder="1" applyAlignment="1">
      <alignment horizontal="center"/>
    </xf>
    <xf numFmtId="37" fontId="16" fillId="0" borderId="0" xfId="14643" applyFont="1" applyAlignment="1">
      <alignment horizontal="center"/>
    </xf>
    <xf numFmtId="37" fontId="153" fillId="0" borderId="0" xfId="14643" quotePrefix="1" applyFont="1" applyAlignment="1">
      <alignment horizontal="center"/>
    </xf>
    <xf numFmtId="0" fontId="155" fillId="85" borderId="0" xfId="14652" applyFont="1" applyFill="1" applyAlignment="1">
      <alignment horizontal="center"/>
    </xf>
    <xf numFmtId="0" fontId="169" fillId="87" borderId="0" xfId="14652" applyFont="1" applyFill="1" applyAlignment="1">
      <alignment horizontal="center" wrapText="1"/>
    </xf>
    <xf numFmtId="164" fontId="0" fillId="0" borderId="47" xfId="4" applyNumberFormat="1" applyFont="1" applyFill="1" applyBorder="1" applyAlignment="1">
      <alignment horizontal="center"/>
    </xf>
    <xf numFmtId="164" fontId="0" fillId="0" borderId="48" xfId="4" applyNumberFormat="1" applyFont="1" applyFill="1" applyBorder="1" applyAlignment="1">
      <alignment horizontal="center"/>
    </xf>
    <xf numFmtId="164" fontId="0" fillId="0" borderId="49" xfId="4" applyNumberFormat="1" applyFont="1" applyFill="1" applyBorder="1" applyAlignment="1">
      <alignment horizontal="center"/>
    </xf>
    <xf numFmtId="164" fontId="3" fillId="0" borderId="51" xfId="4" applyNumberFormat="1" applyFont="1" applyFill="1" applyBorder="1" applyAlignment="1">
      <alignment horizontal="center"/>
    </xf>
    <xf numFmtId="164" fontId="3" fillId="0" borderId="52" xfId="4" applyNumberFormat="1" applyFont="1" applyFill="1" applyBorder="1" applyAlignment="1">
      <alignment horizontal="center"/>
    </xf>
    <xf numFmtId="164" fontId="3" fillId="0" borderId="53" xfId="4" applyNumberFormat="1" applyFont="1" applyFill="1" applyBorder="1" applyAlignment="1">
      <alignment horizontal="center"/>
    </xf>
    <xf numFmtId="164" fontId="0" fillId="0" borderId="51" xfId="4" applyNumberFormat="1" applyFont="1" applyFill="1" applyBorder="1" applyAlignment="1">
      <alignment horizontal="center"/>
    </xf>
    <xf numFmtId="164" fontId="0" fillId="0" borderId="52" xfId="4" applyNumberFormat="1" applyFont="1" applyFill="1" applyBorder="1" applyAlignment="1">
      <alignment horizontal="center"/>
    </xf>
    <xf numFmtId="164" fontId="0" fillId="0" borderId="53" xfId="4" applyNumberFormat="1" applyFont="1" applyFill="1" applyBorder="1" applyAlignment="1">
      <alignment horizontal="center"/>
    </xf>
  </cellXfs>
  <cellStyles count="14655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6"/>
    <cellStyle name="Comma 118" xfId="14648"/>
    <cellStyle name="Comma 119" xfId="14651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7"/>
    <cellStyle name="Currency 177" xfId="1465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2 3" xfId="14652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5"/>
    <cellStyle name="Normal 85" xfId="14649"/>
    <cellStyle name="Normal 86" xfId="14654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Composite Tax Rates" xfId="14644"/>
    <cellStyle name="Normal_KU RR Exhibits 12mosAPR 2008 SETTLEMENT JAN09 (Working File)" xfId="14643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50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activeCell="C96" sqref="C96"/>
    </sheetView>
  </sheetViews>
  <sheetFormatPr defaultColWidth="9.140625" defaultRowHeight="12.75" x14ac:dyDescent="0.2"/>
  <cols>
    <col min="1" max="1" width="6.85546875" style="4" customWidth="1"/>
    <col min="2" max="2" width="77.7109375" style="4" customWidth="1"/>
    <col min="3" max="5" width="16.7109375" style="4" customWidth="1"/>
    <col min="6" max="16384" width="9.140625" style="4"/>
  </cols>
  <sheetData>
    <row r="1" spans="1:5" ht="20.100000000000001" customHeight="1" x14ac:dyDescent="0.2">
      <c r="D1" s="3"/>
      <c r="E1" s="3" t="s">
        <v>167</v>
      </c>
    </row>
    <row r="2" spans="1:5" ht="20.100000000000001" customHeight="1" x14ac:dyDescent="0.2">
      <c r="D2" s="3"/>
      <c r="E2" s="3" t="s">
        <v>190</v>
      </c>
    </row>
    <row r="3" spans="1:5" s="2" customFormat="1" ht="20.100000000000001" customHeight="1" x14ac:dyDescent="0.2">
      <c r="A3" s="176" t="s">
        <v>41</v>
      </c>
      <c r="B3" s="176"/>
      <c r="C3" s="176"/>
      <c r="D3" s="176"/>
      <c r="E3" s="176"/>
    </row>
    <row r="4" spans="1:5" s="2" customFormat="1" ht="20.100000000000001" customHeight="1" x14ac:dyDescent="0.2">
      <c r="A4" s="176" t="s">
        <v>160</v>
      </c>
      <c r="B4" s="176"/>
      <c r="C4" s="176"/>
      <c r="D4" s="176"/>
      <c r="E4" s="176"/>
    </row>
    <row r="5" spans="1:5" s="2" customFormat="1" ht="20.100000000000001" customHeight="1" x14ac:dyDescent="0.2">
      <c r="A5" s="177" t="s">
        <v>181</v>
      </c>
      <c r="B5" s="177"/>
      <c r="C5" s="177"/>
      <c r="D5" s="177"/>
      <c r="E5" s="177"/>
    </row>
    <row r="6" spans="1:5" s="2" customFormat="1" ht="20.100000000000001" customHeight="1" x14ac:dyDescent="0.2">
      <c r="A6" s="177" t="s">
        <v>168</v>
      </c>
      <c r="B6" s="177"/>
      <c r="C6" s="177"/>
      <c r="D6" s="177"/>
      <c r="E6" s="177"/>
    </row>
    <row r="7" spans="1:5" s="2" customFormat="1" ht="29.25" customHeight="1" x14ac:dyDescent="0.2"/>
    <row r="8" spans="1:5" s="2" customFormat="1" ht="20.100000000000001" customHeight="1" x14ac:dyDescent="0.2">
      <c r="A8" s="14"/>
      <c r="B8" s="14"/>
      <c r="C8" s="14"/>
      <c r="D8" s="178" t="s">
        <v>169</v>
      </c>
      <c r="E8" s="178"/>
    </row>
    <row r="9" spans="1:5" ht="59.25" customHeight="1" x14ac:dyDescent="0.2">
      <c r="A9" s="15" t="s">
        <v>2</v>
      </c>
      <c r="B9" s="15" t="s">
        <v>0</v>
      </c>
      <c r="C9" s="15" t="s">
        <v>170</v>
      </c>
      <c r="D9" s="15" t="s">
        <v>155</v>
      </c>
      <c r="E9" s="15" t="s">
        <v>156</v>
      </c>
    </row>
    <row r="10" spans="1:5" ht="18.95" customHeight="1" x14ac:dyDescent="0.2">
      <c r="A10" s="5"/>
      <c r="B10" s="10"/>
      <c r="C10" s="11" t="s">
        <v>3</v>
      </c>
      <c r="D10" s="11" t="s">
        <v>3</v>
      </c>
      <c r="E10" s="11" t="s">
        <v>3</v>
      </c>
    </row>
    <row r="11" spans="1:5" ht="18.95" customHeight="1" x14ac:dyDescent="0.2">
      <c r="A11" s="5"/>
      <c r="B11" s="162" t="s">
        <v>171</v>
      </c>
      <c r="C11" s="7"/>
      <c r="D11" s="7"/>
      <c r="E11" s="7"/>
    </row>
    <row r="12" spans="1:5" ht="18.95" customHeight="1" x14ac:dyDescent="0.2">
      <c r="A12" s="8">
        <v>1</v>
      </c>
      <c r="B12" s="13" t="s">
        <v>87</v>
      </c>
      <c r="C12" s="7">
        <f>-'Excess DIT (Unprot 15yr)'!$D$23</f>
        <v>-1618843.9173333326</v>
      </c>
      <c r="D12" s="7"/>
      <c r="E12" s="7"/>
    </row>
    <row r="13" spans="1:5" ht="18.95" customHeight="1" x14ac:dyDescent="0.2">
      <c r="B13" s="13"/>
    </row>
    <row r="14" spans="1:5" ht="18.95" customHeight="1" x14ac:dyDescent="0.35">
      <c r="A14" s="8">
        <v>2</v>
      </c>
      <c r="B14" s="13" t="str">
        <f>CONCATENATE("GROSS-UP FACTOR USING ",TEXT('Effective Tax Rate'!$F$23,"0.00%")," EFFECTIVE TAX RATE (1)")</f>
        <v>GROSS-UP FACTOR USING 25.74% EFFECTIVE TAX RATE (1)</v>
      </c>
      <c r="C14" s="163">
        <f>1/(1-'Effective Tax Rate'!$F$23)</f>
        <v>1.3466199838405604</v>
      </c>
      <c r="D14" s="17"/>
      <c r="E14" s="17"/>
    </row>
    <row r="15" spans="1:5" ht="18.95" customHeight="1" x14ac:dyDescent="0.2">
      <c r="B15" s="13"/>
      <c r="E15" s="164"/>
    </row>
    <row r="16" spans="1:5" ht="18.95" customHeight="1" x14ac:dyDescent="0.2">
      <c r="A16" s="57">
        <v>3</v>
      </c>
      <c r="B16" s="12" t="s">
        <v>172</v>
      </c>
      <c r="C16" s="58">
        <f>C12*C14</f>
        <v>-2179967.5697998018</v>
      </c>
      <c r="D16" s="58">
        <f>C16*'TY TARIFF BILLING'!$K$7</f>
        <v>-893786.70361791865</v>
      </c>
      <c r="E16" s="58">
        <f>C16-D16</f>
        <v>-1286180.866181883</v>
      </c>
    </row>
    <row r="17" spans="1:5" ht="18.95" customHeight="1" x14ac:dyDescent="0.2"/>
    <row r="18" spans="1:5" ht="18.95" customHeight="1" x14ac:dyDescent="0.35">
      <c r="A18" s="8">
        <v>4</v>
      </c>
      <c r="B18" s="6" t="s">
        <v>86</v>
      </c>
      <c r="C18" s="7"/>
      <c r="D18" s="165">
        <f>'TY KWH-RS vs Non-RS'!$B$5/12*13</f>
        <v>4528429567.0367098</v>
      </c>
      <c r="E18" s="165">
        <f>'TY KWH-RS vs Non-RS'!$B$6/12*13</f>
        <v>8391490115.4213238</v>
      </c>
    </row>
    <row r="19" spans="1:5" ht="18.95" customHeight="1" x14ac:dyDescent="0.2"/>
    <row r="20" spans="1:5" ht="18.95" customHeight="1" x14ac:dyDescent="0.35">
      <c r="A20" s="8">
        <v>5</v>
      </c>
      <c r="B20" s="6" t="s">
        <v>173</v>
      </c>
      <c r="C20" s="59"/>
      <c r="D20" s="166">
        <f t="shared" ref="D20:E20" si="0">D16/D18</f>
        <v>-1.9737233192803971E-4</v>
      </c>
      <c r="E20" s="166">
        <f t="shared" si="0"/>
        <v>-1.5327204685830771E-4</v>
      </c>
    </row>
    <row r="21" spans="1:5" ht="18.95" customHeight="1" x14ac:dyDescent="0.2">
      <c r="A21" s="8"/>
      <c r="B21" s="6"/>
      <c r="C21" s="59"/>
      <c r="D21" s="59"/>
      <c r="E21" s="59"/>
    </row>
    <row r="22" spans="1:5" ht="18.95" customHeight="1" x14ac:dyDescent="0.2">
      <c r="B22" s="6" t="s">
        <v>102</v>
      </c>
    </row>
    <row r="23" spans="1:5" ht="18.95" customHeight="1" x14ac:dyDescent="0.2">
      <c r="A23" s="57">
        <v>6</v>
      </c>
      <c r="B23" s="12" t="s">
        <v>174</v>
      </c>
      <c r="C23" s="58">
        <f>C16/16</f>
        <v>-136247.97311248761</v>
      </c>
      <c r="D23" s="58">
        <f>D16/16</f>
        <v>-55861.668976119916</v>
      </c>
      <c r="E23" s="58">
        <f>E16/16</f>
        <v>-80386.304136367689</v>
      </c>
    </row>
    <row r="24" spans="1:5" ht="18.95" customHeight="1" x14ac:dyDescent="0.2"/>
    <row r="25" spans="1:5" ht="18.95" customHeight="1" x14ac:dyDescent="0.35">
      <c r="A25" s="8">
        <v>7</v>
      </c>
      <c r="B25" s="6" t="s">
        <v>104</v>
      </c>
      <c r="C25" s="165">
        <f>'TY KWH-RS vs Non-RS'!$B$7/12</f>
        <v>993839975.57369483</v>
      </c>
      <c r="D25" s="165">
        <f>'TY KWH-RS vs Non-RS'!$B$5/12</f>
        <v>348340735.92590076</v>
      </c>
      <c r="E25" s="165">
        <f>'TY KWH-RS vs Non-RS'!$B$6/12</f>
        <v>645499239.64779413</v>
      </c>
    </row>
    <row r="26" spans="1:5" ht="18.95" customHeight="1" x14ac:dyDescent="0.2"/>
    <row r="27" spans="1:5" ht="18.95" customHeight="1" x14ac:dyDescent="0.35">
      <c r="A27" s="8">
        <v>8</v>
      </c>
      <c r="B27" s="6" t="s">
        <v>175</v>
      </c>
      <c r="C27" s="166">
        <f>C23/C25</f>
        <v>-1.3709246605203053E-4</v>
      </c>
      <c r="D27" s="166">
        <f t="shared" ref="D27:E27" si="1">D23/D25</f>
        <v>-1.6036501969153227E-4</v>
      </c>
      <c r="E27" s="166">
        <f t="shared" si="1"/>
        <v>-1.2453353807237501E-4</v>
      </c>
    </row>
    <row r="28" spans="1:5" ht="18.95" customHeight="1" x14ac:dyDescent="0.2">
      <c r="C28" s="9"/>
      <c r="D28" s="9"/>
      <c r="E28" s="9"/>
    </row>
    <row r="29" spans="1:5" ht="18.95" customHeight="1" x14ac:dyDescent="0.2">
      <c r="A29" s="5"/>
      <c r="B29" s="162" t="s">
        <v>176</v>
      </c>
      <c r="C29" s="7"/>
      <c r="D29" s="7"/>
      <c r="E29" s="7"/>
    </row>
    <row r="30" spans="1:5" ht="18.95" customHeight="1" x14ac:dyDescent="0.2">
      <c r="A30" s="8">
        <v>1</v>
      </c>
      <c r="B30" s="13" t="s">
        <v>177</v>
      </c>
      <c r="C30" s="7">
        <f>-'Excess DIT (Unprot 5yr)'!$D$23</f>
        <v>-4856531.7519999901</v>
      </c>
      <c r="D30" s="7"/>
      <c r="E30" s="7"/>
    </row>
    <row r="31" spans="1:5" ht="18.95" customHeight="1" x14ac:dyDescent="0.2">
      <c r="B31" s="13"/>
    </row>
    <row r="32" spans="1:5" ht="18.95" customHeight="1" x14ac:dyDescent="0.35">
      <c r="A32" s="8">
        <v>2</v>
      </c>
      <c r="B32" s="13" t="str">
        <f>CONCATENATE("GROSS-UP FACTOR USING ",TEXT('Effective Tax Rate'!$F$23,"0.00%")," EFFECTIVE TAX RATE (1)")</f>
        <v>GROSS-UP FACTOR USING 25.74% EFFECTIVE TAX RATE (1)</v>
      </c>
      <c r="C32" s="163">
        <f>1/(1-'Effective Tax Rate'!$F$23)</f>
        <v>1.3466199838405604</v>
      </c>
      <c r="D32" s="17"/>
      <c r="E32" s="17"/>
    </row>
    <row r="33" spans="1:5" ht="18.95" customHeight="1" x14ac:dyDescent="0.2">
      <c r="B33" s="13"/>
      <c r="E33" s="164"/>
    </row>
    <row r="34" spans="1:5" ht="18.95" customHeight="1" x14ac:dyDescent="0.2">
      <c r="A34" s="57">
        <v>3</v>
      </c>
      <c r="B34" s="12" t="s">
        <v>172</v>
      </c>
      <c r="C34" s="58">
        <f>C30*C32</f>
        <v>-6539902.7093993947</v>
      </c>
      <c r="D34" s="58">
        <f>C34*'TY TARIFF BILLING'!$K$7</f>
        <v>-2681360.1108537517</v>
      </c>
      <c r="E34" s="58">
        <f>C34-D34</f>
        <v>-3858542.598545643</v>
      </c>
    </row>
    <row r="35" spans="1:5" ht="18.95" customHeight="1" x14ac:dyDescent="0.2"/>
    <row r="36" spans="1:5" ht="18.95" customHeight="1" x14ac:dyDescent="0.35">
      <c r="A36" s="8">
        <v>4</v>
      </c>
      <c r="B36" s="6" t="s">
        <v>86</v>
      </c>
      <c r="C36" s="7"/>
      <c r="D36" s="165">
        <f>'TY KWH-RS vs Non-RS'!$B$5/12*13</f>
        <v>4528429567.0367098</v>
      </c>
      <c r="E36" s="165">
        <f>'TY KWH-RS vs Non-RS'!$B$6/12*13</f>
        <v>8391490115.4213238</v>
      </c>
    </row>
    <row r="37" spans="1:5" ht="18.95" customHeight="1" x14ac:dyDescent="0.2"/>
    <row r="38" spans="1:5" ht="18.95" customHeight="1" x14ac:dyDescent="0.35">
      <c r="A38" s="8">
        <v>5</v>
      </c>
      <c r="B38" s="6" t="s">
        <v>173</v>
      </c>
      <c r="C38" s="59"/>
      <c r="D38" s="166">
        <f t="shared" ref="D38:E38" si="2">D34/D36</f>
        <v>-5.921169957841182E-4</v>
      </c>
      <c r="E38" s="166">
        <f t="shared" si="2"/>
        <v>-4.5981614057492235E-4</v>
      </c>
    </row>
    <row r="39" spans="1:5" ht="18.95" customHeight="1" x14ac:dyDescent="0.2">
      <c r="A39" s="8"/>
      <c r="B39" s="6"/>
      <c r="C39" s="59"/>
      <c r="D39" s="59"/>
      <c r="E39" s="59"/>
    </row>
    <row r="40" spans="1:5" ht="18.95" customHeight="1" x14ac:dyDescent="0.2">
      <c r="B40" s="6" t="s">
        <v>102</v>
      </c>
    </row>
    <row r="41" spans="1:5" ht="18.95" customHeight="1" x14ac:dyDescent="0.2">
      <c r="A41" s="57">
        <v>6</v>
      </c>
      <c r="B41" s="12" t="s">
        <v>103</v>
      </c>
      <c r="C41" s="58">
        <f>C34/16</f>
        <v>-408743.91933746217</v>
      </c>
      <c r="D41" s="58">
        <f>D34/16</f>
        <v>-167585.00692835948</v>
      </c>
      <c r="E41" s="58">
        <f>E34/16</f>
        <v>-241158.91240910269</v>
      </c>
    </row>
    <row r="42" spans="1:5" ht="18.95" customHeight="1" x14ac:dyDescent="0.2"/>
    <row r="43" spans="1:5" ht="18.95" customHeight="1" x14ac:dyDescent="0.35">
      <c r="A43" s="8">
        <v>7</v>
      </c>
      <c r="B43" s="6" t="s">
        <v>104</v>
      </c>
      <c r="C43" s="165">
        <f>'TY KWH-RS vs Non-RS'!$B$7/12</f>
        <v>993839975.57369483</v>
      </c>
      <c r="D43" s="165">
        <f>'TY KWH-RS vs Non-RS'!$B$5/12</f>
        <v>348340735.92590076</v>
      </c>
      <c r="E43" s="165">
        <f>'TY KWH-RS vs Non-RS'!$B$6/12</f>
        <v>645499239.64779413</v>
      </c>
    </row>
    <row r="44" spans="1:5" ht="18.95" customHeight="1" x14ac:dyDescent="0.2"/>
    <row r="45" spans="1:5" ht="18.95" customHeight="1" x14ac:dyDescent="0.35">
      <c r="A45" s="8">
        <v>8</v>
      </c>
      <c r="B45" s="6" t="s">
        <v>161</v>
      </c>
      <c r="C45" s="166">
        <f>C41/C43</f>
        <v>-4.1127739815609093E-4</v>
      </c>
      <c r="D45" s="166">
        <f t="shared" ref="D45:E45" si="3">D41/D43</f>
        <v>-4.8109505907459603E-4</v>
      </c>
      <c r="E45" s="166">
        <f t="shared" si="3"/>
        <v>-3.7360061421712446E-4</v>
      </c>
    </row>
    <row r="46" spans="1:5" ht="18.95" customHeight="1" x14ac:dyDescent="0.2"/>
    <row r="47" spans="1:5" ht="18.95" customHeight="1" x14ac:dyDescent="0.2">
      <c r="A47" s="167" t="s">
        <v>178</v>
      </c>
      <c r="B47" s="13" t="s">
        <v>179</v>
      </c>
    </row>
    <row r="48" spans="1:5" ht="20.100000000000001" customHeight="1" x14ac:dyDescent="0.2">
      <c r="D48" s="3"/>
      <c r="E48" s="3" t="s">
        <v>167</v>
      </c>
    </row>
    <row r="49" spans="1:5" ht="20.100000000000001" customHeight="1" x14ac:dyDescent="0.2">
      <c r="D49" s="3"/>
      <c r="E49" s="3" t="s">
        <v>192</v>
      </c>
    </row>
    <row r="50" spans="1:5" s="2" customFormat="1" ht="20.100000000000001" customHeight="1" x14ac:dyDescent="0.2">
      <c r="A50" s="176" t="s">
        <v>41</v>
      </c>
      <c r="B50" s="176"/>
      <c r="C50" s="176"/>
      <c r="D50" s="176"/>
      <c r="E50" s="176"/>
    </row>
    <row r="51" spans="1:5" s="2" customFormat="1" ht="20.100000000000001" customHeight="1" x14ac:dyDescent="0.2">
      <c r="A51" s="176" t="s">
        <v>160</v>
      </c>
      <c r="B51" s="176"/>
      <c r="C51" s="176"/>
      <c r="D51" s="176"/>
      <c r="E51" s="176"/>
    </row>
    <row r="52" spans="1:5" s="2" customFormat="1" ht="20.100000000000001" customHeight="1" x14ac:dyDescent="0.2">
      <c r="A52" s="177" t="s">
        <v>181</v>
      </c>
      <c r="B52" s="177"/>
      <c r="C52" s="177"/>
      <c r="D52" s="177"/>
      <c r="E52" s="177"/>
    </row>
    <row r="53" spans="1:5" s="2" customFormat="1" ht="20.100000000000001" customHeight="1" x14ac:dyDescent="0.2">
      <c r="A53" s="177" t="s">
        <v>193</v>
      </c>
      <c r="B53" s="177"/>
      <c r="C53" s="177"/>
      <c r="D53" s="177"/>
      <c r="E53" s="177"/>
    </row>
    <row r="54" spans="1:5" s="2" customFormat="1" ht="29.25" customHeight="1" x14ac:dyDescent="0.2"/>
    <row r="55" spans="1:5" s="2" customFormat="1" ht="20.100000000000001" customHeight="1" x14ac:dyDescent="0.2">
      <c r="A55" s="14"/>
      <c r="B55" s="14"/>
      <c r="C55" s="14"/>
      <c r="D55" s="178" t="s">
        <v>169</v>
      </c>
      <c r="E55" s="178"/>
    </row>
    <row r="56" spans="1:5" ht="59.25" customHeight="1" x14ac:dyDescent="0.2">
      <c r="A56" s="15" t="s">
        <v>2</v>
      </c>
      <c r="B56" s="15" t="s">
        <v>0</v>
      </c>
      <c r="C56" s="15" t="s">
        <v>170</v>
      </c>
      <c r="D56" s="15" t="s">
        <v>155</v>
      </c>
      <c r="E56" s="15" t="s">
        <v>156</v>
      </c>
    </row>
    <row r="57" spans="1:5" ht="18.95" customHeight="1" x14ac:dyDescent="0.2">
      <c r="A57" s="5"/>
      <c r="B57" s="10"/>
      <c r="C57" s="11" t="s">
        <v>3</v>
      </c>
      <c r="D57" s="11" t="s">
        <v>3</v>
      </c>
      <c r="E57" s="11" t="s">
        <v>3</v>
      </c>
    </row>
    <row r="58" spans="1:5" ht="18.95" customHeight="1" x14ac:dyDescent="0.2">
      <c r="A58" s="5"/>
      <c r="B58" s="162" t="s">
        <v>171</v>
      </c>
      <c r="C58" s="7"/>
      <c r="D58" s="7"/>
      <c r="E58" s="7"/>
    </row>
    <row r="59" spans="1:5" ht="18.95" customHeight="1" x14ac:dyDescent="0.2">
      <c r="A59" s="8">
        <v>1</v>
      </c>
      <c r="B59" s="13" t="s">
        <v>87</v>
      </c>
      <c r="C59" s="7">
        <f>-'Excess DIT (Unprot 15yr)'!$D$23</f>
        <v>-1618843.9173333326</v>
      </c>
      <c r="D59" s="7"/>
      <c r="E59" s="7"/>
    </row>
    <row r="60" spans="1:5" ht="18.95" customHeight="1" x14ac:dyDescent="0.2">
      <c r="B60" s="13"/>
    </row>
    <row r="61" spans="1:5" ht="18.95" customHeight="1" x14ac:dyDescent="0.35">
      <c r="A61" s="8">
        <v>2</v>
      </c>
      <c r="B61" s="13" t="s">
        <v>195</v>
      </c>
      <c r="C61" s="163">
        <f>12351795/9171643</f>
        <v>1.3467374384284256</v>
      </c>
      <c r="D61" s="17"/>
      <c r="E61" s="17"/>
    </row>
    <row r="62" spans="1:5" ht="18.95" customHeight="1" x14ac:dyDescent="0.2">
      <c r="B62" s="13"/>
      <c r="E62" s="164"/>
    </row>
    <row r="63" spans="1:5" ht="18.95" customHeight="1" x14ac:dyDescent="0.2">
      <c r="A63" s="57">
        <v>3</v>
      </c>
      <c r="B63" s="12" t="s">
        <v>172</v>
      </c>
      <c r="C63" s="58">
        <f>C59*C61</f>
        <v>-2180157.7104449305</v>
      </c>
      <c r="D63" s="58">
        <f>C63*'TY TARIFF BILLING'!$K$7</f>
        <v>-893864.66128242144</v>
      </c>
      <c r="E63" s="58">
        <f>C63-D63</f>
        <v>-1286293.0491625089</v>
      </c>
    </row>
    <row r="64" spans="1:5" ht="18.95" customHeight="1" x14ac:dyDescent="0.2"/>
    <row r="65" spans="1:5" ht="18.95" customHeight="1" x14ac:dyDescent="0.35">
      <c r="A65" s="8">
        <v>4</v>
      </c>
      <c r="B65" s="6" t="s">
        <v>86</v>
      </c>
      <c r="C65" s="7"/>
      <c r="D65" s="165">
        <f>'TY KWH-RS vs Non-RS'!$B$5/12*13</f>
        <v>4528429567.0367098</v>
      </c>
      <c r="E65" s="165">
        <f>'TY KWH-RS vs Non-RS'!$B$6/12*13</f>
        <v>8391490115.4213238</v>
      </c>
    </row>
    <row r="66" spans="1:5" ht="18.95" customHeight="1" x14ac:dyDescent="0.2"/>
    <row r="67" spans="1:5" ht="18.95" customHeight="1" x14ac:dyDescent="0.35">
      <c r="A67" s="8">
        <v>5</v>
      </c>
      <c r="B67" s="6" t="s">
        <v>173</v>
      </c>
      <c r="C67" s="59"/>
      <c r="D67" s="166">
        <f t="shared" ref="D67:E67" si="4">D63/D65</f>
        <v>-1.9738954709355101E-4</v>
      </c>
      <c r="E67" s="166">
        <f t="shared" si="4"/>
        <v>-1.5328541551859126E-4</v>
      </c>
    </row>
    <row r="68" spans="1:5" ht="18.95" customHeight="1" x14ac:dyDescent="0.2">
      <c r="A68" s="8"/>
      <c r="B68" s="6"/>
      <c r="C68" s="59"/>
      <c r="D68" s="59"/>
      <c r="E68" s="59"/>
    </row>
    <row r="69" spans="1:5" ht="18.95" customHeight="1" x14ac:dyDescent="0.2">
      <c r="B69" s="6" t="s">
        <v>102</v>
      </c>
    </row>
    <row r="70" spans="1:5" ht="18.95" customHeight="1" x14ac:dyDescent="0.2">
      <c r="A70" s="57">
        <v>6</v>
      </c>
      <c r="B70" s="12" t="s">
        <v>174</v>
      </c>
      <c r="C70" s="58">
        <f>C63/16</f>
        <v>-136259.85690280815</v>
      </c>
      <c r="D70" s="58">
        <f>D63/16</f>
        <v>-55866.54133015134</v>
      </c>
      <c r="E70" s="58">
        <f>E63/16</f>
        <v>-80393.315572656807</v>
      </c>
    </row>
    <row r="71" spans="1:5" ht="18.95" customHeight="1" x14ac:dyDescent="0.2"/>
    <row r="72" spans="1:5" ht="18.95" customHeight="1" x14ac:dyDescent="0.35">
      <c r="A72" s="8">
        <v>7</v>
      </c>
      <c r="B72" s="6" t="s">
        <v>104</v>
      </c>
      <c r="C72" s="165">
        <f>'TY KWH-RS vs Non-RS'!$B$7/12</f>
        <v>993839975.57369483</v>
      </c>
      <c r="D72" s="165">
        <f>'TY KWH-RS vs Non-RS'!$B$5/12</f>
        <v>348340735.92590076</v>
      </c>
      <c r="E72" s="165">
        <f>'TY KWH-RS vs Non-RS'!$B$6/12</f>
        <v>645499239.64779413</v>
      </c>
    </row>
    <row r="73" spans="1:5" ht="18.95" customHeight="1" x14ac:dyDescent="0.2"/>
    <row r="74" spans="1:5" ht="18.95" customHeight="1" x14ac:dyDescent="0.35">
      <c r="A74" s="8">
        <v>8</v>
      </c>
      <c r="B74" s="6" t="s">
        <v>175</v>
      </c>
      <c r="C74" s="166">
        <f>C70/C72</f>
        <v>-1.3710442350052589E-4</v>
      </c>
      <c r="D74" s="166">
        <f t="shared" ref="D74:E74" si="5">D70/D72</f>
        <v>-1.6037900701351021E-4</v>
      </c>
      <c r="E74" s="166">
        <f t="shared" si="5"/>
        <v>-1.245444001088554E-4</v>
      </c>
    </row>
    <row r="75" spans="1:5" ht="18.95" customHeight="1" x14ac:dyDescent="0.2">
      <c r="C75" s="9"/>
      <c r="D75" s="9"/>
      <c r="E75" s="9"/>
    </row>
    <row r="76" spans="1:5" ht="18.95" customHeight="1" x14ac:dyDescent="0.2">
      <c r="A76" s="5"/>
      <c r="B76" s="162" t="s">
        <v>176</v>
      </c>
      <c r="C76" s="7"/>
      <c r="D76" s="7"/>
      <c r="E76" s="7"/>
    </row>
    <row r="77" spans="1:5" ht="18.95" customHeight="1" x14ac:dyDescent="0.2">
      <c r="A77" s="8">
        <v>1</v>
      </c>
      <c r="B77" s="13" t="s">
        <v>177</v>
      </c>
      <c r="C77" s="7">
        <f>-'Excess DIT (Unprot 5yr)'!$D$23</f>
        <v>-4856531.7519999901</v>
      </c>
      <c r="D77" s="7"/>
      <c r="E77" s="7"/>
    </row>
    <row r="78" spans="1:5" ht="18.95" customHeight="1" x14ac:dyDescent="0.2">
      <c r="B78" s="13"/>
    </row>
    <row r="79" spans="1:5" ht="18.95" customHeight="1" x14ac:dyDescent="0.35">
      <c r="A79" s="8">
        <v>2</v>
      </c>
      <c r="B79" s="13" t="s">
        <v>195</v>
      </c>
      <c r="C79" s="163">
        <f>12351795/9171643</f>
        <v>1.3467374384284256</v>
      </c>
      <c r="D79" s="17"/>
      <c r="E79" s="17"/>
    </row>
    <row r="80" spans="1:5" ht="18.95" customHeight="1" x14ac:dyDescent="0.2">
      <c r="B80" s="13"/>
      <c r="E80" s="164"/>
    </row>
    <row r="81" spans="1:5" ht="18.95" customHeight="1" x14ac:dyDescent="0.2">
      <c r="A81" s="57">
        <v>3</v>
      </c>
      <c r="B81" s="12" t="s">
        <v>172</v>
      </c>
      <c r="C81" s="58">
        <f>C77*C79</f>
        <v>-6540473.1313347807</v>
      </c>
      <c r="D81" s="58">
        <f>C81*'TY TARIFF BILLING'!$K$7</f>
        <v>-2681593.98384726</v>
      </c>
      <c r="E81" s="58">
        <f>C81-D81</f>
        <v>-3858879.1474875207</v>
      </c>
    </row>
    <row r="82" spans="1:5" ht="18.95" customHeight="1" x14ac:dyDescent="0.2"/>
    <row r="83" spans="1:5" ht="18.95" customHeight="1" x14ac:dyDescent="0.35">
      <c r="A83" s="8">
        <v>4</v>
      </c>
      <c r="B83" s="6" t="s">
        <v>86</v>
      </c>
      <c r="C83" s="7"/>
      <c r="D83" s="165">
        <f>'TY KWH-RS vs Non-RS'!$B$5/12*13</f>
        <v>4528429567.0367098</v>
      </c>
      <c r="E83" s="165">
        <f>'TY KWH-RS vs Non-RS'!$B$6/12*13</f>
        <v>8391490115.4213238</v>
      </c>
    </row>
    <row r="84" spans="1:5" ht="18.95" customHeight="1" x14ac:dyDescent="0.2"/>
    <row r="85" spans="1:5" ht="18.95" customHeight="1" x14ac:dyDescent="0.35">
      <c r="A85" s="8">
        <v>5</v>
      </c>
      <c r="B85" s="6" t="s">
        <v>173</v>
      </c>
      <c r="C85" s="59"/>
      <c r="D85" s="166">
        <f t="shared" ref="D85:E85" si="6">D81/D83</f>
        <v>-5.9216864128065207E-4</v>
      </c>
      <c r="E85" s="166">
        <f t="shared" si="6"/>
        <v>-4.5985624655577305E-4</v>
      </c>
    </row>
    <row r="86" spans="1:5" ht="18.95" customHeight="1" x14ac:dyDescent="0.2">
      <c r="A86" s="8"/>
      <c r="B86" s="6"/>
      <c r="C86" s="59"/>
      <c r="D86" s="59"/>
      <c r="E86" s="59"/>
    </row>
    <row r="87" spans="1:5" ht="18.95" customHeight="1" x14ac:dyDescent="0.2">
      <c r="B87" s="6" t="s">
        <v>102</v>
      </c>
    </row>
    <row r="88" spans="1:5" ht="18.95" customHeight="1" x14ac:dyDescent="0.2">
      <c r="A88" s="57">
        <v>6</v>
      </c>
      <c r="B88" s="12" t="s">
        <v>103</v>
      </c>
      <c r="C88" s="58">
        <f>C81/16</f>
        <v>-408779.57070842379</v>
      </c>
      <c r="D88" s="58">
        <f>D81/16</f>
        <v>-167599.62399045375</v>
      </c>
      <c r="E88" s="58">
        <f>E81/16</f>
        <v>-241179.94671797004</v>
      </c>
    </row>
    <row r="89" spans="1:5" ht="18.95" customHeight="1" x14ac:dyDescent="0.2"/>
    <row r="90" spans="1:5" ht="18.95" customHeight="1" x14ac:dyDescent="0.35">
      <c r="A90" s="8">
        <v>7</v>
      </c>
      <c r="B90" s="6" t="s">
        <v>104</v>
      </c>
      <c r="C90" s="165">
        <f>'TY KWH-RS vs Non-RS'!$B$7/12</f>
        <v>993839975.57369483</v>
      </c>
      <c r="D90" s="165">
        <f>'TY KWH-RS vs Non-RS'!$B$5/12</f>
        <v>348340735.92590076</v>
      </c>
      <c r="E90" s="165">
        <f>'TY KWH-RS vs Non-RS'!$B$6/12</f>
        <v>645499239.64779413</v>
      </c>
    </row>
    <row r="91" spans="1:5" ht="18.95" customHeight="1" x14ac:dyDescent="0.2"/>
    <row r="92" spans="1:5" ht="18.95" customHeight="1" x14ac:dyDescent="0.35">
      <c r="A92" s="8">
        <v>8</v>
      </c>
      <c r="B92" s="6" t="s">
        <v>161</v>
      </c>
      <c r="C92" s="166">
        <f>C88/C90</f>
        <v>-4.1131327050157699E-4</v>
      </c>
      <c r="D92" s="166">
        <f t="shared" ref="D92:E92" si="7">D88/D90</f>
        <v>-4.811370210405298E-4</v>
      </c>
      <c r="E92" s="166">
        <f t="shared" si="7"/>
        <v>-3.7363320032656562E-4</v>
      </c>
    </row>
    <row r="93" spans="1:5" ht="18.95" customHeight="1" x14ac:dyDescent="0.2"/>
    <row r="94" spans="1:5" ht="18.95" customHeight="1" x14ac:dyDescent="0.2">
      <c r="A94" s="167" t="s">
        <v>178</v>
      </c>
      <c r="B94" s="13" t="s">
        <v>196</v>
      </c>
    </row>
    <row r="95" spans="1:5" ht="20.100000000000001" customHeight="1" x14ac:dyDescent="0.2">
      <c r="D95" s="3"/>
      <c r="E95" s="3" t="s">
        <v>167</v>
      </c>
    </row>
    <row r="96" spans="1:5" ht="20.100000000000001" customHeight="1" x14ac:dyDescent="0.2">
      <c r="D96" s="3"/>
      <c r="E96" s="3" t="s">
        <v>191</v>
      </c>
    </row>
    <row r="97" spans="1:5" s="2" customFormat="1" ht="20.100000000000001" customHeight="1" x14ac:dyDescent="0.2">
      <c r="A97" s="176" t="s">
        <v>41</v>
      </c>
      <c r="B97" s="176"/>
      <c r="C97" s="176"/>
      <c r="D97" s="176"/>
      <c r="E97" s="176"/>
    </row>
    <row r="98" spans="1:5" s="2" customFormat="1" ht="20.100000000000001" customHeight="1" x14ac:dyDescent="0.2">
      <c r="A98" s="176" t="s">
        <v>160</v>
      </c>
      <c r="B98" s="176"/>
      <c r="C98" s="176"/>
      <c r="D98" s="176"/>
      <c r="E98" s="176"/>
    </row>
    <row r="99" spans="1:5" s="2" customFormat="1" ht="20.100000000000001" customHeight="1" x14ac:dyDescent="0.2">
      <c r="A99" s="177" t="s">
        <v>181</v>
      </c>
      <c r="B99" s="177"/>
      <c r="C99" s="177"/>
      <c r="D99" s="177"/>
      <c r="E99" s="177"/>
    </row>
    <row r="100" spans="1:5" s="2" customFormat="1" ht="20.100000000000001" customHeight="1" x14ac:dyDescent="0.2">
      <c r="A100" s="177" t="s">
        <v>194</v>
      </c>
      <c r="B100" s="177"/>
      <c r="C100" s="177"/>
      <c r="D100" s="177"/>
      <c r="E100" s="177"/>
    </row>
    <row r="101" spans="1:5" s="2" customFormat="1" ht="29.25" customHeight="1" x14ac:dyDescent="0.2"/>
    <row r="102" spans="1:5" s="2" customFormat="1" ht="20.100000000000001" customHeight="1" x14ac:dyDescent="0.2">
      <c r="A102" s="14"/>
      <c r="B102" s="14"/>
      <c r="C102" s="14"/>
      <c r="D102" s="178" t="s">
        <v>169</v>
      </c>
      <c r="E102" s="178"/>
    </row>
    <row r="103" spans="1:5" ht="59.25" customHeight="1" x14ac:dyDescent="0.2">
      <c r="A103" s="15" t="s">
        <v>2</v>
      </c>
      <c r="B103" s="15" t="s">
        <v>0</v>
      </c>
      <c r="C103" s="15" t="s">
        <v>170</v>
      </c>
      <c r="D103" s="15" t="s">
        <v>155</v>
      </c>
      <c r="E103" s="15" t="s">
        <v>156</v>
      </c>
    </row>
    <row r="104" spans="1:5" ht="18.95" customHeight="1" x14ac:dyDescent="0.2">
      <c r="A104" s="5"/>
      <c r="B104" s="10"/>
      <c r="C104" s="11" t="s">
        <v>3</v>
      </c>
      <c r="D104" s="11" t="s">
        <v>3</v>
      </c>
      <c r="E104" s="11" t="s">
        <v>3</v>
      </c>
    </row>
    <row r="105" spans="1:5" ht="18.95" customHeight="1" x14ac:dyDescent="0.2">
      <c r="A105" s="5"/>
      <c r="B105" s="162" t="s">
        <v>171</v>
      </c>
      <c r="C105" s="7"/>
      <c r="D105" s="7"/>
      <c r="E105" s="7"/>
    </row>
    <row r="106" spans="1:5" ht="18.95" customHeight="1" x14ac:dyDescent="0.2">
      <c r="A106" s="8">
        <v>1</v>
      </c>
      <c r="B106" s="13" t="s">
        <v>87</v>
      </c>
      <c r="C106" s="7">
        <f>-'Excess DIT (Unprot 15yr)'!$D$23</f>
        <v>-1618843.9173333326</v>
      </c>
      <c r="D106" s="7"/>
      <c r="E106" s="7"/>
    </row>
    <row r="107" spans="1:5" ht="18.95" customHeight="1" x14ac:dyDescent="0.2">
      <c r="B107" s="13"/>
    </row>
    <row r="108" spans="1:5" ht="18.95" customHeight="1" x14ac:dyDescent="0.35">
      <c r="A108" s="8">
        <v>2</v>
      </c>
      <c r="B108" s="13" t="str">
        <f>CONCATENATE("GROSS-UP FACTOR USING ",TEXT('LGE Composite Tax Rate'!E$26,"0.00%")," EFFECTIVE TAX RATE (1)")</f>
        <v>GROSS-UP FACTOR USING 25.64% EFFECTIVE TAX RATE (1)</v>
      </c>
      <c r="C108" s="163">
        <f>1/(1-'LGE Composite Tax Rate'!$E$26)</f>
        <v>1.344810900971106</v>
      </c>
      <c r="D108" s="17"/>
      <c r="E108" s="17"/>
    </row>
    <row r="109" spans="1:5" ht="18.95" customHeight="1" x14ac:dyDescent="0.2">
      <c r="B109" s="13"/>
      <c r="E109" s="164"/>
    </row>
    <row r="110" spans="1:5" ht="18.95" customHeight="1" x14ac:dyDescent="0.2">
      <c r="A110" s="57">
        <v>3</v>
      </c>
      <c r="B110" s="12" t="s">
        <v>172</v>
      </c>
      <c r="C110" s="58">
        <f>C106*C108</f>
        <v>-2177038.9470006335</v>
      </c>
      <c r="D110" s="58">
        <f>C110*'TY TARIFF BILLING'!$K$7</f>
        <v>-892585.96827025968</v>
      </c>
      <c r="E110" s="58">
        <f>C110-D110</f>
        <v>-1284452.9787303738</v>
      </c>
    </row>
    <row r="111" spans="1:5" ht="18.95" customHeight="1" x14ac:dyDescent="0.2"/>
    <row r="112" spans="1:5" ht="18.95" customHeight="1" x14ac:dyDescent="0.35">
      <c r="A112" s="8">
        <v>4</v>
      </c>
      <c r="B112" s="6" t="s">
        <v>86</v>
      </c>
      <c r="C112" s="7"/>
      <c r="D112" s="165">
        <f>'TY KWH-RS vs Non-RS'!$B$5/12*13</f>
        <v>4528429567.0367098</v>
      </c>
      <c r="E112" s="165">
        <f>'TY KWH-RS vs Non-RS'!$B$6/12*13</f>
        <v>8391490115.4213238</v>
      </c>
    </row>
    <row r="113" spans="1:5" ht="18.95" customHeight="1" x14ac:dyDescent="0.2"/>
    <row r="114" spans="1:5" ht="18.95" customHeight="1" x14ac:dyDescent="0.35">
      <c r="A114" s="8">
        <v>5</v>
      </c>
      <c r="B114" s="6" t="s">
        <v>173</v>
      </c>
      <c r="C114" s="59"/>
      <c r="D114" s="166">
        <f t="shared" ref="D114:E114" si="8">D110/D112</f>
        <v>-1.9710717701508726E-4</v>
      </c>
      <c r="E114" s="166">
        <f t="shared" si="8"/>
        <v>-1.5306613736812861E-4</v>
      </c>
    </row>
    <row r="115" spans="1:5" ht="18.95" customHeight="1" x14ac:dyDescent="0.2">
      <c r="A115" s="8"/>
      <c r="B115" s="6"/>
      <c r="C115" s="59"/>
      <c r="D115" s="59"/>
      <c r="E115" s="59"/>
    </row>
    <row r="116" spans="1:5" ht="18.95" customHeight="1" x14ac:dyDescent="0.2">
      <c r="B116" s="6" t="s">
        <v>102</v>
      </c>
    </row>
    <row r="117" spans="1:5" ht="18.95" customHeight="1" x14ac:dyDescent="0.2">
      <c r="A117" s="57">
        <v>6</v>
      </c>
      <c r="B117" s="12" t="s">
        <v>174</v>
      </c>
      <c r="C117" s="58">
        <f>C110/16</f>
        <v>-136064.93418753959</v>
      </c>
      <c r="D117" s="58">
        <f>D110/16</f>
        <v>-55786.62301689123</v>
      </c>
      <c r="E117" s="58">
        <f>E110/16</f>
        <v>-80278.311170648361</v>
      </c>
    </row>
    <row r="118" spans="1:5" ht="18.95" customHeight="1" x14ac:dyDescent="0.2"/>
    <row r="119" spans="1:5" ht="18.95" customHeight="1" x14ac:dyDescent="0.35">
      <c r="A119" s="8">
        <v>7</v>
      </c>
      <c r="B119" s="6" t="s">
        <v>104</v>
      </c>
      <c r="C119" s="165">
        <f>'TY KWH-RS vs Non-RS'!$B$7/12</f>
        <v>993839975.57369483</v>
      </c>
      <c r="D119" s="165">
        <f>'TY KWH-RS vs Non-RS'!$B$5/12</f>
        <v>348340735.92590076</v>
      </c>
      <c r="E119" s="165">
        <f>'TY KWH-RS vs Non-RS'!$B$6/12</f>
        <v>645499239.64779413</v>
      </c>
    </row>
    <row r="120" spans="1:5" ht="18.95" customHeight="1" x14ac:dyDescent="0.2"/>
    <row r="121" spans="1:5" ht="18.95" customHeight="1" x14ac:dyDescent="0.35">
      <c r="A121" s="8">
        <v>8</v>
      </c>
      <c r="B121" s="6" t="s">
        <v>175</v>
      </c>
      <c r="C121" s="166">
        <f>C117/C119</f>
        <v>-1.3690829261420683E-4</v>
      </c>
      <c r="D121" s="166">
        <f t="shared" ref="D121:E121" si="9">D117/D119</f>
        <v>-1.6014958132475838E-4</v>
      </c>
      <c r="E121" s="166">
        <f t="shared" si="9"/>
        <v>-1.2436623661160449E-4</v>
      </c>
    </row>
    <row r="122" spans="1:5" ht="18.95" customHeight="1" x14ac:dyDescent="0.2">
      <c r="C122" s="9"/>
      <c r="D122" s="9"/>
      <c r="E122" s="9"/>
    </row>
    <row r="123" spans="1:5" ht="18.95" customHeight="1" x14ac:dyDescent="0.2">
      <c r="A123" s="5"/>
      <c r="B123" s="162" t="s">
        <v>176</v>
      </c>
      <c r="C123" s="7"/>
      <c r="D123" s="7"/>
      <c r="E123" s="7"/>
    </row>
    <row r="124" spans="1:5" ht="18.95" customHeight="1" x14ac:dyDescent="0.2">
      <c r="A124" s="8">
        <v>1</v>
      </c>
      <c r="B124" s="13" t="s">
        <v>177</v>
      </c>
      <c r="C124" s="7">
        <f>-'Excess DIT (Unprot 5yr)'!$D$23</f>
        <v>-4856531.7519999901</v>
      </c>
      <c r="D124" s="7"/>
      <c r="E124" s="7"/>
    </row>
    <row r="125" spans="1:5" ht="18.95" customHeight="1" x14ac:dyDescent="0.2">
      <c r="B125" s="13"/>
    </row>
    <row r="126" spans="1:5" ht="18.95" customHeight="1" x14ac:dyDescent="0.35">
      <c r="A126" s="8">
        <v>2</v>
      </c>
      <c r="B126" s="13" t="str">
        <f>CONCATENATE("GROSS-UP FACTOR USING ",TEXT('LGE Composite Tax Rate'!E$26,"0.00%")," EFFECTIVE TAX RATE (1)")</f>
        <v>GROSS-UP FACTOR USING 25.64% EFFECTIVE TAX RATE (1)</v>
      </c>
      <c r="C126" s="163">
        <f>1/(1-'LGE Composite Tax Rate'!$E$26)</f>
        <v>1.344810900971106</v>
      </c>
      <c r="D126" s="17"/>
      <c r="E126" s="17"/>
    </row>
    <row r="127" spans="1:5" ht="18.95" customHeight="1" x14ac:dyDescent="0.2">
      <c r="B127" s="13"/>
      <c r="E127" s="164"/>
    </row>
    <row r="128" spans="1:5" ht="18.95" customHeight="1" x14ac:dyDescent="0.2">
      <c r="A128" s="57">
        <v>3</v>
      </c>
      <c r="B128" s="12" t="s">
        <v>172</v>
      </c>
      <c r="C128" s="58">
        <f>C124*C126</f>
        <v>-6531116.8410018906</v>
      </c>
      <c r="D128" s="58">
        <f>C128*'TY TARIFF BILLING'!$K$7</f>
        <v>-2677757.9048107751</v>
      </c>
      <c r="E128" s="58">
        <f>C128-D128</f>
        <v>-3853358.9361911155</v>
      </c>
    </row>
    <row r="129" spans="1:5" ht="18.95" customHeight="1" x14ac:dyDescent="0.2"/>
    <row r="130" spans="1:5" ht="18.95" customHeight="1" x14ac:dyDescent="0.35">
      <c r="A130" s="8">
        <v>4</v>
      </c>
      <c r="B130" s="6" t="s">
        <v>86</v>
      </c>
      <c r="C130" s="7"/>
      <c r="D130" s="165">
        <f>'TY KWH-RS vs Non-RS'!$B$5/12*13</f>
        <v>4528429567.0367098</v>
      </c>
      <c r="E130" s="165">
        <f>'TY KWH-RS vs Non-RS'!$B$6/12*13</f>
        <v>8391490115.4213238</v>
      </c>
    </row>
    <row r="131" spans="1:5" ht="18.95" customHeight="1" x14ac:dyDescent="0.2"/>
    <row r="132" spans="1:5" ht="18.95" customHeight="1" x14ac:dyDescent="0.35">
      <c r="A132" s="8">
        <v>5</v>
      </c>
      <c r="B132" s="6" t="s">
        <v>173</v>
      </c>
      <c r="C132" s="59"/>
      <c r="D132" s="166">
        <f t="shared" ref="D132:E132" si="10">D128/D130</f>
        <v>-5.9132153104526084E-4</v>
      </c>
      <c r="E132" s="166">
        <f t="shared" si="10"/>
        <v>-4.5919841210438514E-4</v>
      </c>
    </row>
    <row r="133" spans="1:5" ht="18.95" customHeight="1" x14ac:dyDescent="0.2">
      <c r="A133" s="8"/>
      <c r="B133" s="6"/>
      <c r="C133" s="59"/>
      <c r="D133" s="59"/>
      <c r="E133" s="59"/>
    </row>
    <row r="134" spans="1:5" ht="18.95" customHeight="1" x14ac:dyDescent="0.2">
      <c r="B134" s="6" t="s">
        <v>102</v>
      </c>
    </row>
    <row r="135" spans="1:5" ht="18.95" customHeight="1" x14ac:dyDescent="0.2">
      <c r="A135" s="57">
        <v>6</v>
      </c>
      <c r="B135" s="12" t="s">
        <v>103</v>
      </c>
      <c r="C135" s="58">
        <f>C128/16</f>
        <v>-408194.80256261816</v>
      </c>
      <c r="D135" s="58">
        <f>D128/16</f>
        <v>-167359.86905067344</v>
      </c>
      <c r="E135" s="58">
        <f>E128/16</f>
        <v>-240834.93351194472</v>
      </c>
    </row>
    <row r="136" spans="1:5" ht="18.95" customHeight="1" x14ac:dyDescent="0.2"/>
    <row r="137" spans="1:5" ht="18.95" customHeight="1" x14ac:dyDescent="0.35">
      <c r="A137" s="8">
        <v>7</v>
      </c>
      <c r="B137" s="6" t="s">
        <v>104</v>
      </c>
      <c r="C137" s="165">
        <f>'TY KWH-RS vs Non-RS'!$B$7/12</f>
        <v>993839975.57369483</v>
      </c>
      <c r="D137" s="165">
        <f>'TY KWH-RS vs Non-RS'!$B$5/12</f>
        <v>348340735.92590076</v>
      </c>
      <c r="E137" s="165">
        <f>'TY KWH-RS vs Non-RS'!$B$6/12</f>
        <v>645499239.64779413</v>
      </c>
    </row>
    <row r="138" spans="1:5" ht="18.95" customHeight="1" x14ac:dyDescent="0.2"/>
    <row r="139" spans="1:5" ht="18.95" customHeight="1" x14ac:dyDescent="0.35">
      <c r="A139" s="8">
        <v>8</v>
      </c>
      <c r="B139" s="6" t="s">
        <v>161</v>
      </c>
      <c r="C139" s="166">
        <f>C135/C137</f>
        <v>-4.1072487784261989E-4</v>
      </c>
      <c r="D139" s="166">
        <f t="shared" ref="D139:E139" si="11">D135/D137</f>
        <v>-4.8044874397427446E-4</v>
      </c>
      <c r="E139" s="166">
        <f t="shared" si="11"/>
        <v>-3.7309870983481293E-4</v>
      </c>
    </row>
    <row r="140" spans="1:5" ht="18.95" customHeight="1" x14ac:dyDescent="0.2"/>
    <row r="141" spans="1:5" ht="18.95" customHeight="1" x14ac:dyDescent="0.2">
      <c r="A141" s="167" t="s">
        <v>178</v>
      </c>
      <c r="B141" s="13" t="s">
        <v>180</v>
      </c>
    </row>
    <row r="142" spans="1:5" ht="18.95" customHeight="1" x14ac:dyDescent="0.2"/>
    <row r="143" spans="1:5" ht="18.95" customHeight="1" x14ac:dyDescent="0.2"/>
    <row r="144" spans="1:5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  <row r="219" ht="18.95" customHeight="1" x14ac:dyDescent="0.2"/>
    <row r="220" ht="18.95" customHeight="1" x14ac:dyDescent="0.2"/>
    <row r="221" ht="18.95" customHeight="1" x14ac:dyDescent="0.2"/>
    <row r="222" ht="18.95" customHeight="1" x14ac:dyDescent="0.2"/>
    <row r="223" ht="18.95" customHeight="1" x14ac:dyDescent="0.2"/>
    <row r="224" ht="18.95" customHeight="1" x14ac:dyDescent="0.2"/>
    <row r="225" ht="18.95" customHeight="1" x14ac:dyDescent="0.2"/>
    <row r="226" ht="18.95" customHeight="1" x14ac:dyDescent="0.2"/>
    <row r="227" ht="18.95" customHeight="1" x14ac:dyDescent="0.2"/>
    <row r="228" ht="18.95" customHeight="1" x14ac:dyDescent="0.2"/>
    <row r="229" ht="18.95" customHeight="1" x14ac:dyDescent="0.2"/>
    <row r="230" ht="18.95" customHeight="1" x14ac:dyDescent="0.2"/>
    <row r="231" ht="18.95" customHeight="1" x14ac:dyDescent="0.2"/>
    <row r="232" ht="18.95" customHeight="1" x14ac:dyDescent="0.2"/>
    <row r="233" ht="18.95" customHeight="1" x14ac:dyDescent="0.2"/>
    <row r="234" ht="18.95" customHeight="1" x14ac:dyDescent="0.2"/>
    <row r="235" ht="18.95" customHeight="1" x14ac:dyDescent="0.2"/>
    <row r="236" ht="18.95" customHeight="1" x14ac:dyDescent="0.2"/>
    <row r="237" ht="18.95" customHeight="1" x14ac:dyDescent="0.2"/>
    <row r="238" ht="18.95" customHeight="1" x14ac:dyDescent="0.2"/>
    <row r="239" ht="18.95" customHeight="1" x14ac:dyDescent="0.2"/>
    <row r="240" ht="18.95" customHeight="1" x14ac:dyDescent="0.2"/>
    <row r="241" ht="18.95" customHeight="1" x14ac:dyDescent="0.2"/>
    <row r="242" ht="18.95" customHeight="1" x14ac:dyDescent="0.2"/>
    <row r="243" ht="18.95" customHeight="1" x14ac:dyDescent="0.2"/>
    <row r="244" ht="18.95" customHeight="1" x14ac:dyDescent="0.2"/>
    <row r="245" ht="18.95" customHeight="1" x14ac:dyDescent="0.2"/>
    <row r="246" ht="18.95" customHeight="1" x14ac:dyDescent="0.2"/>
    <row r="247" ht="18.95" customHeight="1" x14ac:dyDescent="0.2"/>
    <row r="248" ht="18.95" customHeight="1" x14ac:dyDescent="0.2"/>
    <row r="249" ht="18.95" customHeight="1" x14ac:dyDescent="0.2"/>
    <row r="250" ht="18.95" customHeight="1" x14ac:dyDescent="0.2"/>
    <row r="251" ht="18.95" customHeight="1" x14ac:dyDescent="0.2"/>
    <row r="252" ht="18.95" customHeight="1" x14ac:dyDescent="0.2"/>
    <row r="253" ht="18.95" customHeight="1" x14ac:dyDescent="0.2"/>
    <row r="254" ht="18.95" customHeight="1" x14ac:dyDescent="0.2"/>
    <row r="255" ht="18.95" customHeight="1" x14ac:dyDescent="0.2"/>
    <row r="256" ht="18.95" customHeight="1" x14ac:dyDescent="0.2"/>
    <row r="257" ht="18.95" customHeight="1" x14ac:dyDescent="0.2"/>
    <row r="258" ht="18.95" customHeight="1" x14ac:dyDescent="0.2"/>
    <row r="259" ht="18.95" customHeight="1" x14ac:dyDescent="0.2"/>
    <row r="260" ht="18.95" customHeight="1" x14ac:dyDescent="0.2"/>
    <row r="261" ht="18.95" customHeight="1" x14ac:dyDescent="0.2"/>
    <row r="262" ht="18.95" customHeight="1" x14ac:dyDescent="0.2"/>
    <row r="263" ht="18.95" customHeight="1" x14ac:dyDescent="0.2"/>
    <row r="264" ht="18.95" customHeight="1" x14ac:dyDescent="0.2"/>
    <row r="265" ht="18.95" customHeight="1" x14ac:dyDescent="0.2"/>
    <row r="266" ht="18.95" customHeight="1" x14ac:dyDescent="0.2"/>
    <row r="267" ht="18.95" customHeight="1" x14ac:dyDescent="0.2"/>
    <row r="268" ht="18.95" customHeight="1" x14ac:dyDescent="0.2"/>
    <row r="269" ht="18.95" customHeight="1" x14ac:dyDescent="0.2"/>
    <row r="270" ht="18.95" customHeight="1" x14ac:dyDescent="0.2"/>
    <row r="271" ht="18.95" customHeight="1" x14ac:dyDescent="0.2"/>
    <row r="272" ht="18.95" customHeight="1" x14ac:dyDescent="0.2"/>
    <row r="273" ht="18.95" customHeight="1" x14ac:dyDescent="0.2"/>
    <row r="274" ht="18.95" customHeight="1" x14ac:dyDescent="0.2"/>
    <row r="275" ht="18.95" customHeight="1" x14ac:dyDescent="0.2"/>
    <row r="276" ht="18.95" customHeight="1" x14ac:dyDescent="0.2"/>
    <row r="277" ht="18.95" customHeight="1" x14ac:dyDescent="0.2"/>
    <row r="278" ht="18.95" customHeight="1" x14ac:dyDescent="0.2"/>
    <row r="279" ht="18.95" customHeight="1" x14ac:dyDescent="0.2"/>
    <row r="280" ht="18.95" customHeight="1" x14ac:dyDescent="0.2"/>
    <row r="281" ht="18.95" customHeight="1" x14ac:dyDescent="0.2"/>
    <row r="282" ht="18.95" customHeight="1" x14ac:dyDescent="0.2"/>
  </sheetData>
  <mergeCells count="15">
    <mergeCell ref="A98:E98"/>
    <mergeCell ref="A99:E99"/>
    <mergeCell ref="A100:E100"/>
    <mergeCell ref="D102:E102"/>
    <mergeCell ref="A3:E3"/>
    <mergeCell ref="A4:E4"/>
    <mergeCell ref="A5:E5"/>
    <mergeCell ref="A6:E6"/>
    <mergeCell ref="D8:E8"/>
    <mergeCell ref="A97:E97"/>
    <mergeCell ref="A50:E50"/>
    <mergeCell ref="A51:E51"/>
    <mergeCell ref="A52:E52"/>
    <mergeCell ref="A53:E53"/>
    <mergeCell ref="D55:E55"/>
  </mergeCells>
  <printOptions horizontalCentered="1"/>
  <pageMargins left="0.75" right="0.75" top="0.75" bottom="0.75" header="0.3" footer="0.3"/>
  <pageSetup scale="67" orientation="portrait" r:id="rId1"/>
  <rowBreaks count="2" manualBreakCount="2">
    <brk id="47" max="4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0"/>
  <sheetViews>
    <sheetView showGridLines="0" zoomScaleNormal="100" workbookViewId="0">
      <selection activeCell="F1" sqref="F1"/>
    </sheetView>
  </sheetViews>
  <sheetFormatPr defaultColWidth="12.42578125" defaultRowHeight="12.75" x14ac:dyDescent="0.2"/>
  <cols>
    <col min="1" max="1" width="16.42578125" style="20" customWidth="1"/>
    <col min="2" max="2" width="36.7109375" style="20" customWidth="1"/>
    <col min="3" max="3" width="16.42578125" style="20" customWidth="1"/>
    <col min="4" max="4" width="6.5703125" style="20" customWidth="1"/>
    <col min="5" max="5" width="15.7109375" style="20" customWidth="1"/>
    <col min="6" max="6" width="15.7109375" style="43" customWidth="1"/>
    <col min="7" max="7" width="16.42578125" style="20" customWidth="1"/>
    <col min="8" max="16384" width="12.42578125" style="20"/>
  </cols>
  <sheetData>
    <row r="1" spans="1:7" ht="20.100000000000001" customHeight="1" x14ac:dyDescent="0.2">
      <c r="F1" s="3" t="s">
        <v>159</v>
      </c>
    </row>
    <row r="2" spans="1:7" ht="20.100000000000001" customHeight="1" x14ac:dyDescent="0.2">
      <c r="F2" s="3" t="s">
        <v>110</v>
      </c>
    </row>
    <row r="3" spans="1:7" ht="15.75" x14ac:dyDescent="0.25">
      <c r="A3" s="18"/>
      <c r="B3" s="179" t="s">
        <v>41</v>
      </c>
      <c r="C3" s="179"/>
      <c r="D3" s="179"/>
      <c r="E3" s="179"/>
      <c r="G3" s="19"/>
    </row>
    <row r="4" spans="1:7" ht="15.75" x14ac:dyDescent="0.25">
      <c r="A4" s="18"/>
      <c r="B4" s="179" t="s">
        <v>8</v>
      </c>
      <c r="C4" s="179"/>
      <c r="D4" s="179"/>
      <c r="E4" s="179"/>
      <c r="G4" s="19"/>
    </row>
    <row r="5" spans="1:7" ht="15.75" x14ac:dyDescent="0.25">
      <c r="A5" s="18"/>
      <c r="B5" s="179" t="s">
        <v>9</v>
      </c>
      <c r="C5" s="179"/>
      <c r="D5" s="179"/>
      <c r="E5" s="179"/>
      <c r="G5" s="22"/>
    </row>
    <row r="6" spans="1:7" ht="15.75" x14ac:dyDescent="0.25">
      <c r="A6" s="18"/>
      <c r="B6" s="180" t="s">
        <v>10</v>
      </c>
      <c r="C6" s="180"/>
      <c r="D6" s="180"/>
      <c r="E6" s="180"/>
      <c r="F6" s="21"/>
    </row>
    <row r="7" spans="1:7" ht="15.75" x14ac:dyDescent="0.25">
      <c r="B7" s="23"/>
      <c r="C7" s="23"/>
      <c r="D7" s="23"/>
      <c r="E7" s="23"/>
      <c r="F7" s="23"/>
    </row>
    <row r="8" spans="1:7" ht="15" x14ac:dyDescent="0.2">
      <c r="A8" s="24"/>
      <c r="B8" s="24"/>
      <c r="C8" s="25"/>
      <c r="D8" s="26"/>
      <c r="E8" s="27"/>
      <c r="F8" s="28"/>
    </row>
    <row r="9" spans="1:7" ht="15" x14ac:dyDescent="0.2">
      <c r="A9" s="24" t="s">
        <v>11</v>
      </c>
      <c r="B9" s="24"/>
      <c r="C9" s="29"/>
      <c r="D9" s="30"/>
      <c r="E9" s="31"/>
      <c r="F9" s="32">
        <v>1</v>
      </c>
    </row>
    <row r="10" spans="1:7" ht="15" x14ac:dyDescent="0.2">
      <c r="A10" s="33"/>
      <c r="B10" s="24"/>
      <c r="C10" s="27"/>
      <c r="D10" s="34"/>
      <c r="E10" s="27"/>
      <c r="F10" s="35"/>
    </row>
    <row r="11" spans="1:7" ht="15" x14ac:dyDescent="0.2">
      <c r="A11" s="33" t="s">
        <v>12</v>
      </c>
      <c r="B11" s="24"/>
      <c r="C11" s="27"/>
      <c r="D11" s="27"/>
      <c r="E11" s="27"/>
      <c r="F11" s="36">
        <f>F35</f>
        <v>0.06</v>
      </c>
    </row>
    <row r="12" spans="1:7" ht="15" x14ac:dyDescent="0.2">
      <c r="A12" s="33"/>
      <c r="B12" s="24"/>
      <c r="C12" s="27"/>
      <c r="D12" s="27"/>
      <c r="E12" s="27"/>
      <c r="F12" s="37"/>
    </row>
    <row r="13" spans="1:7" ht="15" x14ac:dyDescent="0.2">
      <c r="A13" s="38" t="s">
        <v>13</v>
      </c>
      <c r="B13" s="24"/>
      <c r="C13" s="39"/>
      <c r="D13" s="31"/>
      <c r="E13" s="39"/>
      <c r="F13" s="40">
        <f>+F9-F11</f>
        <v>0.94</v>
      </c>
    </row>
    <row r="14" spans="1:7" ht="15" x14ac:dyDescent="0.2">
      <c r="A14" s="41" t="s">
        <v>14</v>
      </c>
      <c r="B14" s="24"/>
      <c r="C14" s="39"/>
      <c r="D14" s="31"/>
      <c r="E14" s="42">
        <v>0.09</v>
      </c>
    </row>
    <row r="15" spans="1:7" ht="15" x14ac:dyDescent="0.2">
      <c r="A15" s="41" t="s">
        <v>15</v>
      </c>
      <c r="B15" s="24"/>
      <c r="C15" s="39"/>
      <c r="D15" s="31"/>
      <c r="E15" s="44">
        <v>0.54920000000000002</v>
      </c>
    </row>
    <row r="16" spans="1:7" ht="15" x14ac:dyDescent="0.2">
      <c r="A16" s="45" t="s">
        <v>47</v>
      </c>
      <c r="B16" s="24"/>
      <c r="C16" s="39"/>
      <c r="D16" s="31"/>
      <c r="E16" s="46">
        <v>0</v>
      </c>
    </row>
    <row r="17" spans="1:7" ht="15" x14ac:dyDescent="0.2">
      <c r="A17" s="45" t="str">
        <f xml:space="preserve"> CONCATENATE("4.  Less: Production tax deduction (",TEXT($E$16,"0.0000%")," of Line 3)")</f>
        <v>4.  Less: Production tax deduction (0.0000% of Line 3)</v>
      </c>
      <c r="B17" s="24"/>
      <c r="C17" s="39"/>
      <c r="D17" s="31"/>
      <c r="E17" s="39"/>
      <c r="F17" s="36">
        <f>E16*F13</f>
        <v>0</v>
      </c>
      <c r="G17" s="47"/>
    </row>
    <row r="18" spans="1:7" ht="15" x14ac:dyDescent="0.2">
      <c r="A18" s="45"/>
      <c r="B18" s="24"/>
      <c r="C18" s="39"/>
      <c r="D18" s="31"/>
      <c r="E18" s="39"/>
      <c r="F18" s="47"/>
    </row>
    <row r="19" spans="1:7" ht="15" x14ac:dyDescent="0.2">
      <c r="A19" s="45" t="s">
        <v>16</v>
      </c>
      <c r="B19" s="24"/>
      <c r="C19" s="39"/>
      <c r="D19" s="31"/>
      <c r="E19" s="39"/>
      <c r="F19" s="40">
        <f>F13-F17</f>
        <v>0.94</v>
      </c>
    </row>
    <row r="20" spans="1:7" ht="15" x14ac:dyDescent="0.2">
      <c r="A20" s="38"/>
      <c r="B20" s="24"/>
      <c r="C20" s="34"/>
      <c r="D20" s="27"/>
      <c r="E20" s="27"/>
      <c r="F20" s="37"/>
    </row>
    <row r="21" spans="1:7" ht="15" x14ac:dyDescent="0.2">
      <c r="A21" s="38" t="s">
        <v>17</v>
      </c>
      <c r="B21" s="24"/>
      <c r="C21" s="34"/>
      <c r="D21" s="27"/>
      <c r="E21" s="27"/>
      <c r="F21" s="36">
        <f>ROUND(+F19*0.21,10)</f>
        <v>0.19739999999999999</v>
      </c>
    </row>
    <row r="22" spans="1:7" ht="15" x14ac:dyDescent="0.2">
      <c r="A22" s="38"/>
      <c r="B22" s="24"/>
      <c r="C22" s="34"/>
      <c r="D22" s="27"/>
      <c r="E22" s="27"/>
      <c r="F22" s="35"/>
    </row>
    <row r="23" spans="1:7" ht="15.75" thickBot="1" x14ac:dyDescent="0.25">
      <c r="A23" s="38" t="s">
        <v>18</v>
      </c>
      <c r="B23" s="24"/>
      <c r="C23" s="34"/>
      <c r="D23" s="27"/>
      <c r="E23" s="27"/>
      <c r="F23" s="48">
        <f>ROUND(+F11+F21,10)</f>
        <v>0.25740000000000002</v>
      </c>
    </row>
    <row r="24" spans="1:7" ht="15.75" thickTop="1" x14ac:dyDescent="0.2">
      <c r="A24" s="38"/>
      <c r="B24" s="24"/>
      <c r="C24" s="49"/>
      <c r="D24" s="27"/>
      <c r="E24" s="27"/>
      <c r="F24" s="50"/>
    </row>
    <row r="26" spans="1:7" ht="15" x14ac:dyDescent="0.2">
      <c r="A26" s="51" t="s">
        <v>19</v>
      </c>
    </row>
    <row r="27" spans="1:7" ht="15" x14ac:dyDescent="0.2">
      <c r="A27" s="24" t="s">
        <v>11</v>
      </c>
      <c r="F27" s="32">
        <v>1</v>
      </c>
    </row>
    <row r="28" spans="1:7" ht="15" x14ac:dyDescent="0.2">
      <c r="A28" s="52"/>
      <c r="F28" s="53"/>
    </row>
    <row r="29" spans="1:7" ht="15" x14ac:dyDescent="0.2">
      <c r="A29" s="45" t="str">
        <f xml:space="preserve"> CONCATENATE("2.  Less: Production activities deduction @ 0% X ",TEXT($E$15,"0.00%")," (1)")</f>
        <v>2.  Less: Production activities deduction @ 0% X 54.92% (1)</v>
      </c>
      <c r="F29" s="36">
        <f>E15*0</f>
        <v>0</v>
      </c>
    </row>
    <row r="30" spans="1:7" ht="15" x14ac:dyDescent="0.2">
      <c r="A30" s="1"/>
      <c r="F30" s="37"/>
    </row>
    <row r="31" spans="1:7" ht="15" x14ac:dyDescent="0.2">
      <c r="A31" s="54" t="s">
        <v>20</v>
      </c>
      <c r="F31" s="40">
        <f>+F27-F29</f>
        <v>1</v>
      </c>
    </row>
    <row r="32" spans="1:7" ht="15" x14ac:dyDescent="0.2">
      <c r="A32" s="54"/>
      <c r="F32" s="47"/>
    </row>
    <row r="33" spans="1:6" ht="15" x14ac:dyDescent="0.2">
      <c r="A33" s="54" t="s">
        <v>21</v>
      </c>
      <c r="F33" s="36">
        <v>0.06</v>
      </c>
    </row>
    <row r="34" spans="1:6" ht="15" x14ac:dyDescent="0.2">
      <c r="A34" s="45"/>
      <c r="F34" s="37"/>
    </row>
    <row r="35" spans="1:6" ht="15.75" thickBot="1" x14ac:dyDescent="0.25">
      <c r="A35" s="52" t="s">
        <v>22</v>
      </c>
      <c r="F35" s="55">
        <f>ROUND(+F31*F33,10)</f>
        <v>0.06</v>
      </c>
    </row>
    <row r="36" spans="1:6" ht="13.5" thickTop="1" x14ac:dyDescent="0.2"/>
    <row r="38" spans="1:6" ht="14.25" x14ac:dyDescent="0.2">
      <c r="A38" s="56"/>
    </row>
    <row r="39" spans="1:6" ht="14.25" x14ac:dyDescent="0.2">
      <c r="A39" s="56"/>
    </row>
    <row r="40" spans="1:6" ht="14.25" x14ac:dyDescent="0.2">
      <c r="A40" s="56"/>
    </row>
  </sheetData>
  <mergeCells count="4">
    <mergeCell ref="B3:E3"/>
    <mergeCell ref="B4:E4"/>
    <mergeCell ref="B5:E5"/>
    <mergeCell ref="B6:E6"/>
  </mergeCells>
  <printOptions horizontalCentered="1" gridLinesSet="0"/>
  <pageMargins left="1" right="1" top="1" bottom="1" header="0.5" footer="0.5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zoomScaleNormal="100" workbookViewId="0">
      <selection activeCell="B14" sqref="B14"/>
    </sheetView>
  </sheetViews>
  <sheetFormatPr defaultRowHeight="12.75" x14ac:dyDescent="0.2"/>
  <cols>
    <col min="1" max="1" width="6.85546875" style="4" customWidth="1"/>
    <col min="2" max="2" width="59.42578125" style="4" customWidth="1"/>
    <col min="3" max="3" width="14.42578125" style="4" customWidth="1"/>
    <col min="4" max="4" width="18.85546875" style="4" customWidth="1"/>
    <col min="5" max="5" width="15.7109375" style="4" customWidth="1"/>
    <col min="6" max="6" width="1.85546875" style="4" customWidth="1"/>
    <col min="7" max="7" width="9.140625" style="4" customWidth="1"/>
    <col min="8" max="16384" width="9.140625" style="4"/>
  </cols>
  <sheetData>
    <row r="1" spans="1:5" s="2" customFormat="1" ht="20.100000000000001" customHeight="1" x14ac:dyDescent="0.2">
      <c r="A1" s="158"/>
      <c r="B1" s="158"/>
      <c r="C1" s="158"/>
      <c r="D1" s="158"/>
      <c r="E1" s="168" t="s">
        <v>182</v>
      </c>
    </row>
    <row r="2" spans="1:5" s="2" customFormat="1" ht="20.100000000000001" customHeight="1" x14ac:dyDescent="0.2">
      <c r="A2" s="158"/>
      <c r="B2" s="158"/>
      <c r="C2" s="158"/>
      <c r="D2" s="158"/>
      <c r="E2" s="168" t="s">
        <v>183</v>
      </c>
    </row>
    <row r="3" spans="1:5" s="2" customFormat="1" ht="20.100000000000001" customHeight="1" x14ac:dyDescent="0.2">
      <c r="A3" s="176" t="s">
        <v>41</v>
      </c>
      <c r="B3" s="177"/>
      <c r="C3" s="177"/>
      <c r="D3" s="177"/>
      <c r="E3" s="177"/>
    </row>
    <row r="4" spans="1:5" s="2" customFormat="1" ht="20.100000000000001" customHeight="1" x14ac:dyDescent="0.2">
      <c r="A4" s="176" t="s">
        <v>160</v>
      </c>
      <c r="B4" s="177"/>
      <c r="C4" s="177"/>
      <c r="D4" s="177"/>
      <c r="E4" s="177"/>
    </row>
    <row r="5" spans="1:5" s="2" customFormat="1" ht="20.100000000000001" customHeight="1" x14ac:dyDescent="0.2">
      <c r="A5" s="177" t="s">
        <v>184</v>
      </c>
      <c r="B5" s="177"/>
      <c r="C5" s="177"/>
      <c r="D5" s="177"/>
      <c r="E5" s="177"/>
    </row>
    <row r="6" spans="1:5" s="2" customFormat="1" ht="20.100000000000001" customHeight="1" x14ac:dyDescent="0.2">
      <c r="A6" s="176" t="s">
        <v>197</v>
      </c>
      <c r="B6" s="177"/>
      <c r="C6" s="177"/>
      <c r="D6" s="177"/>
      <c r="E6" s="177"/>
    </row>
    <row r="7" spans="1:5" s="2" customFormat="1" ht="20.100000000000001" customHeight="1" x14ac:dyDescent="0.2">
      <c r="A7" s="158"/>
      <c r="B7" s="158"/>
      <c r="C7" s="158"/>
      <c r="D7" s="158"/>
      <c r="E7" s="158"/>
    </row>
    <row r="8" spans="1:5" s="2" customFormat="1" ht="18.75" customHeight="1" x14ac:dyDescent="0.2"/>
    <row r="9" spans="1:5" s="2" customFormat="1" ht="7.5" customHeight="1" x14ac:dyDescent="0.2">
      <c r="A9" s="14"/>
      <c r="B9" s="14"/>
      <c r="C9" s="14"/>
      <c r="D9" s="14"/>
      <c r="E9" s="14"/>
    </row>
    <row r="10" spans="1:5" ht="24" customHeight="1" x14ac:dyDescent="0.2">
      <c r="A10" s="15" t="s">
        <v>2</v>
      </c>
      <c r="B10" s="15" t="s">
        <v>0</v>
      </c>
      <c r="C10" s="15"/>
      <c r="D10" s="15" t="s">
        <v>1</v>
      </c>
      <c r="E10" s="15" t="s">
        <v>4</v>
      </c>
    </row>
    <row r="11" spans="1:5" ht="18.95" customHeight="1" x14ac:dyDescent="0.2">
      <c r="A11" s="5"/>
      <c r="B11" s="10"/>
      <c r="C11" s="11"/>
      <c r="D11" s="11"/>
      <c r="E11" s="11"/>
    </row>
    <row r="12" spans="1:5" ht="18.95" customHeight="1" x14ac:dyDescent="0.2">
      <c r="A12" s="5">
        <v>1</v>
      </c>
      <c r="B12" s="6" t="s">
        <v>5</v>
      </c>
      <c r="C12" s="7"/>
      <c r="D12" s="169">
        <v>1</v>
      </c>
      <c r="E12" s="169">
        <v>1</v>
      </c>
    </row>
    <row r="13" spans="1:5" ht="18.95" customHeight="1" x14ac:dyDescent="0.2">
      <c r="A13" s="8"/>
      <c r="B13" s="6"/>
      <c r="C13" s="7"/>
      <c r="D13" s="169"/>
      <c r="E13" s="169"/>
    </row>
    <row r="14" spans="1:5" ht="18.95" customHeight="1" x14ac:dyDescent="0.2">
      <c r="A14" s="8">
        <v>2</v>
      </c>
      <c r="B14" s="6" t="s">
        <v>6</v>
      </c>
      <c r="C14" s="169"/>
      <c r="D14" s="169">
        <v>1.9400000000000001E-3</v>
      </c>
      <c r="E14" s="169">
        <f>D14</f>
        <v>1.9400000000000001E-3</v>
      </c>
    </row>
    <row r="15" spans="1:5" ht="18.95" customHeight="1" x14ac:dyDescent="0.2">
      <c r="A15" s="8"/>
      <c r="B15" s="6"/>
      <c r="C15" s="7"/>
      <c r="D15" s="169"/>
      <c r="E15" s="169"/>
    </row>
    <row r="16" spans="1:5" ht="18.95" customHeight="1" x14ac:dyDescent="0.2">
      <c r="A16" s="8">
        <v>3</v>
      </c>
      <c r="B16" s="6" t="s">
        <v>7</v>
      </c>
      <c r="D16" s="170">
        <v>1.941E-3</v>
      </c>
      <c r="E16" s="170">
        <f>D16</f>
        <v>1.941E-3</v>
      </c>
    </row>
    <row r="17" spans="1:5" ht="18.95" customHeight="1" x14ac:dyDescent="0.2">
      <c r="A17" s="8"/>
      <c r="B17" s="12"/>
      <c r="C17" s="7"/>
      <c r="D17" s="169"/>
      <c r="E17" s="169"/>
    </row>
    <row r="18" spans="1:5" ht="18.95" customHeight="1" x14ac:dyDescent="0.2">
      <c r="A18" s="8">
        <v>4</v>
      </c>
      <c r="B18" s="6" t="s">
        <v>185</v>
      </c>
      <c r="C18" s="7"/>
      <c r="D18" s="169">
        <f>D12-D14-D16</f>
        <v>0.99611899999999998</v>
      </c>
      <c r="E18" s="169">
        <f>E12-E14-E16</f>
        <v>0.99611899999999998</v>
      </c>
    </row>
    <row r="19" spans="1:5" ht="18.95" customHeight="1" x14ac:dyDescent="0.2">
      <c r="A19" s="8"/>
      <c r="B19" s="171"/>
      <c r="C19" s="7"/>
      <c r="D19" s="169"/>
      <c r="E19" s="169"/>
    </row>
    <row r="20" spans="1:5" ht="18.95" customHeight="1" x14ac:dyDescent="0.2">
      <c r="A20" s="8">
        <v>5</v>
      </c>
      <c r="B20" s="171" t="s">
        <v>186</v>
      </c>
      <c r="C20" s="16">
        <v>0.06</v>
      </c>
      <c r="D20" s="169">
        <f>D18*C20</f>
        <v>5.9767139999999996E-2</v>
      </c>
      <c r="E20" s="170">
        <f>D20</f>
        <v>5.9767139999999996E-2</v>
      </c>
    </row>
    <row r="21" spans="1:5" ht="18.95" customHeight="1" x14ac:dyDescent="0.2">
      <c r="A21" s="8"/>
      <c r="B21" s="171"/>
      <c r="C21" s="7"/>
      <c r="D21" s="169"/>
      <c r="E21" s="169"/>
    </row>
    <row r="22" spans="1:5" ht="18.95" customHeight="1" x14ac:dyDescent="0.2">
      <c r="A22" s="8">
        <v>6</v>
      </c>
      <c r="B22" s="6" t="s">
        <v>187</v>
      </c>
      <c r="D22" s="169"/>
      <c r="E22" s="169">
        <f>E18-E20</f>
        <v>0.93635186000000004</v>
      </c>
    </row>
    <row r="23" spans="1:5" ht="18.95" customHeight="1" x14ac:dyDescent="0.2">
      <c r="A23" s="8"/>
      <c r="B23" s="172"/>
      <c r="C23" s="7"/>
      <c r="D23" s="169"/>
      <c r="E23" s="169"/>
    </row>
    <row r="24" spans="1:5" ht="18.95" customHeight="1" x14ac:dyDescent="0.2">
      <c r="A24" s="8">
        <v>7</v>
      </c>
      <c r="B24" s="171" t="s">
        <v>188</v>
      </c>
      <c r="C24" s="16">
        <v>0.21</v>
      </c>
      <c r="D24" s="173"/>
      <c r="E24" s="170">
        <f>E22*C24</f>
        <v>0.1966338906</v>
      </c>
    </row>
    <row r="25" spans="1:5" ht="18.95" customHeight="1" x14ac:dyDescent="0.2">
      <c r="A25" s="8"/>
      <c r="B25" s="172"/>
      <c r="C25" s="7"/>
      <c r="D25" s="169"/>
      <c r="E25" s="169"/>
    </row>
    <row r="26" spans="1:5" ht="18.95" customHeight="1" thickBot="1" x14ac:dyDescent="0.25">
      <c r="A26" s="8">
        <v>8</v>
      </c>
      <c r="B26" s="171" t="s">
        <v>189</v>
      </c>
      <c r="E26" s="174">
        <f>E20+E24</f>
        <v>0.25640103059999997</v>
      </c>
    </row>
    <row r="27" spans="1:5" ht="18.95" customHeight="1" thickTop="1" x14ac:dyDescent="0.2"/>
    <row r="28" spans="1:5" ht="18.95" customHeight="1" x14ac:dyDescent="0.2">
      <c r="E28" s="175"/>
    </row>
    <row r="29" spans="1:5" ht="18.95" customHeight="1" x14ac:dyDescent="0.2">
      <c r="E29" s="175"/>
    </row>
    <row r="30" spans="1:5" ht="18.95" customHeight="1" x14ac:dyDescent="0.2">
      <c r="E30" s="169"/>
    </row>
    <row r="31" spans="1:5" ht="18.95" customHeight="1" x14ac:dyDescent="0.2">
      <c r="E31" s="169"/>
    </row>
    <row r="32" spans="1:5" ht="18.95" customHeight="1" x14ac:dyDescent="0.2">
      <c r="E32" s="169"/>
    </row>
    <row r="33" spans="5:5" ht="18.95" customHeight="1" x14ac:dyDescent="0.2">
      <c r="E33" s="169"/>
    </row>
    <row r="34" spans="5:5" ht="18.95" customHeight="1" x14ac:dyDescent="0.2"/>
    <row r="35" spans="5:5" ht="18.95" customHeight="1" x14ac:dyDescent="0.2"/>
    <row r="36" spans="5:5" ht="18.95" customHeight="1" x14ac:dyDescent="0.2"/>
    <row r="37" spans="5:5" ht="18.95" customHeight="1" x14ac:dyDescent="0.2"/>
    <row r="38" spans="5:5" ht="18.95" customHeight="1" x14ac:dyDescent="0.2"/>
    <row r="39" spans="5:5" ht="18.95" customHeight="1" x14ac:dyDescent="0.2"/>
    <row r="40" spans="5:5" ht="18.95" customHeight="1" x14ac:dyDescent="0.2"/>
    <row r="41" spans="5:5" ht="18.95" customHeight="1" x14ac:dyDescent="0.2"/>
    <row r="42" spans="5:5" ht="18.95" customHeight="1" x14ac:dyDescent="0.2"/>
    <row r="43" spans="5:5" ht="18.95" customHeight="1" x14ac:dyDescent="0.2"/>
    <row r="44" spans="5:5" ht="18.95" customHeight="1" x14ac:dyDescent="0.2"/>
    <row r="45" spans="5:5" ht="18.95" customHeight="1" x14ac:dyDescent="0.2"/>
    <row r="46" spans="5:5" ht="18.95" customHeight="1" x14ac:dyDescent="0.2"/>
    <row r="47" spans="5:5" ht="18.95" customHeight="1" x14ac:dyDescent="0.2"/>
    <row r="48" spans="5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</sheetData>
  <mergeCells count="4">
    <mergeCell ref="A3:E3"/>
    <mergeCell ref="A4:E4"/>
    <mergeCell ref="A5:E5"/>
    <mergeCell ref="A6:E6"/>
  </mergeCells>
  <pageMargins left="0.95" right="0.5" top="0.75" bottom="0.75" header="0.3" footer="0.3"/>
  <pageSetup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31" sqref="H31"/>
    </sheetView>
  </sheetViews>
  <sheetFormatPr defaultColWidth="9.140625" defaultRowHeight="15" outlineLevelRow="1" x14ac:dyDescent="0.25"/>
  <cols>
    <col min="1" max="1" width="48.7109375" style="68" customWidth="1"/>
    <col min="2" max="2" width="15.7109375" style="68" customWidth="1"/>
    <col min="3" max="3" width="2.7109375" style="68" customWidth="1"/>
    <col min="4" max="5" width="13.7109375" style="68" customWidth="1"/>
    <col min="6" max="6" width="2.7109375" style="68" customWidth="1"/>
    <col min="7" max="7" width="15.7109375" style="68" customWidth="1"/>
    <col min="8" max="8" width="13.7109375" style="68" customWidth="1"/>
    <col min="9" max="9" width="3.42578125" style="68" customWidth="1"/>
    <col min="10" max="10" width="16.28515625" style="68" bestFit="1" customWidth="1"/>
    <col min="11" max="16384" width="9.140625" style="68"/>
  </cols>
  <sheetData>
    <row r="1" spans="1:11" s="63" customFormat="1" ht="18.75" x14ac:dyDescent="0.3">
      <c r="B1" s="181" t="s">
        <v>45</v>
      </c>
      <c r="C1" s="181"/>
      <c r="D1" s="181"/>
      <c r="E1" s="181"/>
      <c r="F1" s="181"/>
      <c r="G1" s="181"/>
      <c r="H1" s="181"/>
    </row>
    <row r="2" spans="1:11" s="80" customFormat="1" ht="39" customHeight="1" x14ac:dyDescent="0.45">
      <c r="C2" s="81"/>
      <c r="D2" s="182" t="s">
        <v>111</v>
      </c>
      <c r="E2" s="182"/>
      <c r="F2" s="81"/>
      <c r="H2" s="101"/>
    </row>
    <row r="3" spans="1:11" s="85" customFormat="1" ht="51.75" x14ac:dyDescent="0.4">
      <c r="A3" s="82" t="s">
        <v>37</v>
      </c>
      <c r="B3" s="83" t="s">
        <v>112</v>
      </c>
      <c r="C3" s="84"/>
      <c r="D3" s="83" t="s">
        <v>113</v>
      </c>
      <c r="E3" s="83" t="s">
        <v>114</v>
      </c>
      <c r="F3" s="84"/>
      <c r="G3" s="102" t="s">
        <v>157</v>
      </c>
      <c r="H3" s="83" t="s">
        <v>115</v>
      </c>
    </row>
    <row r="4" spans="1:11" s="85" customFormat="1" ht="17.25" x14ac:dyDescent="0.4">
      <c r="A4" s="86" t="s">
        <v>116</v>
      </c>
      <c r="B4" s="83"/>
      <c r="C4" s="84"/>
      <c r="D4" s="83"/>
      <c r="E4" s="83"/>
      <c r="F4" s="84"/>
      <c r="G4" s="83"/>
      <c r="H4" s="83"/>
    </row>
    <row r="5" spans="1:11" x14ac:dyDescent="0.25">
      <c r="A5" s="87" t="s">
        <v>117</v>
      </c>
      <c r="B5" s="69">
        <v>441462416</v>
      </c>
      <c r="C5" s="76"/>
      <c r="D5" s="69">
        <v>28411975</v>
      </c>
      <c r="E5" s="88">
        <f t="shared" ref="E5:E26" si="0">IF(B5=0,0,D5/B5)</f>
        <v>6.4358762989237123E-2</v>
      </c>
      <c r="F5" s="76"/>
      <c r="G5" s="69">
        <f>B5+D5</f>
        <v>469874391</v>
      </c>
      <c r="H5" s="103">
        <f>G5/G$26</f>
        <v>0.40642501384805907</v>
      </c>
      <c r="J5" s="89">
        <f>D5+B5</f>
        <v>469874391</v>
      </c>
    </row>
    <row r="6" spans="1:11" x14ac:dyDescent="0.25">
      <c r="A6" s="87" t="s">
        <v>118</v>
      </c>
      <c r="B6" s="76">
        <v>55652</v>
      </c>
      <c r="C6" s="76"/>
      <c r="D6" s="76">
        <v>3580</v>
      </c>
      <c r="E6" s="88">
        <f t="shared" si="0"/>
        <v>6.4328326026018831E-2</v>
      </c>
      <c r="F6" s="76"/>
      <c r="G6" s="76">
        <f t="shared" ref="G6:G25" si="1">B6+D6</f>
        <v>59232</v>
      </c>
      <c r="H6" s="103">
        <f t="shared" ref="H6:H26" si="2">G6/G$26</f>
        <v>5.1233620902417374E-5</v>
      </c>
      <c r="J6" s="89">
        <f>D6+B6</f>
        <v>59232</v>
      </c>
    </row>
    <row r="7" spans="1:11" x14ac:dyDescent="0.25">
      <c r="A7" s="87" t="s">
        <v>119</v>
      </c>
      <c r="B7" s="76">
        <v>170461520</v>
      </c>
      <c r="C7" s="76"/>
      <c r="D7" s="76">
        <v>8295740</v>
      </c>
      <c r="E7" s="88">
        <f t="shared" si="0"/>
        <v>4.8666350036066792E-2</v>
      </c>
      <c r="F7" s="76"/>
      <c r="G7" s="76">
        <f t="shared" si="1"/>
        <v>178757260</v>
      </c>
      <c r="H7" s="103">
        <f t="shared" si="2"/>
        <v>0.15461881571439184</v>
      </c>
      <c r="J7" s="89">
        <f>SUM(J5:J6)</f>
        <v>469933623</v>
      </c>
      <c r="K7" s="88">
        <f>ROUND(J7/J26,2)</f>
        <v>0.41</v>
      </c>
    </row>
    <row r="8" spans="1:11" hidden="1" outlineLevel="1" x14ac:dyDescent="0.25">
      <c r="A8" s="90" t="s">
        <v>120</v>
      </c>
      <c r="B8" s="91">
        <v>158516776</v>
      </c>
      <c r="C8" s="91"/>
      <c r="D8" s="91">
        <v>7690244</v>
      </c>
      <c r="E8" s="92">
        <f t="shared" si="0"/>
        <v>4.8513754783910061E-2</v>
      </c>
      <c r="F8" s="91"/>
      <c r="G8" s="91">
        <f t="shared" si="1"/>
        <v>166207020</v>
      </c>
      <c r="H8" s="103">
        <f t="shared" si="2"/>
        <v>0.14376329440168326</v>
      </c>
    </row>
    <row r="9" spans="1:11" hidden="1" outlineLevel="1" x14ac:dyDescent="0.25">
      <c r="A9" s="90" t="s">
        <v>121</v>
      </c>
      <c r="B9" s="91">
        <v>12536325</v>
      </c>
      <c r="C9" s="91"/>
      <c r="D9" s="91">
        <v>603209</v>
      </c>
      <c r="E9" s="92">
        <f t="shared" si="0"/>
        <v>4.8116892310944397E-2</v>
      </c>
      <c r="F9" s="91"/>
      <c r="G9" s="91">
        <f t="shared" si="1"/>
        <v>13139534</v>
      </c>
      <c r="H9" s="103">
        <f t="shared" si="2"/>
        <v>1.1365240136926387E-2</v>
      </c>
    </row>
    <row r="10" spans="1:11" s="79" customFormat="1" collapsed="1" x14ac:dyDescent="0.25">
      <c r="A10" s="93" t="s">
        <v>122</v>
      </c>
      <c r="B10" s="94">
        <f>SUM(B8:B9)</f>
        <v>171053101</v>
      </c>
      <c r="C10" s="94"/>
      <c r="D10" s="94">
        <f>SUM(D8:D9)</f>
        <v>8293453</v>
      </c>
      <c r="E10" s="95">
        <f t="shared" si="0"/>
        <v>4.8484669096995794E-2</v>
      </c>
      <c r="F10" s="94"/>
      <c r="G10" s="94">
        <f t="shared" si="1"/>
        <v>179346554</v>
      </c>
      <c r="H10" s="103">
        <f t="shared" si="2"/>
        <v>0.15512853453860964</v>
      </c>
    </row>
    <row r="11" spans="1:11" x14ac:dyDescent="0.25">
      <c r="A11" s="87" t="s">
        <v>123</v>
      </c>
      <c r="B11" s="76">
        <v>77663825</v>
      </c>
      <c r="C11" s="76"/>
      <c r="D11" s="76">
        <v>1414829</v>
      </c>
      <c r="E11" s="88">
        <f t="shared" si="0"/>
        <v>1.8217348939483732E-2</v>
      </c>
      <c r="F11" s="76"/>
      <c r="G11" s="76">
        <f t="shared" si="1"/>
        <v>79078654</v>
      </c>
      <c r="H11" s="103">
        <f t="shared" si="2"/>
        <v>6.8400286677968519E-2</v>
      </c>
    </row>
    <row r="12" spans="1:11" x14ac:dyDescent="0.25">
      <c r="A12" s="87" t="s">
        <v>124</v>
      </c>
      <c r="B12" s="76">
        <v>126370424</v>
      </c>
      <c r="C12" s="76"/>
      <c r="D12" s="76">
        <v>6519985</v>
      </c>
      <c r="E12" s="88">
        <f t="shared" si="0"/>
        <v>5.1594232207371561E-2</v>
      </c>
      <c r="F12" s="76"/>
      <c r="G12" s="76">
        <f t="shared" si="1"/>
        <v>132890409</v>
      </c>
      <c r="H12" s="103">
        <f t="shared" si="2"/>
        <v>0.11494558408078731</v>
      </c>
    </row>
    <row r="13" spans="1:11" x14ac:dyDescent="0.25">
      <c r="A13" s="87" t="s">
        <v>125</v>
      </c>
      <c r="B13" s="76">
        <v>68895503</v>
      </c>
      <c r="C13" s="76"/>
      <c r="D13" s="76">
        <v>3583260</v>
      </c>
      <c r="E13" s="88">
        <f t="shared" si="0"/>
        <v>5.2010070962106192E-2</v>
      </c>
      <c r="F13" s="76"/>
      <c r="G13" s="76">
        <f t="shared" si="1"/>
        <v>72478763</v>
      </c>
      <c r="H13" s="103">
        <f t="shared" si="2"/>
        <v>6.2691610396713851E-2</v>
      </c>
    </row>
    <row r="14" spans="1:11" x14ac:dyDescent="0.25">
      <c r="A14" s="87" t="s">
        <v>126</v>
      </c>
      <c r="B14" s="76">
        <v>0</v>
      </c>
      <c r="C14" s="76"/>
      <c r="D14" s="76">
        <v>0</v>
      </c>
      <c r="E14" s="88">
        <f t="shared" si="0"/>
        <v>0</v>
      </c>
      <c r="F14" s="76"/>
      <c r="G14" s="76">
        <f t="shared" si="1"/>
        <v>0</v>
      </c>
      <c r="H14" s="103">
        <f t="shared" si="2"/>
        <v>0</v>
      </c>
    </row>
    <row r="15" spans="1:11" hidden="1" outlineLevel="1" x14ac:dyDescent="0.25">
      <c r="A15" s="90" t="s">
        <v>127</v>
      </c>
      <c r="B15" s="91">
        <v>-3955200</v>
      </c>
      <c r="C15" s="91"/>
      <c r="D15" s="91">
        <v>309000</v>
      </c>
      <c r="E15" s="92">
        <f t="shared" si="0"/>
        <v>-7.8125E-2</v>
      </c>
      <c r="F15" s="91"/>
      <c r="G15" s="91">
        <f t="shared" si="1"/>
        <v>-3646200</v>
      </c>
      <c r="H15" s="103">
        <f t="shared" si="2"/>
        <v>-3.1538362461911505E-3</v>
      </c>
    </row>
    <row r="16" spans="1:11" hidden="1" outlineLevel="1" x14ac:dyDescent="0.25">
      <c r="A16" s="90" t="s">
        <v>128</v>
      </c>
      <c r="B16" s="91">
        <v>-379322</v>
      </c>
      <c r="C16" s="91"/>
      <c r="D16" s="91">
        <v>29179</v>
      </c>
      <c r="E16" s="92">
        <f t="shared" si="0"/>
        <v>-7.6924090877934836E-2</v>
      </c>
      <c r="F16" s="91"/>
      <c r="G16" s="91">
        <f t="shared" si="1"/>
        <v>-350143</v>
      </c>
      <c r="H16" s="103">
        <f t="shared" si="2"/>
        <v>-3.0286152288687071E-4</v>
      </c>
    </row>
    <row r="17" spans="1:10" s="79" customFormat="1" collapsed="1" x14ac:dyDescent="0.25">
      <c r="A17" s="93" t="s">
        <v>129</v>
      </c>
      <c r="B17" s="94">
        <f>SUM(B15:B16)</f>
        <v>-4334522</v>
      </c>
      <c r="C17" s="94"/>
      <c r="D17" s="94">
        <f>SUM(D15:D16)</f>
        <v>338179</v>
      </c>
      <c r="E17" s="95">
        <f t="shared" si="0"/>
        <v>-7.8019906231875158E-2</v>
      </c>
      <c r="F17" s="94"/>
      <c r="G17" s="94">
        <f t="shared" si="1"/>
        <v>-3996343</v>
      </c>
      <c r="H17" s="103">
        <f t="shared" si="2"/>
        <v>-3.4566977690780212E-3</v>
      </c>
    </row>
    <row r="18" spans="1:10" x14ac:dyDescent="0.25">
      <c r="A18" s="87" t="s">
        <v>130</v>
      </c>
      <c r="B18" s="76">
        <v>6754787</v>
      </c>
      <c r="C18" s="76"/>
      <c r="D18" s="76">
        <v>411692</v>
      </c>
      <c r="E18" s="88">
        <f t="shared" si="0"/>
        <v>6.0948183858351122E-2</v>
      </c>
      <c r="F18" s="76"/>
      <c r="G18" s="76">
        <f t="shared" si="1"/>
        <v>7166479</v>
      </c>
      <c r="H18" s="103">
        <f t="shared" si="2"/>
        <v>6.1987552048071177E-3</v>
      </c>
    </row>
    <row r="19" spans="1:10" x14ac:dyDescent="0.25">
      <c r="A19" s="87" t="s">
        <v>131</v>
      </c>
      <c r="B19" s="76">
        <v>3519981</v>
      </c>
      <c r="C19" s="76"/>
      <c r="D19" s="76">
        <v>196213</v>
      </c>
      <c r="E19" s="88">
        <f t="shared" si="0"/>
        <v>5.5742630428971068E-2</v>
      </c>
      <c r="F19" s="76"/>
      <c r="G19" s="76">
        <f t="shared" si="1"/>
        <v>3716194</v>
      </c>
      <c r="H19" s="103">
        <f t="shared" si="2"/>
        <v>3.2143786229713337E-3</v>
      </c>
    </row>
    <row r="20" spans="1:10" x14ac:dyDescent="0.25">
      <c r="A20" s="87" t="s">
        <v>132</v>
      </c>
      <c r="B20" s="76">
        <v>244537</v>
      </c>
      <c r="C20" s="76"/>
      <c r="D20" s="76">
        <v>0</v>
      </c>
      <c r="E20" s="88">
        <f t="shared" si="0"/>
        <v>0</v>
      </c>
      <c r="F20" s="76"/>
      <c r="G20" s="76">
        <f t="shared" si="1"/>
        <v>244537</v>
      </c>
      <c r="H20" s="103">
        <f t="shared" si="2"/>
        <v>2.1151600409600281E-4</v>
      </c>
    </row>
    <row r="21" spans="1:10" x14ac:dyDescent="0.25">
      <c r="A21" s="87" t="s">
        <v>133</v>
      </c>
      <c r="B21" s="76">
        <v>304220</v>
      </c>
      <c r="C21" s="76"/>
      <c r="D21" s="76">
        <v>12777</v>
      </c>
      <c r="E21" s="88">
        <f t="shared" si="0"/>
        <v>4.1999211097232265E-2</v>
      </c>
      <c r="F21" s="76"/>
      <c r="G21" s="76">
        <f t="shared" si="1"/>
        <v>316997</v>
      </c>
      <c r="H21" s="103">
        <f t="shared" si="2"/>
        <v>2.7419138514997974E-4</v>
      </c>
    </row>
    <row r="22" spans="1:10" hidden="1" outlineLevel="1" x14ac:dyDescent="0.25">
      <c r="A22" s="90" t="s">
        <v>134</v>
      </c>
      <c r="B22" s="91">
        <v>12453087</v>
      </c>
      <c r="C22" s="91"/>
      <c r="D22" s="96"/>
      <c r="E22" s="92">
        <f t="shared" si="0"/>
        <v>0</v>
      </c>
      <c r="F22" s="91"/>
      <c r="G22" s="91">
        <f t="shared" si="1"/>
        <v>12453087</v>
      </c>
      <c r="H22" s="103">
        <f t="shared" si="2"/>
        <v>1.0771487345063852E-2</v>
      </c>
    </row>
    <row r="23" spans="1:10" hidden="1" outlineLevel="1" x14ac:dyDescent="0.25">
      <c r="A23" s="90" t="s">
        <v>135</v>
      </c>
      <c r="B23" s="91">
        <v>10936238</v>
      </c>
      <c r="C23" s="91"/>
      <c r="D23" s="96"/>
      <c r="E23" s="92">
        <f t="shared" si="0"/>
        <v>0</v>
      </c>
      <c r="F23" s="91"/>
      <c r="G23" s="91">
        <f t="shared" si="1"/>
        <v>10936238</v>
      </c>
      <c r="H23" s="103">
        <f t="shared" si="2"/>
        <v>9.4594656906842791E-3</v>
      </c>
    </row>
    <row r="24" spans="1:10" s="79" customFormat="1" collapsed="1" x14ac:dyDescent="0.25">
      <c r="A24" s="93" t="s">
        <v>136</v>
      </c>
      <c r="B24" s="94">
        <f>SUM(B22:B23)</f>
        <v>23389325</v>
      </c>
      <c r="C24" s="94"/>
      <c r="D24" s="94">
        <v>389243</v>
      </c>
      <c r="E24" s="95">
        <f t="shared" si="0"/>
        <v>1.6641908220951223E-2</v>
      </c>
      <c r="F24" s="94"/>
      <c r="G24" s="94">
        <f t="shared" si="1"/>
        <v>23778568</v>
      </c>
      <c r="H24" s="103">
        <f t="shared" si="2"/>
        <v>2.0567634699391425E-2</v>
      </c>
    </row>
    <row r="25" spans="1:10" ht="17.25" x14ac:dyDescent="0.4">
      <c r="A25" s="87" t="s">
        <v>137</v>
      </c>
      <c r="B25" s="77">
        <v>13154202.00385</v>
      </c>
      <c r="C25" s="76"/>
      <c r="D25" s="77">
        <v>-750070</v>
      </c>
      <c r="E25" s="88">
        <f t="shared" si="0"/>
        <v>-5.7021322903545793E-2</v>
      </c>
      <c r="F25" s="76"/>
      <c r="G25" s="77">
        <f t="shared" si="1"/>
        <v>12404132.00385</v>
      </c>
      <c r="H25" s="103">
        <f t="shared" si="2"/>
        <v>1.0729142975229498E-2</v>
      </c>
    </row>
    <row r="26" spans="1:10" ht="17.25" x14ac:dyDescent="0.4">
      <c r="A26" s="97" t="s">
        <v>138</v>
      </c>
      <c r="B26" s="74">
        <f>SUM(B5:B7,B10:B14,B17:B21,B24:B25)</f>
        <v>1098994971.00385</v>
      </c>
      <c r="D26" s="74">
        <f>SUM(D5:D7,D10:D14,D17:D21,D24:D25)</f>
        <v>57120856</v>
      </c>
      <c r="E26" s="88">
        <f t="shared" si="0"/>
        <v>5.197553902164298E-2</v>
      </c>
      <c r="G26" s="74">
        <f>SUM(G5:G7,G10:G14,G17:G21,G24:G25)</f>
        <v>1156115827.00385</v>
      </c>
      <c r="H26" s="103">
        <f t="shared" si="2"/>
        <v>1</v>
      </c>
      <c r="J26" s="89">
        <f>D26+B26</f>
        <v>1156115827.00385</v>
      </c>
    </row>
    <row r="28" spans="1:10" x14ac:dyDescent="0.25">
      <c r="A28" s="97" t="s">
        <v>139</v>
      </c>
    </row>
    <row r="29" spans="1:10" x14ac:dyDescent="0.25">
      <c r="A29" s="87" t="s">
        <v>140</v>
      </c>
      <c r="B29" s="69">
        <v>2623527</v>
      </c>
      <c r="D29" s="69">
        <v>0</v>
      </c>
      <c r="E29" s="88">
        <f>IF(B29=0,0,D29/B29)</f>
        <v>0</v>
      </c>
      <c r="G29" s="69">
        <f t="shared" ref="G29:G32" si="3">B29+D29</f>
        <v>2623527</v>
      </c>
      <c r="H29" s="88"/>
    </row>
    <row r="30" spans="1:10" x14ac:dyDescent="0.25">
      <c r="A30" s="87" t="s">
        <v>141</v>
      </c>
      <c r="B30" s="76">
        <v>1599304</v>
      </c>
      <c r="D30" s="76">
        <v>0</v>
      </c>
      <c r="E30" s="88">
        <f>IF(B30=0,0,D30/B30)</f>
        <v>0</v>
      </c>
      <c r="G30" s="76">
        <f t="shared" si="3"/>
        <v>1599304</v>
      </c>
      <c r="H30" s="88"/>
    </row>
    <row r="31" spans="1:10" x14ac:dyDescent="0.25">
      <c r="A31" s="87" t="s">
        <v>142</v>
      </c>
      <c r="B31" s="76">
        <v>3785840</v>
      </c>
      <c r="D31" s="76">
        <v>-22391</v>
      </c>
      <c r="E31" s="88">
        <f>IF(B31=0,0,D31/B31)</f>
        <v>-5.9144073706231641E-3</v>
      </c>
      <c r="G31" s="76">
        <f t="shared" si="3"/>
        <v>3763449</v>
      </c>
      <c r="H31" s="88"/>
    </row>
    <row r="32" spans="1:10" ht="17.25" x14ac:dyDescent="0.4">
      <c r="A32" s="87" t="s">
        <v>143</v>
      </c>
      <c r="B32" s="77">
        <v>13775652</v>
      </c>
      <c r="D32" s="77">
        <v>0</v>
      </c>
      <c r="E32" s="88">
        <f>IF(B32=0,0,D32/B32)</f>
        <v>0</v>
      </c>
      <c r="G32" s="77">
        <f t="shared" si="3"/>
        <v>13775652</v>
      </c>
      <c r="H32" s="88"/>
    </row>
    <row r="33" spans="1:8" ht="17.25" x14ac:dyDescent="0.4">
      <c r="A33" s="97" t="s">
        <v>144</v>
      </c>
      <c r="B33" s="74">
        <f>SUM(B26:B32)</f>
        <v>1120779294.00385</v>
      </c>
      <c r="D33" s="74">
        <f>SUM(D26:D32)</f>
        <v>57098465</v>
      </c>
      <c r="E33" s="88">
        <f>IF(B33=0,0,D33/B33)</f>
        <v>5.094532465533206E-2</v>
      </c>
      <c r="G33" s="74">
        <f>SUM(G26:G32)</f>
        <v>1177877759.00385</v>
      </c>
      <c r="H33" s="88"/>
    </row>
    <row r="36" spans="1:8" s="85" customFormat="1" ht="51.75" x14ac:dyDescent="0.4">
      <c r="A36" s="82" t="s">
        <v>46</v>
      </c>
      <c r="B36" s="83" t="str">
        <f>B3</f>
        <v>Forecasted Test Year Revenues</v>
      </c>
      <c r="C36" s="84"/>
      <c r="D36" s="83" t="str">
        <f>D3</f>
        <v>Increase</v>
      </c>
      <c r="E36" s="83" t="str">
        <f>E3</f>
        <v>Percentage Increase</v>
      </c>
      <c r="F36" s="84"/>
      <c r="G36" s="102" t="s">
        <v>157</v>
      </c>
      <c r="H36" s="83" t="str">
        <f>H3</f>
        <v>Percentage Change</v>
      </c>
    </row>
    <row r="37" spans="1:8" s="85" customFormat="1" ht="17.25" x14ac:dyDescent="0.4">
      <c r="A37" s="86" t="s">
        <v>116</v>
      </c>
      <c r="B37" s="83"/>
      <c r="C37" s="84"/>
      <c r="D37" s="83"/>
      <c r="E37" s="83"/>
      <c r="F37" s="84"/>
      <c r="G37" s="83"/>
      <c r="H37" s="83"/>
    </row>
    <row r="38" spans="1:8" x14ac:dyDescent="0.25">
      <c r="A38" s="87" t="s">
        <v>145</v>
      </c>
      <c r="B38" s="69">
        <v>214163791</v>
      </c>
      <c r="C38" s="76"/>
      <c r="D38" s="98">
        <v>4725782.0657451451</v>
      </c>
      <c r="E38" s="88">
        <f t="shared" ref="E38:E46" si="4">IF(B38=0,0,D38/B38)</f>
        <v>2.2066204766356349E-2</v>
      </c>
      <c r="F38" s="76"/>
      <c r="G38" s="69">
        <f>B38+D38</f>
        <v>218889573.06574515</v>
      </c>
      <c r="H38" s="103">
        <f>G38/G$46</f>
        <v>0.65400999616266176</v>
      </c>
    </row>
    <row r="39" spans="1:8" x14ac:dyDescent="0.25">
      <c r="A39" s="87" t="s">
        <v>146</v>
      </c>
      <c r="B39" s="76">
        <v>90227772</v>
      </c>
      <c r="C39" s="76"/>
      <c r="D39" s="94">
        <v>1992836.9447115809</v>
      </c>
      <c r="E39" s="88">
        <f t="shared" si="4"/>
        <v>2.2086735608539472E-2</v>
      </c>
      <c r="F39" s="76"/>
      <c r="G39" s="76">
        <f t="shared" ref="G39:G45" si="5">B39+D39</f>
        <v>92220608.944711581</v>
      </c>
      <c r="H39" s="103">
        <f t="shared" ref="H39:H46" si="6">G39/G$46</f>
        <v>0.2755416772818759</v>
      </c>
    </row>
    <row r="40" spans="1:8" x14ac:dyDescent="0.25">
      <c r="A40" s="87" t="s">
        <v>147</v>
      </c>
      <c r="B40" s="76">
        <v>11713011</v>
      </c>
      <c r="C40" s="76"/>
      <c r="D40" s="94">
        <v>-4.5535484608262777</v>
      </c>
      <c r="E40" s="88">
        <f t="shared" si="4"/>
        <v>-3.8875985524356443E-7</v>
      </c>
      <c r="F40" s="76"/>
      <c r="G40" s="76">
        <f t="shared" si="5"/>
        <v>11713006.446451539</v>
      </c>
      <c r="H40" s="103">
        <f t="shared" si="6"/>
        <v>3.4996748332073987E-2</v>
      </c>
    </row>
    <row r="41" spans="1:8" s="79" customFormat="1" x14ac:dyDescent="0.25">
      <c r="A41" s="87" t="s">
        <v>148</v>
      </c>
      <c r="B41" s="94">
        <v>7041</v>
      </c>
      <c r="C41" s="94"/>
      <c r="D41" s="94">
        <v>1288.0843199999981</v>
      </c>
      <c r="E41" s="95">
        <f t="shared" si="4"/>
        <v>0.18294053685556003</v>
      </c>
      <c r="F41" s="94"/>
      <c r="G41" s="94">
        <f t="shared" si="5"/>
        <v>8329.0843199999981</v>
      </c>
      <c r="H41" s="103">
        <f t="shared" si="6"/>
        <v>2.4886084466552207E-5</v>
      </c>
    </row>
    <row r="42" spans="1:8" x14ac:dyDescent="0.25">
      <c r="A42" s="87" t="s">
        <v>149</v>
      </c>
      <c r="B42" s="76">
        <v>1076927</v>
      </c>
      <c r="C42" s="76"/>
      <c r="D42" s="94">
        <v>-71575</v>
      </c>
      <c r="E42" s="88">
        <f t="shared" si="4"/>
        <v>-6.6462257887489121E-2</v>
      </c>
      <c r="F42" s="76"/>
      <c r="G42" s="76">
        <f t="shared" si="5"/>
        <v>1005352</v>
      </c>
      <c r="H42" s="103">
        <f t="shared" si="6"/>
        <v>3.0038445799546428E-3</v>
      </c>
    </row>
    <row r="43" spans="1:8" x14ac:dyDescent="0.25">
      <c r="A43" s="87" t="s">
        <v>150</v>
      </c>
      <c r="B43" s="76">
        <v>7771455</v>
      </c>
      <c r="C43" s="76"/>
      <c r="D43" s="94">
        <v>169931.66086180136</v>
      </c>
      <c r="E43" s="88">
        <f t="shared" si="4"/>
        <v>2.1866131999966718E-2</v>
      </c>
      <c r="F43" s="76"/>
      <c r="G43" s="76">
        <f t="shared" si="5"/>
        <v>7941386.6608618014</v>
      </c>
      <c r="H43" s="103">
        <f t="shared" si="6"/>
        <v>2.3727700624809837E-2</v>
      </c>
    </row>
    <row r="44" spans="1:8" x14ac:dyDescent="0.25">
      <c r="A44" s="87" t="s">
        <v>151</v>
      </c>
      <c r="B44" s="76">
        <v>2922301</v>
      </c>
      <c r="C44" s="76"/>
      <c r="D44" s="94">
        <v>-70922.011408440769</v>
      </c>
      <c r="E44" s="88">
        <f t="shared" si="4"/>
        <v>-2.4269235581290485E-2</v>
      </c>
      <c r="F44" s="76"/>
      <c r="G44" s="76">
        <f t="shared" si="5"/>
        <v>2851378.9885915592</v>
      </c>
      <c r="H44" s="103">
        <f t="shared" si="6"/>
        <v>8.5195029405395386E-3</v>
      </c>
    </row>
    <row r="45" spans="1:8" ht="17.25" x14ac:dyDescent="0.4">
      <c r="A45" s="87" t="s">
        <v>152</v>
      </c>
      <c r="B45" s="77">
        <v>19209</v>
      </c>
      <c r="C45" s="76"/>
      <c r="D45" s="99">
        <v>39577.010917498861</v>
      </c>
      <c r="E45" s="88">
        <f t="shared" si="4"/>
        <v>2.0603368690457007</v>
      </c>
      <c r="F45" s="76"/>
      <c r="G45" s="77">
        <f t="shared" si="5"/>
        <v>58786.010917498861</v>
      </c>
      <c r="H45" s="103">
        <f t="shared" si="6"/>
        <v>1.7564399361784071E-4</v>
      </c>
    </row>
    <row r="46" spans="1:8" ht="17.25" x14ac:dyDescent="0.4">
      <c r="A46" s="97" t="s">
        <v>153</v>
      </c>
      <c r="B46" s="74">
        <f>SUM(B38:B45)</f>
        <v>327901507</v>
      </c>
      <c r="D46" s="100">
        <f>SUM(D38:D45)</f>
        <v>6786914.2015991248</v>
      </c>
      <c r="E46" s="88">
        <f t="shared" si="4"/>
        <v>2.069802686694918E-2</v>
      </c>
      <c r="G46" s="74">
        <f>SUM(G38:G45)</f>
        <v>334688421.20159912</v>
      </c>
      <c r="H46" s="103">
        <f t="shared" si="6"/>
        <v>1</v>
      </c>
    </row>
    <row r="48" spans="1:8" x14ac:dyDescent="0.25">
      <c r="A48" s="97" t="s">
        <v>139</v>
      </c>
    </row>
    <row r="49" spans="1:8" x14ac:dyDescent="0.25">
      <c r="A49" s="87" t="s">
        <v>140</v>
      </c>
      <c r="B49" s="69">
        <v>1168995</v>
      </c>
      <c r="D49" s="69">
        <v>0</v>
      </c>
      <c r="E49" s="88">
        <f>IF(B49=0,0,D49/B49)</f>
        <v>0</v>
      </c>
      <c r="G49" s="69">
        <f t="shared" ref="G49:G50" si="7">B49+D49</f>
        <v>1168995</v>
      </c>
      <c r="H49" s="88"/>
    </row>
    <row r="50" spans="1:8" ht="17.25" x14ac:dyDescent="0.4">
      <c r="A50" s="87" t="s">
        <v>143</v>
      </c>
      <c r="B50" s="77">
        <v>477465</v>
      </c>
      <c r="D50" s="77">
        <v>0</v>
      </c>
      <c r="E50" s="88">
        <f>IF(B50=0,0,D50/B50)</f>
        <v>0</v>
      </c>
      <c r="G50" s="77">
        <f t="shared" si="7"/>
        <v>477465</v>
      </c>
      <c r="H50" s="88"/>
    </row>
    <row r="51" spans="1:8" ht="17.25" x14ac:dyDescent="0.4">
      <c r="A51" s="97" t="s">
        <v>144</v>
      </c>
      <c r="B51" s="74">
        <f>SUM(B46:B50)</f>
        <v>329547967</v>
      </c>
      <c r="D51" s="74">
        <f>SUM(D46:D50)</f>
        <v>6786914.2015991248</v>
      </c>
      <c r="E51" s="88">
        <f>IF(B51=0,0,D51/B51)</f>
        <v>2.0594617115629557E-2</v>
      </c>
      <c r="G51" s="74">
        <f>SUM(G46:G50)</f>
        <v>336334881.20159912</v>
      </c>
      <c r="H51" s="88"/>
    </row>
  </sheetData>
  <mergeCells count="2">
    <mergeCell ref="B1:H1"/>
    <mergeCell ref="D2:E2"/>
  </mergeCells>
  <printOptions horizontalCentered="1"/>
  <pageMargins left="1" right="1" top="1" bottom="1" header="0.3" footer="0.3"/>
  <pageSetup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A9" sqref="A9"/>
    </sheetView>
  </sheetViews>
  <sheetFormatPr defaultColWidth="9.140625" defaultRowHeight="15" x14ac:dyDescent="0.25"/>
  <cols>
    <col min="1" max="1" width="30.7109375" style="68" customWidth="1"/>
    <col min="2" max="2" width="15.7109375" style="68" customWidth="1"/>
    <col min="3" max="3" width="7.85546875" style="68" bestFit="1" customWidth="1"/>
    <col min="4" max="5" width="15.7109375" style="68" customWidth="1"/>
    <col min="6" max="16384" width="9.140625" style="68"/>
  </cols>
  <sheetData>
    <row r="1" spans="1:6" s="63" customFormat="1" ht="18.75" x14ac:dyDescent="0.3">
      <c r="A1" s="60" t="s">
        <v>45</v>
      </c>
      <c r="B1" s="61"/>
      <c r="C1" s="61"/>
      <c r="D1" s="62"/>
      <c r="E1" s="62"/>
      <c r="F1" s="62"/>
    </row>
    <row r="2" spans="1:6" s="65" customFormat="1" x14ac:dyDescent="0.25">
      <c r="A2" s="64" t="s">
        <v>154</v>
      </c>
      <c r="B2" s="64"/>
      <c r="C2" s="64"/>
      <c r="D2" s="64"/>
      <c r="E2" s="64"/>
      <c r="F2" s="64"/>
    </row>
    <row r="3" spans="1:6" s="65" customFormat="1" x14ac:dyDescent="0.25">
      <c r="A3" s="64"/>
      <c r="B3" s="64"/>
      <c r="C3" s="64"/>
      <c r="D3" s="64"/>
      <c r="E3" s="64"/>
      <c r="F3" s="64"/>
    </row>
    <row r="4" spans="1:6" ht="51.75" x14ac:dyDescent="0.4">
      <c r="A4" s="66" t="s">
        <v>38</v>
      </c>
      <c r="B4" s="67" t="s">
        <v>106</v>
      </c>
      <c r="C4" s="67" t="s">
        <v>105</v>
      </c>
      <c r="D4" s="67" t="s">
        <v>39</v>
      </c>
      <c r="E4" s="67" t="s">
        <v>40</v>
      </c>
    </row>
    <row r="5" spans="1:6" x14ac:dyDescent="0.25">
      <c r="A5" s="68" t="s">
        <v>107</v>
      </c>
      <c r="B5" s="76">
        <v>4180088831.1108088</v>
      </c>
      <c r="C5" s="70">
        <f>B5/B$7</f>
        <v>0.35049982339945701</v>
      </c>
    </row>
    <row r="6" spans="1:6" ht="17.25" x14ac:dyDescent="0.4">
      <c r="A6" s="71" t="s">
        <v>108</v>
      </c>
      <c r="B6" s="77">
        <f>7644220293.64968+101770582.123849</f>
        <v>7745990875.7735291</v>
      </c>
      <c r="C6" s="72">
        <f>B6/B$7</f>
        <v>0.64950017660054293</v>
      </c>
    </row>
    <row r="7" spans="1:6" ht="17.25" x14ac:dyDescent="0.4">
      <c r="A7" s="73" t="s">
        <v>109</v>
      </c>
      <c r="B7" s="78">
        <f>SUM(B5:B6)</f>
        <v>11926079706.884338</v>
      </c>
      <c r="C7" s="75">
        <f>SUM(C5:C6)</f>
        <v>1</v>
      </c>
      <c r="D7" s="78">
        <v>11926079706.884344</v>
      </c>
      <c r="E7" s="78">
        <f>B7-D7</f>
        <v>0</v>
      </c>
    </row>
    <row r="9" spans="1:6" x14ac:dyDescent="0.25">
      <c r="A9" s="79"/>
      <c r="B9" s="79"/>
      <c r="C9" s="7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>
      <selection activeCell="E30" sqref="E30"/>
    </sheetView>
  </sheetViews>
  <sheetFormatPr defaultColWidth="9.140625" defaultRowHeight="12.75" x14ac:dyDescent="0.2"/>
  <cols>
    <col min="1" max="1" width="1.28515625" style="105" customWidth="1"/>
    <col min="2" max="2" width="41.5703125" style="105" customWidth="1"/>
    <col min="3" max="7" width="15.140625" style="105" customWidth="1"/>
    <col min="8" max="8" width="40.42578125" style="105" customWidth="1"/>
    <col min="9" max="14" width="15.140625" style="105" customWidth="1"/>
    <col min="15" max="16384" width="9.140625" style="105"/>
  </cols>
  <sheetData>
    <row r="1" spans="1:10" ht="15" x14ac:dyDescent="0.25">
      <c r="A1" s="104" t="s">
        <v>48</v>
      </c>
      <c r="C1" s="106"/>
      <c r="D1" s="106"/>
      <c r="E1" s="106"/>
      <c r="F1" s="106"/>
      <c r="G1" s="106"/>
      <c r="H1" s="106"/>
      <c r="I1" s="106"/>
      <c r="J1" s="106"/>
    </row>
    <row r="2" spans="1:10" x14ac:dyDescent="0.2">
      <c r="A2" s="105" t="s">
        <v>23</v>
      </c>
      <c r="C2" s="106"/>
      <c r="E2" s="106"/>
      <c r="F2" s="106"/>
      <c r="G2" s="106"/>
      <c r="H2" s="106"/>
      <c r="I2" s="106"/>
      <c r="J2" s="106"/>
    </row>
    <row r="3" spans="1:10" ht="13.5" thickBot="1" x14ac:dyDescent="0.25">
      <c r="C3" s="106"/>
      <c r="D3" s="106"/>
      <c r="E3" s="106"/>
      <c r="F3" s="106"/>
      <c r="G3" s="106"/>
      <c r="H3" s="106"/>
      <c r="I3" s="106"/>
      <c r="J3" s="106"/>
    </row>
    <row r="4" spans="1:10" ht="13.5" thickBot="1" x14ac:dyDescent="0.25">
      <c r="C4" s="183" t="s">
        <v>24</v>
      </c>
      <c r="D4" s="184"/>
      <c r="E4" s="184"/>
      <c r="F4" s="184"/>
      <c r="G4" s="184"/>
      <c r="H4" s="184"/>
      <c r="I4" s="184"/>
      <c r="J4" s="185"/>
    </row>
    <row r="5" spans="1:10" ht="15" x14ac:dyDescent="0.25">
      <c r="C5" s="107"/>
      <c r="D5" s="186" t="s">
        <v>88</v>
      </c>
      <c r="E5" s="187"/>
      <c r="F5" s="187"/>
      <c r="G5" s="187"/>
      <c r="H5" s="189" t="s">
        <v>89</v>
      </c>
      <c r="I5" s="190"/>
      <c r="J5" s="191"/>
    </row>
    <row r="6" spans="1:10" ht="15" x14ac:dyDescent="0.25">
      <c r="A6" s="108"/>
      <c r="B6" s="108"/>
      <c r="C6" s="109" t="s">
        <v>26</v>
      </c>
      <c r="D6" s="110" t="s">
        <v>27</v>
      </c>
      <c r="E6" s="111" t="s">
        <v>42</v>
      </c>
      <c r="F6" s="111" t="s">
        <v>43</v>
      </c>
      <c r="G6" s="111" t="s">
        <v>90</v>
      </c>
      <c r="H6" s="110" t="s">
        <v>28</v>
      </c>
      <c r="I6" s="111" t="s">
        <v>91</v>
      </c>
      <c r="J6" s="111" t="s">
        <v>92</v>
      </c>
    </row>
    <row r="7" spans="1:10" ht="15" x14ac:dyDescent="0.25">
      <c r="B7" s="112" t="s">
        <v>29</v>
      </c>
      <c r="C7" s="106">
        <f>SUM(D7:J7)</f>
        <v>-377457808</v>
      </c>
      <c r="D7" s="113">
        <f>-319183978-H7-J7</f>
        <v>-225879095.58000001</v>
      </c>
      <c r="E7" s="114">
        <v>18358998</v>
      </c>
      <c r="F7" s="114">
        <f>-77925223-I7</f>
        <v>-76461371.609999999</v>
      </c>
      <c r="G7" s="114">
        <v>1292395</v>
      </c>
      <c r="H7" s="115">
        <v>-92764015</v>
      </c>
      <c r="I7" s="116">
        <v>-1463851.39</v>
      </c>
      <c r="J7" s="116">
        <v>-540867.42000000004</v>
      </c>
    </row>
    <row r="8" spans="1:10" x14ac:dyDescent="0.2">
      <c r="B8" s="112" t="s">
        <v>30</v>
      </c>
      <c r="C8" s="106">
        <f>+C7+C14</f>
        <v>-370511283.87229246</v>
      </c>
      <c r="D8" s="115">
        <f t="shared" ref="D8:J9" si="0">+D7+D14</f>
        <v>-220010499.48000002</v>
      </c>
      <c r="E8" s="116">
        <f t="shared" si="0"/>
        <v>18021444.891169745</v>
      </c>
      <c r="F8" s="116">
        <f t="shared" si="0"/>
        <v>-75022018.710000008</v>
      </c>
      <c r="G8" s="116">
        <f t="shared" si="0"/>
        <v>1268523.236537796</v>
      </c>
      <c r="H8" s="115">
        <f t="shared" si="0"/>
        <v>-92764015</v>
      </c>
      <c r="I8" s="116">
        <f t="shared" si="0"/>
        <v>-1463851.39</v>
      </c>
      <c r="J8" s="116">
        <f t="shared" si="0"/>
        <v>-540867.42000000004</v>
      </c>
    </row>
    <row r="9" spans="1:10" x14ac:dyDescent="0.2">
      <c r="B9" s="112" t="s">
        <v>32</v>
      </c>
      <c r="C9" s="106">
        <f>+C8+C15</f>
        <v>-367954128.66483098</v>
      </c>
      <c r="D9" s="115">
        <f t="shared" si="0"/>
        <v>-217865358.18000001</v>
      </c>
      <c r="E9" s="116">
        <f t="shared" si="0"/>
        <v>17898059.484786917</v>
      </c>
      <c r="F9" s="116">
        <f t="shared" si="0"/>
        <v>-74477590.010000005</v>
      </c>
      <c r="G9" s="116">
        <f t="shared" si="0"/>
        <v>1259493.8503820898</v>
      </c>
      <c r="H9" s="115">
        <f t="shared" si="0"/>
        <v>-92764015</v>
      </c>
      <c r="I9" s="116">
        <f t="shared" si="0"/>
        <v>-1463851.39</v>
      </c>
      <c r="J9" s="116">
        <f t="shared" si="0"/>
        <v>-540867.42000000004</v>
      </c>
    </row>
    <row r="10" spans="1:10" ht="13.5" thickBot="1" x14ac:dyDescent="0.25">
      <c r="C10" s="117"/>
      <c r="D10" s="117"/>
      <c r="E10" s="117"/>
      <c r="F10" s="117"/>
      <c r="G10" s="117"/>
    </row>
    <row r="11" spans="1:10" ht="13.5" thickBot="1" x14ac:dyDescent="0.25">
      <c r="B11" s="107"/>
      <c r="C11" s="183" t="s">
        <v>25</v>
      </c>
      <c r="D11" s="184"/>
      <c r="E11" s="184"/>
      <c r="F11" s="184"/>
      <c r="G11" s="184"/>
      <c r="H11" s="184"/>
      <c r="I11" s="184"/>
      <c r="J11" s="185"/>
    </row>
    <row r="12" spans="1:10" ht="15" x14ac:dyDescent="0.25">
      <c r="B12" s="107"/>
      <c r="C12" s="107"/>
      <c r="D12" s="186" t="s">
        <v>88</v>
      </c>
      <c r="E12" s="187"/>
      <c r="F12" s="187"/>
      <c r="G12" s="188"/>
      <c r="H12" s="189" t="s">
        <v>89</v>
      </c>
      <c r="I12" s="190"/>
      <c r="J12" s="191"/>
    </row>
    <row r="13" spans="1:10" ht="15" x14ac:dyDescent="0.25">
      <c r="B13" s="111"/>
      <c r="C13" s="109" t="s">
        <v>26</v>
      </c>
      <c r="D13" s="110" t="s">
        <v>27</v>
      </c>
      <c r="E13" s="111" t="s">
        <v>42</v>
      </c>
      <c r="F13" s="111" t="s">
        <v>43</v>
      </c>
      <c r="G13" s="118" t="s">
        <v>90</v>
      </c>
      <c r="H13" s="110" t="s">
        <v>28</v>
      </c>
      <c r="I13" s="111" t="s">
        <v>91</v>
      </c>
      <c r="J13" s="111" t="s">
        <v>92</v>
      </c>
    </row>
    <row r="14" spans="1:10" x14ac:dyDescent="0.2">
      <c r="B14" s="119" t="s">
        <v>31</v>
      </c>
      <c r="C14" s="106">
        <f>SUM(D14:H14)</f>
        <v>6946524.127707527</v>
      </c>
      <c r="D14" s="115">
        <v>5868596.0999999875</v>
      </c>
      <c r="E14" s="116">
        <f>SUM(D14,H14,J14)/SUM($D$7,$H$7,$J$7)*$E$7</f>
        <v>-337553.10883025447</v>
      </c>
      <c r="F14" s="116">
        <v>1439352.8999999971</v>
      </c>
      <c r="G14" s="120">
        <f>SUM(F14,I14)/SUM($F$7,$I$7)*$G$7</f>
        <v>-23871.76346220397</v>
      </c>
      <c r="H14" s="115">
        <v>0</v>
      </c>
      <c r="I14" s="116">
        <v>0</v>
      </c>
      <c r="J14" s="116">
        <v>0</v>
      </c>
    </row>
    <row r="15" spans="1:10" x14ac:dyDescent="0.2">
      <c r="B15" s="119" t="s">
        <v>44</v>
      </c>
      <c r="C15" s="106">
        <f>SUM(D15:H15)</f>
        <v>2557155.2074614768</v>
      </c>
      <c r="D15" s="115">
        <f>6435423.90000002/12*4</f>
        <v>2145141.3000000068</v>
      </c>
      <c r="E15" s="121">
        <f>SUM(D15,H15,J15)/SUM($D$7,$H$7,$J$7)*$E$7</f>
        <v>-123385.40638282763</v>
      </c>
      <c r="F15" s="116">
        <f>1633286.10000001/12*4</f>
        <v>544428.70000000333</v>
      </c>
      <c r="G15" s="120">
        <f>SUM(F15,I15)/SUM($F$7,$I$7)*$G$7</f>
        <v>-9029.3861557060191</v>
      </c>
      <c r="H15" s="115">
        <v>0</v>
      </c>
      <c r="I15" s="116">
        <v>0</v>
      </c>
      <c r="J15" s="116">
        <v>0</v>
      </c>
    </row>
    <row r="16" spans="1:10" ht="13.5" thickBot="1" x14ac:dyDescent="0.25">
      <c r="B16" s="122" t="s">
        <v>93</v>
      </c>
      <c r="C16" s="123">
        <f>SUM(C14:C15)</f>
        <v>9503679.3351690043</v>
      </c>
      <c r="D16" s="124">
        <f t="shared" ref="D16:J16" si="1">SUM(D14:D15)</f>
        <v>8013737.3999999948</v>
      </c>
      <c r="E16" s="123">
        <f t="shared" si="1"/>
        <v>-460938.51521308208</v>
      </c>
      <c r="F16" s="123">
        <f t="shared" si="1"/>
        <v>1983781.6000000006</v>
      </c>
      <c r="G16" s="125">
        <f t="shared" si="1"/>
        <v>-32901.149617909992</v>
      </c>
      <c r="H16" s="124">
        <f t="shared" si="1"/>
        <v>0</v>
      </c>
      <c r="I16" s="123">
        <f t="shared" si="1"/>
        <v>0</v>
      </c>
      <c r="J16" s="123">
        <f t="shared" si="1"/>
        <v>0</v>
      </c>
    </row>
    <row r="17" spans="2:6" x14ac:dyDescent="0.2">
      <c r="C17" s="126">
        <f>+C16-C22</f>
        <v>0</v>
      </c>
    </row>
    <row r="18" spans="2:6" x14ac:dyDescent="0.2">
      <c r="C18" s="126"/>
    </row>
    <row r="19" spans="2:6" ht="15" x14ac:dyDescent="0.25">
      <c r="B19" s="127" t="s">
        <v>158</v>
      </c>
    </row>
    <row r="20" spans="2:6" ht="15" x14ac:dyDescent="0.25">
      <c r="B20" s="128" t="s">
        <v>33</v>
      </c>
    </row>
    <row r="21" spans="2:6" ht="15" x14ac:dyDescent="0.25">
      <c r="C21" s="109" t="s">
        <v>26</v>
      </c>
      <c r="D21" s="109" t="s">
        <v>27</v>
      </c>
      <c r="E21" s="109" t="s">
        <v>43</v>
      </c>
      <c r="F21" s="109" t="s">
        <v>28</v>
      </c>
    </row>
    <row r="22" spans="2:6" x14ac:dyDescent="0.2">
      <c r="B22" s="105" t="s">
        <v>34</v>
      </c>
      <c r="C22" s="106">
        <f>SUM(D22:F22)</f>
        <v>9503679.3351690043</v>
      </c>
      <c r="D22" s="106">
        <f>SUM(D$16:E$16)</f>
        <v>7552798.8847869132</v>
      </c>
      <c r="E22" s="106">
        <f>SUM(F$16:G$16)</f>
        <v>1950880.4503820906</v>
      </c>
      <c r="F22" s="106">
        <f>+SUM(H$14:H$15)</f>
        <v>0</v>
      </c>
    </row>
    <row r="23" spans="2:6" x14ac:dyDescent="0.2">
      <c r="B23" s="105" t="s">
        <v>35</v>
      </c>
      <c r="C23" s="106">
        <f>SUM(D23:F23)</f>
        <v>1907561.9866666659</v>
      </c>
      <c r="D23" s="106">
        <v>1618843.9173333326</v>
      </c>
      <c r="E23" s="106">
        <v>223585.06933333332</v>
      </c>
      <c r="F23" s="106">
        <v>65133</v>
      </c>
    </row>
    <row r="24" spans="2:6" ht="15.75" thickBot="1" x14ac:dyDescent="0.3">
      <c r="B24" s="105" t="s">
        <v>36</v>
      </c>
      <c r="C24" s="129">
        <f>SUM(C22:C23)</f>
        <v>11411241.321835671</v>
      </c>
      <c r="D24" s="130">
        <f t="shared" ref="D24:F24" si="2">SUM(D22:D23)</f>
        <v>9171642.802120246</v>
      </c>
      <c r="E24" s="130">
        <f t="shared" si="2"/>
        <v>2174465.5197154242</v>
      </c>
      <c r="F24" s="129">
        <f t="shared" si="2"/>
        <v>65133</v>
      </c>
    </row>
    <row r="27" spans="2:6" ht="17.25" x14ac:dyDescent="0.4">
      <c r="B27" s="131" t="s">
        <v>94</v>
      </c>
    </row>
    <row r="28" spans="2:6" x14ac:dyDescent="0.2">
      <c r="B28" s="132" t="s">
        <v>95</v>
      </c>
      <c r="C28" s="126">
        <f>SUM(D7:E7)</f>
        <v>-207520097.58000001</v>
      </c>
    </row>
    <row r="29" spans="2:6" x14ac:dyDescent="0.2">
      <c r="B29" s="132" t="s">
        <v>96</v>
      </c>
      <c r="C29" s="126">
        <f>SUM(F7:G7)</f>
        <v>-75168976.609999999</v>
      </c>
    </row>
    <row r="30" spans="2:6" x14ac:dyDescent="0.2">
      <c r="B30" s="132" t="s">
        <v>97</v>
      </c>
      <c r="C30" s="126">
        <f>SUM(H7:J7)</f>
        <v>-94768733.810000002</v>
      </c>
    </row>
    <row r="31" spans="2:6" ht="13.5" thickBot="1" x14ac:dyDescent="0.25">
      <c r="B31" s="132"/>
      <c r="C31" s="129">
        <f>SUM(C28:C30)</f>
        <v>-377457808</v>
      </c>
    </row>
    <row r="32" spans="2:6" x14ac:dyDescent="0.2">
      <c r="C32" s="126">
        <f>+C31-C7</f>
        <v>0</v>
      </c>
    </row>
    <row r="34" spans="2:12" ht="15" x14ac:dyDescent="0.25">
      <c r="B34" s="133" t="s">
        <v>48</v>
      </c>
      <c r="C34" s="106"/>
      <c r="D34" s="106"/>
      <c r="E34" s="106"/>
      <c r="F34" s="106"/>
      <c r="H34" s="134" t="s">
        <v>48</v>
      </c>
      <c r="I34" s="135"/>
      <c r="J34" s="135"/>
      <c r="K34" s="135"/>
      <c r="L34" s="135"/>
    </row>
    <row r="35" spans="2:12" x14ac:dyDescent="0.2">
      <c r="B35" s="136" t="s">
        <v>49</v>
      </c>
      <c r="C35" s="106"/>
      <c r="D35" s="106"/>
      <c r="E35" s="106"/>
      <c r="F35" s="106"/>
      <c r="H35" s="137" t="s">
        <v>49</v>
      </c>
      <c r="I35" s="135"/>
      <c r="J35" s="135"/>
      <c r="K35" s="135"/>
      <c r="L35" s="135"/>
    </row>
    <row r="36" spans="2:12" ht="15" x14ac:dyDescent="0.25">
      <c r="B36" s="138" t="s">
        <v>37</v>
      </c>
      <c r="C36" s="106"/>
      <c r="D36" s="106"/>
      <c r="E36" s="106"/>
      <c r="F36" s="106"/>
      <c r="H36" s="134" t="s">
        <v>46</v>
      </c>
      <c r="I36" s="135"/>
      <c r="J36" s="135"/>
      <c r="K36" s="135"/>
      <c r="L36" s="135"/>
    </row>
    <row r="37" spans="2:12" ht="51.75" x14ac:dyDescent="0.4">
      <c r="B37" s="139" t="s">
        <v>50</v>
      </c>
      <c r="C37" s="140" t="s">
        <v>51</v>
      </c>
      <c r="D37" s="140" t="s">
        <v>52</v>
      </c>
      <c r="E37" s="140" t="s">
        <v>53</v>
      </c>
      <c r="F37" s="140" t="s">
        <v>54</v>
      </c>
      <c r="H37" s="141" t="s">
        <v>50</v>
      </c>
      <c r="I37" s="142" t="s">
        <v>51</v>
      </c>
      <c r="J37" s="142" t="s">
        <v>52</v>
      </c>
      <c r="K37" s="142" t="s">
        <v>53</v>
      </c>
      <c r="L37" s="142" t="s">
        <v>54</v>
      </c>
    </row>
    <row r="38" spans="2:12" x14ac:dyDescent="0.2">
      <c r="B38" s="136"/>
      <c r="C38" s="106"/>
      <c r="D38" s="106"/>
      <c r="E38" s="106"/>
      <c r="F38" s="106"/>
      <c r="H38" s="137"/>
      <c r="I38" s="135"/>
      <c r="J38" s="135"/>
      <c r="K38" s="135"/>
      <c r="L38" s="135"/>
    </row>
    <row r="39" spans="2:12" ht="15" x14ac:dyDescent="0.25">
      <c r="B39" s="132" t="s">
        <v>55</v>
      </c>
      <c r="C39" s="143">
        <v>-6081252.5999999996</v>
      </c>
      <c r="D39" s="143">
        <v>-2365607.27</v>
      </c>
      <c r="E39" s="143">
        <v>-1565314.42</v>
      </c>
      <c r="F39" s="116">
        <f>+E39-D39</f>
        <v>800292.85000000009</v>
      </c>
      <c r="H39" s="144" t="s">
        <v>56</v>
      </c>
      <c r="I39" s="145">
        <v>-43320.09</v>
      </c>
      <c r="J39" s="145">
        <v>-16851.53</v>
      </c>
      <c r="K39" s="145">
        <v>-11150.6</v>
      </c>
      <c r="L39" s="126">
        <v>5700.9299999999985</v>
      </c>
    </row>
    <row r="40" spans="2:12" ht="15" x14ac:dyDescent="0.25">
      <c r="B40" s="132" t="s">
        <v>56</v>
      </c>
      <c r="C40" s="143">
        <v>-11281598.4</v>
      </c>
      <c r="D40" s="143">
        <v>-4388541.7699999996</v>
      </c>
      <c r="E40" s="143">
        <v>-2903883.42</v>
      </c>
      <c r="F40" s="116">
        <f t="shared" ref="F40:F69" si="3">+E40-D40</f>
        <v>1484658.3499999996</v>
      </c>
      <c r="H40" s="144" t="s">
        <v>58</v>
      </c>
      <c r="I40" s="145">
        <v>15916</v>
      </c>
      <c r="J40" s="145">
        <v>6191.32</v>
      </c>
      <c r="K40" s="145">
        <v>4096.78</v>
      </c>
      <c r="L40" s="126">
        <v>-2094.54</v>
      </c>
    </row>
    <row r="41" spans="2:12" ht="15" x14ac:dyDescent="0.25">
      <c r="B41" s="132" t="s">
        <v>57</v>
      </c>
      <c r="C41" s="143">
        <v>-402606.15</v>
      </c>
      <c r="D41" s="143">
        <v>-156613.79</v>
      </c>
      <c r="E41" s="143">
        <v>-103630.82</v>
      </c>
      <c r="F41" s="116">
        <f t="shared" si="3"/>
        <v>52982.97</v>
      </c>
      <c r="H41" s="144" t="s">
        <v>59</v>
      </c>
      <c r="I41" s="145">
        <v>-987864.17</v>
      </c>
      <c r="J41" s="145">
        <v>-384279.16</v>
      </c>
      <c r="K41" s="145">
        <v>-254276.24</v>
      </c>
      <c r="L41" s="126">
        <v>130002.91999999998</v>
      </c>
    </row>
    <row r="42" spans="2:12" ht="15" x14ac:dyDescent="0.25">
      <c r="B42" s="132" t="s">
        <v>58</v>
      </c>
      <c r="C42" s="143">
        <v>97777</v>
      </c>
      <c r="D42" s="143">
        <v>38035.25</v>
      </c>
      <c r="E42" s="143">
        <v>25167.8</v>
      </c>
      <c r="F42" s="116">
        <f t="shared" si="3"/>
        <v>-12867.45</v>
      </c>
      <c r="H42" s="144" t="s">
        <v>60</v>
      </c>
      <c r="I42" s="145">
        <v>332208.49</v>
      </c>
      <c r="J42" s="145">
        <v>129229.09</v>
      </c>
      <c r="K42" s="145">
        <v>85510.46</v>
      </c>
      <c r="L42" s="126">
        <v>-43718.62999999999</v>
      </c>
    </row>
    <row r="43" spans="2:12" ht="15" x14ac:dyDescent="0.25">
      <c r="B43" s="132" t="s">
        <v>59</v>
      </c>
      <c r="C43" s="143">
        <v>-14570064.289999999</v>
      </c>
      <c r="D43" s="143">
        <v>-5667755</v>
      </c>
      <c r="E43" s="143">
        <v>-3750334.55</v>
      </c>
      <c r="F43" s="116">
        <f t="shared" si="3"/>
        <v>1917420.4500000002</v>
      </c>
      <c r="H43" s="144" t="s">
        <v>61</v>
      </c>
      <c r="I43" s="145">
        <v>4540073.21</v>
      </c>
      <c r="J43" s="145">
        <v>1791489.56</v>
      </c>
      <c r="K43" s="145">
        <v>1199486.93</v>
      </c>
      <c r="L43" s="126">
        <v>-592002.63000000012</v>
      </c>
    </row>
    <row r="44" spans="2:12" ht="15" x14ac:dyDescent="0.25">
      <c r="B44" s="132" t="s">
        <v>60</v>
      </c>
      <c r="C44" s="143">
        <v>794485.14</v>
      </c>
      <c r="D44" s="143">
        <v>309054.71999999997</v>
      </c>
      <c r="E44" s="143">
        <v>204500.48000000001</v>
      </c>
      <c r="F44" s="116">
        <f t="shared" si="3"/>
        <v>-104554.23999999996</v>
      </c>
      <c r="H44" s="144" t="s">
        <v>98</v>
      </c>
      <c r="I44" s="145">
        <v>6557840</v>
      </c>
      <c r="J44" s="145">
        <v>2550999.7599999998</v>
      </c>
      <c r="K44" s="145">
        <v>1687988.02</v>
      </c>
      <c r="L44" s="126">
        <v>-863011.73999999976</v>
      </c>
    </row>
    <row r="45" spans="2:12" ht="15" x14ac:dyDescent="0.25">
      <c r="B45" s="132" t="s">
        <v>61</v>
      </c>
      <c r="C45" s="143">
        <v>12734100.09</v>
      </c>
      <c r="D45" s="143">
        <v>4919356.96</v>
      </c>
      <c r="E45" s="143">
        <v>3236181.5300000003</v>
      </c>
      <c r="F45" s="116">
        <f t="shared" si="3"/>
        <v>-1683175.4299999997</v>
      </c>
      <c r="H45" s="144" t="s">
        <v>65</v>
      </c>
      <c r="I45" s="145">
        <v>94595.590000000026</v>
      </c>
      <c r="J45" s="145">
        <v>36797.700000000012</v>
      </c>
      <c r="K45" s="145">
        <v>24348.92</v>
      </c>
      <c r="L45" s="126">
        <v>-12448.780000000013</v>
      </c>
    </row>
    <row r="46" spans="2:12" ht="15" x14ac:dyDescent="0.25">
      <c r="B46" s="132" t="s">
        <v>62</v>
      </c>
      <c r="C46" s="143">
        <v>-8908773.9100000039</v>
      </c>
      <c r="D46" s="143">
        <v>-3465513.040000001</v>
      </c>
      <c r="E46" s="143">
        <v>-2293118.3999999985</v>
      </c>
      <c r="F46" s="116">
        <f t="shared" si="3"/>
        <v>1172394.6400000025</v>
      </c>
      <c r="H46" s="144" t="s">
        <v>69</v>
      </c>
      <c r="I46" s="145">
        <v>11444776.309999999</v>
      </c>
      <c r="J46" s="145">
        <v>4452017.99</v>
      </c>
      <c r="K46" s="145">
        <v>2945885.41</v>
      </c>
      <c r="L46" s="126">
        <v>-1506132.58</v>
      </c>
    </row>
    <row r="47" spans="2:12" ht="15" x14ac:dyDescent="0.25">
      <c r="B47" s="132" t="s">
        <v>63</v>
      </c>
      <c r="C47" s="143">
        <v>-154470</v>
      </c>
      <c r="D47" s="143">
        <v>-60088.83</v>
      </c>
      <c r="E47" s="143">
        <v>-39760.58</v>
      </c>
      <c r="F47" s="116">
        <f t="shared" si="3"/>
        <v>20328.25</v>
      </c>
      <c r="H47" s="144" t="s">
        <v>70</v>
      </c>
      <c r="I47" s="145">
        <v>853005.45</v>
      </c>
      <c r="J47" s="145">
        <v>331819.14</v>
      </c>
      <c r="K47" s="145">
        <v>219563.6</v>
      </c>
      <c r="L47" s="126">
        <v>-112255.54000000001</v>
      </c>
    </row>
    <row r="48" spans="2:12" ht="15" x14ac:dyDescent="0.25">
      <c r="B48" s="132" t="s">
        <v>64</v>
      </c>
      <c r="C48" s="143">
        <v>1769727.05</v>
      </c>
      <c r="D48" s="143">
        <v>688423.81</v>
      </c>
      <c r="E48" s="143">
        <v>455527.74</v>
      </c>
      <c r="F48" s="116">
        <f t="shared" si="3"/>
        <v>-232896.07000000007</v>
      </c>
      <c r="H48" s="154" t="s">
        <v>71</v>
      </c>
      <c r="I48" s="145">
        <v>-40832761.390000001</v>
      </c>
      <c r="J48" s="145">
        <v>-15883944.220000001</v>
      </c>
      <c r="K48" s="145">
        <v>-10510352.790000001</v>
      </c>
      <c r="L48" s="146">
        <v>5373591.4299999997</v>
      </c>
    </row>
    <row r="49" spans="2:12" ht="15" x14ac:dyDescent="0.25">
      <c r="B49" s="132" t="s">
        <v>65</v>
      </c>
      <c r="C49" s="143">
        <v>11691.980000000003</v>
      </c>
      <c r="D49" s="143">
        <v>4548.1799999999967</v>
      </c>
      <c r="E49" s="143">
        <v>3009.51</v>
      </c>
      <c r="F49" s="116">
        <f t="shared" si="3"/>
        <v>-1538.6699999999964</v>
      </c>
      <c r="H49" s="144" t="s">
        <v>99</v>
      </c>
      <c r="I49" s="145">
        <v>1907100</v>
      </c>
      <c r="J49" s="145">
        <v>741861.9</v>
      </c>
      <c r="K49" s="145">
        <v>490887.54</v>
      </c>
      <c r="L49" s="126">
        <v>-250974.36000000004</v>
      </c>
    </row>
    <row r="50" spans="2:12" ht="15" x14ac:dyDescent="0.25">
      <c r="B50" s="132" t="s">
        <v>66</v>
      </c>
      <c r="C50" s="143">
        <v>-144.44999999999999</v>
      </c>
      <c r="D50" s="143">
        <v>-56.21</v>
      </c>
      <c r="E50" s="143">
        <v>-37.18</v>
      </c>
      <c r="F50" s="116">
        <f t="shared" si="3"/>
        <v>19.03</v>
      </c>
      <c r="H50" s="144" t="s">
        <v>72</v>
      </c>
      <c r="I50" s="145">
        <v>-233313.03999999911</v>
      </c>
      <c r="J50" s="145">
        <v>-90758.75</v>
      </c>
      <c r="K50" s="145">
        <v>-60054.790000000037</v>
      </c>
      <c r="L50" s="126">
        <v>30703.959999999963</v>
      </c>
    </row>
    <row r="51" spans="2:12" ht="15" x14ac:dyDescent="0.25">
      <c r="B51" s="132" t="s">
        <v>67</v>
      </c>
      <c r="C51" s="143">
        <v>-4700000</v>
      </c>
      <c r="D51" s="143">
        <v>-1828300</v>
      </c>
      <c r="E51" s="143">
        <v>-1209780</v>
      </c>
      <c r="F51" s="116">
        <f t="shared" si="3"/>
        <v>618520</v>
      </c>
      <c r="H51" s="144" t="s">
        <v>100</v>
      </c>
      <c r="I51" s="145">
        <v>174919</v>
      </c>
      <c r="J51" s="145">
        <v>68043.490000000005</v>
      </c>
      <c r="K51" s="145">
        <v>45024.15</v>
      </c>
      <c r="L51" s="126">
        <v>-23019.340000000004</v>
      </c>
    </row>
    <row r="52" spans="2:12" ht="15" x14ac:dyDescent="0.25">
      <c r="B52" s="132" t="s">
        <v>68</v>
      </c>
      <c r="C52" s="143">
        <v>409000</v>
      </c>
      <c r="D52" s="143">
        <v>159101</v>
      </c>
      <c r="E52" s="143">
        <v>105276.6</v>
      </c>
      <c r="F52" s="116">
        <f t="shared" si="3"/>
        <v>-53824.399999999994</v>
      </c>
      <c r="H52" s="144" t="s">
        <v>74</v>
      </c>
      <c r="I52" s="145">
        <v>54487.88</v>
      </c>
      <c r="J52" s="145">
        <v>21195.78</v>
      </c>
      <c r="K52" s="145">
        <v>14025.17</v>
      </c>
      <c r="L52" s="126">
        <v>-7170.6099999999988</v>
      </c>
    </row>
    <row r="53" spans="2:12" ht="15" x14ac:dyDescent="0.25">
      <c r="B53" s="132" t="s">
        <v>69</v>
      </c>
      <c r="C53" s="143">
        <v>40947898.490000002</v>
      </c>
      <c r="D53" s="143">
        <v>15928732.520000001</v>
      </c>
      <c r="E53" s="143">
        <v>10539989.08</v>
      </c>
      <c r="F53" s="116">
        <f t="shared" si="3"/>
        <v>-5388743.4400000013</v>
      </c>
      <c r="H53" s="144" t="s">
        <v>76</v>
      </c>
      <c r="I53" s="145">
        <v>-319962.40000000002</v>
      </c>
      <c r="J53" s="145">
        <v>-124465.36</v>
      </c>
      <c r="K53" s="145">
        <v>-82358.31</v>
      </c>
      <c r="L53" s="126">
        <v>42107.05</v>
      </c>
    </row>
    <row r="54" spans="2:12" ht="15" x14ac:dyDescent="0.25">
      <c r="B54" s="132" t="s">
        <v>70</v>
      </c>
      <c r="C54" s="143">
        <v>3089894.45</v>
      </c>
      <c r="D54" s="143">
        <v>1201968.95</v>
      </c>
      <c r="E54" s="143">
        <v>795338.83</v>
      </c>
      <c r="F54" s="116">
        <f t="shared" si="3"/>
        <v>-406630.12</v>
      </c>
      <c r="H54" s="144" t="s">
        <v>101</v>
      </c>
      <c r="I54" s="145">
        <v>-3801685.57</v>
      </c>
      <c r="J54" s="145">
        <v>-1478855.6799999999</v>
      </c>
      <c r="K54" s="145">
        <v>-978553.86</v>
      </c>
      <c r="L54" s="126">
        <v>500301.81999999995</v>
      </c>
    </row>
    <row r="55" spans="2:12" ht="15" x14ac:dyDescent="0.25">
      <c r="B55" s="151" t="s">
        <v>71</v>
      </c>
      <c r="C55" s="152">
        <v>-146796750.84</v>
      </c>
      <c r="D55" s="152">
        <v>-57103936.089999996</v>
      </c>
      <c r="E55" s="152">
        <v>-37785483.659999996</v>
      </c>
      <c r="F55" s="153">
        <f t="shared" si="3"/>
        <v>19318452.43</v>
      </c>
      <c r="H55" s="144" t="s">
        <v>78</v>
      </c>
      <c r="I55" s="145">
        <v>-454862.38</v>
      </c>
      <c r="J55" s="145">
        <v>-176941.46</v>
      </c>
      <c r="K55" s="145">
        <v>-117081.57</v>
      </c>
      <c r="L55" s="126">
        <v>59859.889999999985</v>
      </c>
    </row>
    <row r="56" spans="2:12" ht="15" x14ac:dyDescent="0.25">
      <c r="B56" s="132" t="s">
        <v>72</v>
      </c>
      <c r="C56" s="143">
        <v>-933252.17000000179</v>
      </c>
      <c r="D56" s="143">
        <v>-363035.0700000003</v>
      </c>
      <c r="E56" s="143">
        <v>-240219.09999999963</v>
      </c>
      <c r="F56" s="116">
        <f t="shared" si="3"/>
        <v>122815.97000000067</v>
      </c>
      <c r="H56" s="144" t="s">
        <v>80</v>
      </c>
      <c r="I56" s="145">
        <v>-321825.15000000002</v>
      </c>
      <c r="J56" s="145">
        <v>-112638.8</v>
      </c>
      <c r="K56" s="145">
        <v>-67583.28</v>
      </c>
      <c r="L56" s="126">
        <v>45055.520000000004</v>
      </c>
    </row>
    <row r="57" spans="2:12" ht="15" x14ac:dyDescent="0.25">
      <c r="B57" s="132" t="s">
        <v>73</v>
      </c>
      <c r="C57" s="143">
        <v>231803</v>
      </c>
      <c r="D57" s="143">
        <v>90171.37</v>
      </c>
      <c r="E57" s="143">
        <v>59666.09</v>
      </c>
      <c r="F57" s="116">
        <f t="shared" si="3"/>
        <v>-30505.279999999999</v>
      </c>
      <c r="H57" s="144" t="s">
        <v>83</v>
      </c>
      <c r="I57" s="145">
        <v>76678.37</v>
      </c>
      <c r="J57" s="145">
        <v>29827.88</v>
      </c>
      <c r="K57" s="145">
        <v>19737.009999999998</v>
      </c>
      <c r="L57" s="126">
        <v>-10090.870000000003</v>
      </c>
    </row>
    <row r="58" spans="2:12" ht="15" x14ac:dyDescent="0.25">
      <c r="B58" s="132" t="s">
        <v>74</v>
      </c>
      <c r="C58" s="143">
        <v>217949.56</v>
      </c>
      <c r="D58" s="143">
        <v>84782.39</v>
      </c>
      <c r="E58" s="143">
        <v>56100.22</v>
      </c>
      <c r="F58" s="116">
        <f t="shared" si="3"/>
        <v>-28682.17</v>
      </c>
      <c r="H58" s="144" t="s">
        <v>84</v>
      </c>
      <c r="I58" s="145">
        <v>1108272.4099999999</v>
      </c>
      <c r="J58" s="145">
        <v>431117.95</v>
      </c>
      <c r="K58" s="145">
        <v>285269.32</v>
      </c>
      <c r="L58" s="126">
        <v>-145848.63</v>
      </c>
    </row>
    <row r="59" spans="2:12" ht="15" x14ac:dyDescent="0.25">
      <c r="B59" s="132" t="s">
        <v>75</v>
      </c>
      <c r="C59" s="143">
        <v>-3043316.17</v>
      </c>
      <c r="D59" s="143">
        <v>-1183849.99</v>
      </c>
      <c r="E59" s="143">
        <v>-783349.59</v>
      </c>
      <c r="F59" s="116">
        <f t="shared" si="3"/>
        <v>400500.4</v>
      </c>
      <c r="H59" s="144" t="s">
        <v>85</v>
      </c>
      <c r="I59" s="147">
        <v>784371.05</v>
      </c>
      <c r="J59" s="147">
        <v>305120.34000000003</v>
      </c>
      <c r="K59" s="147">
        <v>201897.1</v>
      </c>
      <c r="L59" s="148">
        <v>-103223.24000000002</v>
      </c>
    </row>
    <row r="60" spans="2:12" ht="15" x14ac:dyDescent="0.25">
      <c r="B60" s="132" t="s">
        <v>76</v>
      </c>
      <c r="C60" s="143">
        <v>-1364049.2</v>
      </c>
      <c r="D60" s="143">
        <v>-530615.13</v>
      </c>
      <c r="E60" s="143">
        <v>-351106.26</v>
      </c>
      <c r="F60" s="116">
        <f t="shared" si="3"/>
        <v>179508.87</v>
      </c>
      <c r="H60" s="137"/>
      <c r="I60" s="135">
        <f>SUM(I39:I59)</f>
        <v>-19051350.43</v>
      </c>
      <c r="J60" s="135">
        <f>SUM(J39:J59)</f>
        <v>-7373023.0599999987</v>
      </c>
      <c r="K60" s="135">
        <f>SUM(K39:K59)</f>
        <v>-4857691.0300000031</v>
      </c>
      <c r="L60" s="135">
        <f>SUM(L39:L59)</f>
        <v>2515332.0299999998</v>
      </c>
    </row>
    <row r="61" spans="2:12" ht="15" x14ac:dyDescent="0.25">
      <c r="B61" s="132" t="s">
        <v>77</v>
      </c>
      <c r="C61" s="143">
        <v>722645.86</v>
      </c>
      <c r="D61" s="143">
        <v>281109.24</v>
      </c>
      <c r="E61" s="143">
        <v>186009.04</v>
      </c>
      <c r="F61" s="116">
        <f t="shared" si="3"/>
        <v>-95100.199999999983</v>
      </c>
    </row>
    <row r="62" spans="2:12" ht="15" x14ac:dyDescent="0.25">
      <c r="B62" s="132" t="s">
        <v>78</v>
      </c>
      <c r="C62" s="143">
        <v>-1651857.7</v>
      </c>
      <c r="D62" s="143">
        <v>-642572.67000000004</v>
      </c>
      <c r="E62" s="143">
        <v>-425188.18</v>
      </c>
      <c r="F62" s="116">
        <f t="shared" si="3"/>
        <v>217384.49000000005</v>
      </c>
    </row>
    <row r="63" spans="2:12" ht="15" x14ac:dyDescent="0.25">
      <c r="B63" s="132" t="s">
        <v>79</v>
      </c>
      <c r="C63" s="143">
        <v>-753305.95</v>
      </c>
      <c r="D63" s="143">
        <v>-293036.01</v>
      </c>
      <c r="E63" s="143">
        <v>-193900.96</v>
      </c>
      <c r="F63" s="116">
        <f t="shared" si="3"/>
        <v>99135.050000000017</v>
      </c>
    </row>
    <row r="64" spans="2:12" ht="15" x14ac:dyDescent="0.25">
      <c r="B64" s="132" t="s">
        <v>80</v>
      </c>
      <c r="C64" s="143">
        <v>2425585.15</v>
      </c>
      <c r="D64" s="143">
        <v>848954.8</v>
      </c>
      <c r="E64" s="143">
        <v>509372.88</v>
      </c>
      <c r="F64" s="116">
        <f t="shared" si="3"/>
        <v>-339581.92000000004</v>
      </c>
    </row>
    <row r="65" spans="2:6" ht="15" x14ac:dyDescent="0.25">
      <c r="B65" s="132" t="s">
        <v>81</v>
      </c>
      <c r="C65" s="143">
        <v>-15864975.84</v>
      </c>
      <c r="D65" s="143">
        <v>-6171475.6200000001</v>
      </c>
      <c r="E65" s="143">
        <v>-4083644.79</v>
      </c>
      <c r="F65" s="116">
        <f t="shared" si="3"/>
        <v>2087830.83</v>
      </c>
    </row>
    <row r="66" spans="2:6" ht="15" x14ac:dyDescent="0.25">
      <c r="B66" s="132" t="s">
        <v>82</v>
      </c>
      <c r="C66" s="143">
        <v>-796573</v>
      </c>
      <c r="D66" s="143">
        <v>-309866.90999999997</v>
      </c>
      <c r="E66" s="143">
        <v>-205037.89</v>
      </c>
      <c r="F66" s="116">
        <f t="shared" si="3"/>
        <v>104829.01999999996</v>
      </c>
    </row>
    <row r="67" spans="2:6" ht="15" x14ac:dyDescent="0.25">
      <c r="B67" s="132" t="s">
        <v>83</v>
      </c>
      <c r="C67" s="143">
        <v>306713.46000000002</v>
      </c>
      <c r="D67" s="143">
        <v>119311.54</v>
      </c>
      <c r="E67" s="143">
        <v>78948.05</v>
      </c>
      <c r="F67" s="116">
        <f t="shared" si="3"/>
        <v>-40363.489999999991</v>
      </c>
    </row>
    <row r="68" spans="2:6" ht="15" x14ac:dyDescent="0.25">
      <c r="B68" s="132" t="s">
        <v>84</v>
      </c>
      <c r="C68" s="143">
        <v>3498538.63</v>
      </c>
      <c r="D68" s="143">
        <v>1360931.53</v>
      </c>
      <c r="E68" s="143">
        <v>900523.84</v>
      </c>
      <c r="F68" s="116">
        <f t="shared" si="3"/>
        <v>-460407.69000000006</v>
      </c>
    </row>
    <row r="69" spans="2:6" ht="15" x14ac:dyDescent="0.25">
      <c r="B69" s="132" t="s">
        <v>85</v>
      </c>
      <c r="C69" s="149">
        <v>2536583.1800000002</v>
      </c>
      <c r="D69" s="149">
        <v>986730.83</v>
      </c>
      <c r="E69" s="149">
        <v>652916.51</v>
      </c>
      <c r="F69" s="150">
        <f t="shared" si="3"/>
        <v>-333814.31999999995</v>
      </c>
    </row>
    <row r="70" spans="2:6" x14ac:dyDescent="0.2">
      <c r="B70" s="136"/>
      <c r="C70" s="106">
        <f>SUM(C39:C69)</f>
        <v>-147508597.62999994</v>
      </c>
      <c r="D70" s="106">
        <f>SUM(D39:D69)</f>
        <v>-57509650.309999995</v>
      </c>
      <c r="E70" s="106">
        <f>SUM(E39:E69)</f>
        <v>-38125261.599999994</v>
      </c>
      <c r="F70" s="106">
        <f>SUM(F39:F69)</f>
        <v>19384388.709999997</v>
      </c>
    </row>
  </sheetData>
  <mergeCells count="6">
    <mergeCell ref="C11:J11"/>
    <mergeCell ref="D12:G12"/>
    <mergeCell ref="H12:J12"/>
    <mergeCell ref="C4:J4"/>
    <mergeCell ref="D5:G5"/>
    <mergeCell ref="H5:J5"/>
  </mergeCells>
  <pageMargins left="0.7" right="0.7" top="0.75" bottom="0.7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selection activeCell="D23" sqref="D23"/>
    </sheetView>
  </sheetViews>
  <sheetFormatPr defaultColWidth="9.140625" defaultRowHeight="12.75" x14ac:dyDescent="0.2"/>
  <cols>
    <col min="1" max="1" width="1.28515625" style="105" customWidth="1"/>
    <col min="2" max="2" width="41.5703125" style="105" customWidth="1"/>
    <col min="3" max="7" width="15.140625" style="105" customWidth="1"/>
    <col min="8" max="8" width="40.42578125" style="105" customWidth="1"/>
    <col min="9" max="14" width="15.140625" style="105" customWidth="1"/>
    <col min="15" max="16384" width="9.140625" style="105"/>
  </cols>
  <sheetData>
    <row r="1" spans="1:10" ht="15" x14ac:dyDescent="0.25">
      <c r="A1" s="104" t="s">
        <v>48</v>
      </c>
      <c r="C1" s="106"/>
      <c r="D1" s="106"/>
      <c r="E1" s="106"/>
      <c r="F1" s="106"/>
      <c r="G1" s="106"/>
      <c r="H1" s="106"/>
      <c r="I1" s="106"/>
      <c r="J1" s="106"/>
    </row>
    <row r="2" spans="1:10" x14ac:dyDescent="0.2">
      <c r="A2" s="105" t="s">
        <v>23</v>
      </c>
      <c r="C2" s="106"/>
      <c r="E2" s="106"/>
      <c r="F2" s="106"/>
      <c r="G2" s="106"/>
      <c r="H2" s="106"/>
      <c r="I2" s="106"/>
      <c r="J2" s="106"/>
    </row>
    <row r="3" spans="1:10" ht="13.5" thickBot="1" x14ac:dyDescent="0.25">
      <c r="C3" s="106"/>
      <c r="D3" s="106"/>
      <c r="E3" s="106"/>
      <c r="F3" s="106"/>
      <c r="G3" s="106"/>
      <c r="H3" s="106"/>
      <c r="I3" s="106"/>
      <c r="J3" s="106"/>
    </row>
    <row r="4" spans="1:10" ht="13.5" thickBot="1" x14ac:dyDescent="0.25">
      <c r="C4" s="183" t="s">
        <v>24</v>
      </c>
      <c r="D4" s="184"/>
      <c r="E4" s="184"/>
      <c r="F4" s="184"/>
      <c r="G4" s="184"/>
      <c r="H4" s="184"/>
      <c r="I4" s="184"/>
      <c r="J4" s="185"/>
    </row>
    <row r="5" spans="1:10" ht="15" x14ac:dyDescent="0.25">
      <c r="C5" s="107"/>
      <c r="D5" s="186" t="s">
        <v>88</v>
      </c>
      <c r="E5" s="187"/>
      <c r="F5" s="187"/>
      <c r="G5" s="187"/>
      <c r="H5" s="189" t="s">
        <v>89</v>
      </c>
      <c r="I5" s="190"/>
      <c r="J5" s="191"/>
    </row>
    <row r="6" spans="1:10" ht="15" x14ac:dyDescent="0.25">
      <c r="A6" s="108"/>
      <c r="B6" s="108"/>
      <c r="C6" s="109" t="s">
        <v>26</v>
      </c>
      <c r="D6" s="110" t="s">
        <v>27</v>
      </c>
      <c r="E6" s="111" t="s">
        <v>42</v>
      </c>
      <c r="F6" s="111" t="s">
        <v>43</v>
      </c>
      <c r="G6" s="111" t="s">
        <v>90</v>
      </c>
      <c r="H6" s="110" t="s">
        <v>28</v>
      </c>
      <c r="I6" s="111" t="s">
        <v>91</v>
      </c>
      <c r="J6" s="111" t="s">
        <v>92</v>
      </c>
    </row>
    <row r="7" spans="1:10" ht="15" x14ac:dyDescent="0.25">
      <c r="B7" s="112" t="s">
        <v>29</v>
      </c>
      <c r="C7" s="106">
        <f>SUM(D7:J7)</f>
        <v>-377457808</v>
      </c>
      <c r="D7" s="113">
        <f>-319183978-H7-J7</f>
        <v>-225879095.58000001</v>
      </c>
      <c r="E7" s="114">
        <v>18358998</v>
      </c>
      <c r="F7" s="114">
        <f>-77925223-I7</f>
        <v>-76461371.609999999</v>
      </c>
      <c r="G7" s="114">
        <v>1292395</v>
      </c>
      <c r="H7" s="115">
        <v>-92764015</v>
      </c>
      <c r="I7" s="116">
        <v>-1463851.39</v>
      </c>
      <c r="J7" s="116">
        <v>-540867.42000000004</v>
      </c>
    </row>
    <row r="8" spans="1:10" x14ac:dyDescent="0.2">
      <c r="B8" s="112" t="s">
        <v>30</v>
      </c>
      <c r="C8" s="106">
        <f>+C7+C14</f>
        <v>-370511283.87229246</v>
      </c>
      <c r="D8" s="115">
        <f t="shared" ref="D8:J9" si="0">+D7+D14</f>
        <v>-220010499.48000002</v>
      </c>
      <c r="E8" s="116">
        <f t="shared" si="0"/>
        <v>18021444.891169745</v>
      </c>
      <c r="F8" s="116">
        <f t="shared" si="0"/>
        <v>-75022018.710000008</v>
      </c>
      <c r="G8" s="116">
        <f t="shared" si="0"/>
        <v>1268523.236537796</v>
      </c>
      <c r="H8" s="115">
        <f t="shared" si="0"/>
        <v>-92764015</v>
      </c>
      <c r="I8" s="116">
        <f t="shared" si="0"/>
        <v>-1463851.39</v>
      </c>
      <c r="J8" s="116">
        <f t="shared" si="0"/>
        <v>-540867.42000000004</v>
      </c>
    </row>
    <row r="9" spans="1:10" x14ac:dyDescent="0.2">
      <c r="B9" s="112" t="s">
        <v>32</v>
      </c>
      <c r="C9" s="106">
        <f>+C8+C15</f>
        <v>-367954128.66483098</v>
      </c>
      <c r="D9" s="115">
        <f t="shared" si="0"/>
        <v>-217865358.18000001</v>
      </c>
      <c r="E9" s="116">
        <f t="shared" si="0"/>
        <v>17898059.484786917</v>
      </c>
      <c r="F9" s="116">
        <f t="shared" si="0"/>
        <v>-74477590.010000005</v>
      </c>
      <c r="G9" s="116">
        <f t="shared" si="0"/>
        <v>1259493.8503820898</v>
      </c>
      <c r="H9" s="115">
        <f t="shared" si="0"/>
        <v>-92764015</v>
      </c>
      <c r="I9" s="116">
        <f t="shared" si="0"/>
        <v>-1463851.39</v>
      </c>
      <c r="J9" s="116">
        <f t="shared" si="0"/>
        <v>-540867.42000000004</v>
      </c>
    </row>
    <row r="10" spans="1:10" ht="13.5" thickBot="1" x14ac:dyDescent="0.25">
      <c r="C10" s="117"/>
      <c r="D10" s="117"/>
      <c r="E10" s="117"/>
      <c r="F10" s="117"/>
      <c r="G10" s="117"/>
    </row>
    <row r="11" spans="1:10" ht="13.5" thickBot="1" x14ac:dyDescent="0.25">
      <c r="B11" s="107"/>
      <c r="C11" s="183" t="s">
        <v>25</v>
      </c>
      <c r="D11" s="184"/>
      <c r="E11" s="184"/>
      <c r="F11" s="184"/>
      <c r="G11" s="184"/>
      <c r="H11" s="184"/>
      <c r="I11" s="184"/>
      <c r="J11" s="185"/>
    </row>
    <row r="12" spans="1:10" ht="15" x14ac:dyDescent="0.25">
      <c r="B12" s="107"/>
      <c r="C12" s="107"/>
      <c r="D12" s="186" t="s">
        <v>88</v>
      </c>
      <c r="E12" s="187"/>
      <c r="F12" s="187"/>
      <c r="G12" s="188"/>
      <c r="H12" s="189" t="s">
        <v>89</v>
      </c>
      <c r="I12" s="190"/>
      <c r="J12" s="191"/>
    </row>
    <row r="13" spans="1:10" ht="15" x14ac:dyDescent="0.25">
      <c r="B13" s="111"/>
      <c r="C13" s="109" t="s">
        <v>26</v>
      </c>
      <c r="D13" s="110" t="s">
        <v>27</v>
      </c>
      <c r="E13" s="111" t="s">
        <v>42</v>
      </c>
      <c r="F13" s="111" t="s">
        <v>43</v>
      </c>
      <c r="G13" s="118" t="s">
        <v>90</v>
      </c>
      <c r="H13" s="110" t="s">
        <v>28</v>
      </c>
      <c r="I13" s="111" t="s">
        <v>91</v>
      </c>
      <c r="J13" s="111" t="s">
        <v>92</v>
      </c>
    </row>
    <row r="14" spans="1:10" x14ac:dyDescent="0.2">
      <c r="B14" s="119" t="s">
        <v>31</v>
      </c>
      <c r="C14" s="106">
        <f>SUM(D14:H14)</f>
        <v>6946524.127707527</v>
      </c>
      <c r="D14" s="115">
        <v>5868596.0999999875</v>
      </c>
      <c r="E14" s="116">
        <f>SUM(D14,H14,J14)/SUM($D$7,$H$7,$J$7)*$E$7</f>
        <v>-337553.10883025447</v>
      </c>
      <c r="F14" s="116">
        <v>1439352.8999999971</v>
      </c>
      <c r="G14" s="120">
        <f>SUM(F14,I14)/SUM($F$7,$I$7)*$G$7</f>
        <v>-23871.76346220397</v>
      </c>
      <c r="H14" s="115">
        <v>0</v>
      </c>
      <c r="I14" s="116">
        <v>0</v>
      </c>
      <c r="J14" s="116">
        <v>0</v>
      </c>
    </row>
    <row r="15" spans="1:10" x14ac:dyDescent="0.2">
      <c r="B15" s="119" t="s">
        <v>44</v>
      </c>
      <c r="C15" s="106">
        <f>SUM(D15:H15)</f>
        <v>2557155.2074614768</v>
      </c>
      <c r="D15" s="115">
        <f>6435423.90000002/12*4</f>
        <v>2145141.3000000068</v>
      </c>
      <c r="E15" s="116">
        <f>SUM(D15,H15,J15)/SUM($D$7,$H$7,$J$7)*$E$7</f>
        <v>-123385.40638282763</v>
      </c>
      <c r="F15" s="116">
        <f>1633286.10000001/12*4</f>
        <v>544428.70000000333</v>
      </c>
      <c r="G15" s="120">
        <f>SUM(F15,I15)/SUM($F$7,$I$7)*$G$7</f>
        <v>-9029.3861557060191</v>
      </c>
      <c r="H15" s="115">
        <v>0</v>
      </c>
      <c r="I15" s="116">
        <v>0</v>
      </c>
      <c r="J15" s="116">
        <v>0</v>
      </c>
    </row>
    <row r="16" spans="1:10" ht="13.5" thickBot="1" x14ac:dyDescent="0.25">
      <c r="B16" s="122" t="s">
        <v>93</v>
      </c>
      <c r="C16" s="123">
        <f>SUM(C14:C15)</f>
        <v>9503679.3351690043</v>
      </c>
      <c r="D16" s="124">
        <f t="shared" ref="D16:J16" si="1">SUM(D14:D15)</f>
        <v>8013737.3999999948</v>
      </c>
      <c r="E16" s="123">
        <f t="shared" si="1"/>
        <v>-460938.51521308208</v>
      </c>
      <c r="F16" s="123">
        <f t="shared" si="1"/>
        <v>1983781.6000000006</v>
      </c>
      <c r="G16" s="125">
        <f t="shared" si="1"/>
        <v>-32901.149617909992</v>
      </c>
      <c r="H16" s="124">
        <f t="shared" si="1"/>
        <v>0</v>
      </c>
      <c r="I16" s="123">
        <f t="shared" si="1"/>
        <v>0</v>
      </c>
      <c r="J16" s="123">
        <f t="shared" si="1"/>
        <v>0</v>
      </c>
    </row>
    <row r="17" spans="2:7" x14ac:dyDescent="0.2">
      <c r="C17" s="126">
        <f>+C16-C22</f>
        <v>0</v>
      </c>
    </row>
    <row r="18" spans="2:7" x14ac:dyDescent="0.2">
      <c r="C18" s="126"/>
    </row>
    <row r="19" spans="2:7" ht="15" x14ac:dyDescent="0.25">
      <c r="B19" s="127" t="s">
        <v>158</v>
      </c>
    </row>
    <row r="20" spans="2:7" ht="15" x14ac:dyDescent="0.25">
      <c r="B20" s="128" t="s">
        <v>33</v>
      </c>
    </row>
    <row r="21" spans="2:7" ht="15" x14ac:dyDescent="0.25">
      <c r="C21" s="109" t="s">
        <v>26</v>
      </c>
      <c r="D21" s="109" t="s">
        <v>27</v>
      </c>
      <c r="E21" s="109" t="s">
        <v>43</v>
      </c>
      <c r="F21" s="109" t="s">
        <v>28</v>
      </c>
    </row>
    <row r="22" spans="2:7" x14ac:dyDescent="0.2">
      <c r="B22" s="105" t="s">
        <v>34</v>
      </c>
      <c r="C22" s="106">
        <f>SUM(D22:F22)</f>
        <v>9503679.3351690043</v>
      </c>
      <c r="D22" s="106">
        <f>SUM(D$16:E$16)</f>
        <v>7552798.8847869132</v>
      </c>
      <c r="E22" s="106">
        <f>SUM(F$16:G$16)</f>
        <v>1950880.4503820906</v>
      </c>
      <c r="F22" s="106">
        <f>+SUM(H$14:H$15)</f>
        <v>0</v>
      </c>
    </row>
    <row r="23" spans="2:7" x14ac:dyDescent="0.2">
      <c r="B23" s="105" t="s">
        <v>35</v>
      </c>
      <c r="C23" s="106">
        <f>SUM(D23:F23)</f>
        <v>5592419.9599999888</v>
      </c>
      <c r="D23" s="106">
        <f>(1618843.91733333/16*12*15)/5/12*16</f>
        <v>4856531.7519999901</v>
      </c>
      <c r="E23" s="106">
        <f>(223585.069333333/16*12*15)/5/12*16</f>
        <v>670755.20799999894</v>
      </c>
      <c r="F23" s="106">
        <v>65133</v>
      </c>
    </row>
    <row r="24" spans="2:7" ht="15.75" thickBot="1" x14ac:dyDescent="0.3">
      <c r="B24" s="105" t="s">
        <v>36</v>
      </c>
      <c r="C24" s="129">
        <f>SUM(C22:C23)</f>
        <v>15096099.295168992</v>
      </c>
      <c r="D24" s="130">
        <f t="shared" ref="D24:F24" si="2">SUM(D22:D23)</f>
        <v>12409330.636786904</v>
      </c>
      <c r="E24" s="130">
        <f t="shared" si="2"/>
        <v>2621635.6583820898</v>
      </c>
      <c r="F24" s="129">
        <f t="shared" si="2"/>
        <v>65133</v>
      </c>
    </row>
    <row r="27" spans="2:7" ht="17.25" x14ac:dyDescent="0.4">
      <c r="B27" s="131" t="s">
        <v>94</v>
      </c>
    </row>
    <row r="28" spans="2:7" x14ac:dyDescent="0.2">
      <c r="B28" s="132" t="s">
        <v>95</v>
      </c>
      <c r="C28" s="126">
        <f>SUM(D7:E7)</f>
        <v>-207520097.58000001</v>
      </c>
      <c r="F28" s="117"/>
      <c r="G28" s="117"/>
    </row>
    <row r="29" spans="2:7" x14ac:dyDescent="0.2">
      <c r="B29" s="132" t="s">
        <v>96</v>
      </c>
      <c r="C29" s="126">
        <f>SUM(F7:G7)</f>
        <v>-75168976.609999999</v>
      </c>
      <c r="F29" s="159"/>
      <c r="G29" s="117"/>
    </row>
    <row r="30" spans="2:7" x14ac:dyDescent="0.2">
      <c r="B30" s="132" t="s">
        <v>97</v>
      </c>
      <c r="C30" s="126">
        <f>SUM(H7:J7)</f>
        <v>-94768733.810000002</v>
      </c>
      <c r="F30" s="160"/>
      <c r="G30" s="161"/>
    </row>
    <row r="31" spans="2:7" ht="13.5" thickBot="1" x14ac:dyDescent="0.25">
      <c r="B31" s="132"/>
      <c r="C31" s="129">
        <f>SUM(C28:C30)</f>
        <v>-377457808</v>
      </c>
      <c r="F31" s="116"/>
      <c r="G31" s="161"/>
    </row>
    <row r="32" spans="2:7" x14ac:dyDescent="0.2">
      <c r="C32" s="126">
        <f>+C31-C7</f>
        <v>0</v>
      </c>
    </row>
    <row r="34" spans="2:12" ht="15" x14ac:dyDescent="0.25">
      <c r="B34" s="133" t="s">
        <v>48</v>
      </c>
      <c r="C34" s="106"/>
      <c r="D34" s="106"/>
      <c r="E34" s="106"/>
      <c r="F34" s="106"/>
      <c r="H34" s="134" t="s">
        <v>48</v>
      </c>
      <c r="I34" s="135"/>
      <c r="J34" s="135"/>
      <c r="K34" s="135"/>
      <c r="L34" s="135"/>
    </row>
    <row r="35" spans="2:12" x14ac:dyDescent="0.2">
      <c r="B35" s="136" t="s">
        <v>49</v>
      </c>
      <c r="C35" s="106"/>
      <c r="D35" s="106"/>
      <c r="E35" s="106"/>
      <c r="F35" s="106"/>
      <c r="H35" s="137" t="s">
        <v>49</v>
      </c>
      <c r="I35" s="135"/>
      <c r="J35" s="135"/>
      <c r="K35" s="135"/>
      <c r="L35" s="135"/>
    </row>
    <row r="36" spans="2:12" ht="15" x14ac:dyDescent="0.25">
      <c r="B36" s="138" t="s">
        <v>37</v>
      </c>
      <c r="C36" s="106"/>
      <c r="D36" s="106"/>
      <c r="E36" s="106"/>
      <c r="F36" s="106"/>
      <c r="H36" s="134" t="s">
        <v>46</v>
      </c>
      <c r="I36" s="135"/>
      <c r="J36" s="135"/>
      <c r="K36" s="135"/>
      <c r="L36" s="135"/>
    </row>
    <row r="37" spans="2:12" ht="51.75" x14ac:dyDescent="0.4">
      <c r="B37" s="139" t="s">
        <v>50</v>
      </c>
      <c r="C37" s="140" t="s">
        <v>51</v>
      </c>
      <c r="D37" s="140" t="s">
        <v>52</v>
      </c>
      <c r="E37" s="140" t="s">
        <v>53</v>
      </c>
      <c r="F37" s="140" t="s">
        <v>54</v>
      </c>
      <c r="H37" s="141" t="s">
        <v>50</v>
      </c>
      <c r="I37" s="142" t="s">
        <v>51</v>
      </c>
      <c r="J37" s="142" t="s">
        <v>52</v>
      </c>
      <c r="K37" s="142" t="s">
        <v>53</v>
      </c>
      <c r="L37" s="142" t="s">
        <v>54</v>
      </c>
    </row>
    <row r="38" spans="2:12" x14ac:dyDescent="0.2">
      <c r="B38" s="136"/>
      <c r="C38" s="106"/>
      <c r="D38" s="106"/>
      <c r="E38" s="106"/>
      <c r="F38" s="106"/>
      <c r="H38" s="137"/>
      <c r="I38" s="135"/>
      <c r="J38" s="135"/>
      <c r="K38" s="135"/>
      <c r="L38" s="135"/>
    </row>
    <row r="39" spans="2:12" ht="15" x14ac:dyDescent="0.25">
      <c r="B39" s="132" t="s">
        <v>55</v>
      </c>
      <c r="C39" s="143">
        <v>-6081252.5999999996</v>
      </c>
      <c r="D39" s="143">
        <v>-2365607.27</v>
      </c>
      <c r="E39" s="143">
        <v>-1565314.42</v>
      </c>
      <c r="F39" s="116">
        <f>+E39-D39</f>
        <v>800292.85000000009</v>
      </c>
      <c r="H39" s="144" t="s">
        <v>56</v>
      </c>
      <c r="I39" s="145">
        <v>-43320.09</v>
      </c>
      <c r="J39" s="145">
        <v>-16851.53</v>
      </c>
      <c r="K39" s="145">
        <v>-11150.6</v>
      </c>
      <c r="L39" s="126">
        <v>5700.9299999999985</v>
      </c>
    </row>
    <row r="40" spans="2:12" ht="15" x14ac:dyDescent="0.25">
      <c r="B40" s="132" t="s">
        <v>56</v>
      </c>
      <c r="C40" s="143">
        <v>-11281598.4</v>
      </c>
      <c r="D40" s="143">
        <v>-4388541.7699999996</v>
      </c>
      <c r="E40" s="143">
        <v>-2903883.42</v>
      </c>
      <c r="F40" s="116">
        <f t="shared" ref="F40:F69" si="3">+E40-D40</f>
        <v>1484658.3499999996</v>
      </c>
      <c r="H40" s="144" t="s">
        <v>58</v>
      </c>
      <c r="I40" s="145">
        <v>15916</v>
      </c>
      <c r="J40" s="145">
        <v>6191.32</v>
      </c>
      <c r="K40" s="145">
        <v>4096.78</v>
      </c>
      <c r="L40" s="126">
        <v>-2094.54</v>
      </c>
    </row>
    <row r="41" spans="2:12" ht="15" x14ac:dyDescent="0.25">
      <c r="B41" s="132" t="s">
        <v>57</v>
      </c>
      <c r="C41" s="143">
        <v>-402606.15</v>
      </c>
      <c r="D41" s="143">
        <v>-156613.79</v>
      </c>
      <c r="E41" s="143">
        <v>-103630.82</v>
      </c>
      <c r="F41" s="116">
        <f t="shared" si="3"/>
        <v>52982.97</v>
      </c>
      <c r="H41" s="144" t="s">
        <v>59</v>
      </c>
      <c r="I41" s="145">
        <v>-987864.17</v>
      </c>
      <c r="J41" s="145">
        <v>-384279.16</v>
      </c>
      <c r="K41" s="145">
        <v>-254276.24</v>
      </c>
      <c r="L41" s="126">
        <v>130002.91999999998</v>
      </c>
    </row>
    <row r="42" spans="2:12" ht="15" x14ac:dyDescent="0.25">
      <c r="B42" s="132" t="s">
        <v>58</v>
      </c>
      <c r="C42" s="143">
        <v>97777</v>
      </c>
      <c r="D42" s="143">
        <v>38035.25</v>
      </c>
      <c r="E42" s="143">
        <v>25167.8</v>
      </c>
      <c r="F42" s="116">
        <f t="shared" si="3"/>
        <v>-12867.45</v>
      </c>
      <c r="H42" s="144" t="s">
        <v>60</v>
      </c>
      <c r="I42" s="145">
        <v>332208.49</v>
      </c>
      <c r="J42" s="145">
        <v>129229.09</v>
      </c>
      <c r="K42" s="145">
        <v>85510.46</v>
      </c>
      <c r="L42" s="126">
        <v>-43718.62999999999</v>
      </c>
    </row>
    <row r="43" spans="2:12" ht="15" x14ac:dyDescent="0.25">
      <c r="B43" s="132" t="s">
        <v>59</v>
      </c>
      <c r="C43" s="143">
        <v>-14570064.289999999</v>
      </c>
      <c r="D43" s="143">
        <v>-5667755</v>
      </c>
      <c r="E43" s="143">
        <v>-3750334.55</v>
      </c>
      <c r="F43" s="116">
        <f t="shared" si="3"/>
        <v>1917420.4500000002</v>
      </c>
      <c r="H43" s="144" t="s">
        <v>61</v>
      </c>
      <c r="I43" s="145">
        <v>4540073.21</v>
      </c>
      <c r="J43" s="145">
        <v>1791489.56</v>
      </c>
      <c r="K43" s="145">
        <v>1199486.93</v>
      </c>
      <c r="L43" s="126">
        <v>-592002.63000000012</v>
      </c>
    </row>
    <row r="44" spans="2:12" ht="15" x14ac:dyDescent="0.25">
      <c r="B44" s="132" t="s">
        <v>60</v>
      </c>
      <c r="C44" s="143">
        <v>794485.14</v>
      </c>
      <c r="D44" s="143">
        <v>309054.71999999997</v>
      </c>
      <c r="E44" s="143">
        <v>204500.48000000001</v>
      </c>
      <c r="F44" s="116">
        <f t="shared" si="3"/>
        <v>-104554.23999999996</v>
      </c>
      <c r="H44" s="144" t="s">
        <v>98</v>
      </c>
      <c r="I44" s="145">
        <v>6557840</v>
      </c>
      <c r="J44" s="145">
        <v>2550999.7599999998</v>
      </c>
      <c r="K44" s="145">
        <v>1687988.02</v>
      </c>
      <c r="L44" s="126">
        <v>-863011.73999999976</v>
      </c>
    </row>
    <row r="45" spans="2:12" ht="15" x14ac:dyDescent="0.25">
      <c r="B45" s="132" t="s">
        <v>61</v>
      </c>
      <c r="C45" s="143">
        <v>12734100.09</v>
      </c>
      <c r="D45" s="143">
        <v>4919356.96</v>
      </c>
      <c r="E45" s="143">
        <v>3236181.5300000003</v>
      </c>
      <c r="F45" s="116">
        <f t="shared" si="3"/>
        <v>-1683175.4299999997</v>
      </c>
      <c r="H45" s="144" t="s">
        <v>65</v>
      </c>
      <c r="I45" s="145">
        <v>94595.590000000026</v>
      </c>
      <c r="J45" s="145">
        <v>36797.700000000012</v>
      </c>
      <c r="K45" s="145">
        <v>24348.92</v>
      </c>
      <c r="L45" s="126">
        <v>-12448.780000000013</v>
      </c>
    </row>
    <row r="46" spans="2:12" ht="15" x14ac:dyDescent="0.25">
      <c r="B46" s="132" t="s">
        <v>62</v>
      </c>
      <c r="C46" s="143">
        <v>-8908773.9100000039</v>
      </c>
      <c r="D46" s="143">
        <v>-3465513.040000001</v>
      </c>
      <c r="E46" s="143">
        <v>-2293118.3999999985</v>
      </c>
      <c r="F46" s="116">
        <f t="shared" si="3"/>
        <v>1172394.6400000025</v>
      </c>
      <c r="H46" s="144" t="s">
        <v>69</v>
      </c>
      <c r="I46" s="145">
        <v>11444776.309999999</v>
      </c>
      <c r="J46" s="145">
        <v>4452017.99</v>
      </c>
      <c r="K46" s="145">
        <v>2945885.41</v>
      </c>
      <c r="L46" s="126">
        <v>-1506132.58</v>
      </c>
    </row>
    <row r="47" spans="2:12" ht="15" x14ac:dyDescent="0.25">
      <c r="B47" s="132" t="s">
        <v>63</v>
      </c>
      <c r="C47" s="143">
        <v>-154470</v>
      </c>
      <c r="D47" s="143">
        <v>-60088.83</v>
      </c>
      <c r="E47" s="143">
        <v>-39760.58</v>
      </c>
      <c r="F47" s="116">
        <f t="shared" si="3"/>
        <v>20328.25</v>
      </c>
      <c r="H47" s="144" t="s">
        <v>70</v>
      </c>
      <c r="I47" s="145">
        <v>853005.45</v>
      </c>
      <c r="J47" s="145">
        <v>331819.14</v>
      </c>
      <c r="K47" s="145">
        <v>219563.6</v>
      </c>
      <c r="L47" s="126">
        <v>-112255.54000000001</v>
      </c>
    </row>
    <row r="48" spans="2:12" ht="15" x14ac:dyDescent="0.25">
      <c r="B48" s="132" t="s">
        <v>64</v>
      </c>
      <c r="C48" s="143">
        <v>1769727.05</v>
      </c>
      <c r="D48" s="143">
        <v>688423.81</v>
      </c>
      <c r="E48" s="143">
        <v>455527.74</v>
      </c>
      <c r="F48" s="116">
        <f t="shared" si="3"/>
        <v>-232896.07000000007</v>
      </c>
      <c r="H48" s="154" t="s">
        <v>71</v>
      </c>
      <c r="I48" s="145">
        <v>-40832761.390000001</v>
      </c>
      <c r="J48" s="145">
        <v>-15883944.220000001</v>
      </c>
      <c r="K48" s="145">
        <v>-10510352.790000001</v>
      </c>
      <c r="L48" s="146">
        <v>5373591.4299999997</v>
      </c>
    </row>
    <row r="49" spans="2:12" ht="15" x14ac:dyDescent="0.25">
      <c r="B49" s="132" t="s">
        <v>65</v>
      </c>
      <c r="C49" s="143">
        <v>11691.980000000003</v>
      </c>
      <c r="D49" s="143">
        <v>4548.1799999999967</v>
      </c>
      <c r="E49" s="143">
        <v>3009.51</v>
      </c>
      <c r="F49" s="116">
        <f t="shared" si="3"/>
        <v>-1538.6699999999964</v>
      </c>
      <c r="H49" s="144" t="s">
        <v>99</v>
      </c>
      <c r="I49" s="145">
        <v>1907100</v>
      </c>
      <c r="J49" s="145">
        <v>741861.9</v>
      </c>
      <c r="K49" s="145">
        <v>490887.54</v>
      </c>
      <c r="L49" s="126">
        <v>-250974.36000000004</v>
      </c>
    </row>
    <row r="50" spans="2:12" ht="15" x14ac:dyDescent="0.25">
      <c r="B50" s="132" t="s">
        <v>66</v>
      </c>
      <c r="C50" s="143">
        <v>-144.44999999999999</v>
      </c>
      <c r="D50" s="143">
        <v>-56.21</v>
      </c>
      <c r="E50" s="143">
        <v>-37.18</v>
      </c>
      <c r="F50" s="116">
        <f t="shared" si="3"/>
        <v>19.03</v>
      </c>
      <c r="H50" s="144" t="s">
        <v>72</v>
      </c>
      <c r="I50" s="145">
        <v>-233313.03999999911</v>
      </c>
      <c r="J50" s="145">
        <v>-90758.75</v>
      </c>
      <c r="K50" s="145">
        <v>-60054.790000000037</v>
      </c>
      <c r="L50" s="126">
        <v>30703.959999999963</v>
      </c>
    </row>
    <row r="51" spans="2:12" ht="15" x14ac:dyDescent="0.25">
      <c r="B51" s="132" t="s">
        <v>67</v>
      </c>
      <c r="C51" s="143">
        <v>-4700000</v>
      </c>
      <c r="D51" s="143">
        <v>-1828300</v>
      </c>
      <c r="E51" s="143">
        <v>-1209780</v>
      </c>
      <c r="F51" s="116">
        <f t="shared" si="3"/>
        <v>618520</v>
      </c>
      <c r="H51" s="144" t="s">
        <v>100</v>
      </c>
      <c r="I51" s="145">
        <v>174919</v>
      </c>
      <c r="J51" s="145">
        <v>68043.490000000005</v>
      </c>
      <c r="K51" s="145">
        <v>45024.15</v>
      </c>
      <c r="L51" s="126">
        <v>-23019.340000000004</v>
      </c>
    </row>
    <row r="52" spans="2:12" ht="15" x14ac:dyDescent="0.25">
      <c r="B52" s="132" t="s">
        <v>68</v>
      </c>
      <c r="C52" s="143">
        <v>409000</v>
      </c>
      <c r="D52" s="143">
        <v>159101</v>
      </c>
      <c r="E52" s="143">
        <v>105276.6</v>
      </c>
      <c r="F52" s="116">
        <f t="shared" si="3"/>
        <v>-53824.399999999994</v>
      </c>
      <c r="H52" s="144" t="s">
        <v>74</v>
      </c>
      <c r="I52" s="145">
        <v>54487.88</v>
      </c>
      <c r="J52" s="145">
        <v>21195.78</v>
      </c>
      <c r="K52" s="145">
        <v>14025.17</v>
      </c>
      <c r="L52" s="126">
        <v>-7170.6099999999988</v>
      </c>
    </row>
    <row r="53" spans="2:12" ht="15" x14ac:dyDescent="0.25">
      <c r="B53" s="132" t="s">
        <v>69</v>
      </c>
      <c r="C53" s="143">
        <v>40947898.490000002</v>
      </c>
      <c r="D53" s="143">
        <v>15928732.520000001</v>
      </c>
      <c r="E53" s="143">
        <v>10539989.08</v>
      </c>
      <c r="F53" s="116">
        <f t="shared" si="3"/>
        <v>-5388743.4400000013</v>
      </c>
      <c r="H53" s="144" t="s">
        <v>76</v>
      </c>
      <c r="I53" s="145">
        <v>-319962.40000000002</v>
      </c>
      <c r="J53" s="145">
        <v>-124465.36</v>
      </c>
      <c r="K53" s="145">
        <v>-82358.31</v>
      </c>
      <c r="L53" s="126">
        <v>42107.05</v>
      </c>
    </row>
    <row r="54" spans="2:12" ht="15" x14ac:dyDescent="0.25">
      <c r="B54" s="132" t="s">
        <v>70</v>
      </c>
      <c r="C54" s="143">
        <v>3089894.45</v>
      </c>
      <c r="D54" s="143">
        <v>1201968.95</v>
      </c>
      <c r="E54" s="143">
        <v>795338.83</v>
      </c>
      <c r="F54" s="116">
        <f t="shared" si="3"/>
        <v>-406630.12</v>
      </c>
      <c r="H54" s="144" t="s">
        <v>101</v>
      </c>
      <c r="I54" s="145">
        <v>-3801685.57</v>
      </c>
      <c r="J54" s="145">
        <v>-1478855.6799999999</v>
      </c>
      <c r="K54" s="145">
        <v>-978553.86</v>
      </c>
      <c r="L54" s="126">
        <v>500301.81999999995</v>
      </c>
    </row>
    <row r="55" spans="2:12" ht="15" x14ac:dyDescent="0.25">
      <c r="B55" s="151" t="s">
        <v>71</v>
      </c>
      <c r="C55" s="152">
        <v>-146796750.84</v>
      </c>
      <c r="D55" s="152">
        <v>-57103936.089999996</v>
      </c>
      <c r="E55" s="152">
        <v>-37785483.659999996</v>
      </c>
      <c r="F55" s="153">
        <f t="shared" si="3"/>
        <v>19318452.43</v>
      </c>
      <c r="H55" s="144" t="s">
        <v>78</v>
      </c>
      <c r="I55" s="145">
        <v>-454862.38</v>
      </c>
      <c r="J55" s="145">
        <v>-176941.46</v>
      </c>
      <c r="K55" s="145">
        <v>-117081.57</v>
      </c>
      <c r="L55" s="126">
        <v>59859.889999999985</v>
      </c>
    </row>
    <row r="56" spans="2:12" ht="15" x14ac:dyDescent="0.25">
      <c r="B56" s="132" t="s">
        <v>72</v>
      </c>
      <c r="C56" s="143">
        <v>-933252.17000000179</v>
      </c>
      <c r="D56" s="143">
        <v>-363035.0700000003</v>
      </c>
      <c r="E56" s="143">
        <v>-240219.09999999963</v>
      </c>
      <c r="F56" s="116">
        <f t="shared" si="3"/>
        <v>122815.97000000067</v>
      </c>
      <c r="H56" s="144" t="s">
        <v>80</v>
      </c>
      <c r="I56" s="145">
        <v>-321825.15000000002</v>
      </c>
      <c r="J56" s="145">
        <v>-112638.8</v>
      </c>
      <c r="K56" s="145">
        <v>-67583.28</v>
      </c>
      <c r="L56" s="126">
        <v>45055.520000000004</v>
      </c>
    </row>
    <row r="57" spans="2:12" ht="15" x14ac:dyDescent="0.25">
      <c r="B57" s="132" t="s">
        <v>73</v>
      </c>
      <c r="C57" s="143">
        <v>231803</v>
      </c>
      <c r="D57" s="143">
        <v>90171.37</v>
      </c>
      <c r="E57" s="143">
        <v>59666.09</v>
      </c>
      <c r="F57" s="116">
        <f t="shared" si="3"/>
        <v>-30505.279999999999</v>
      </c>
      <c r="H57" s="144" t="s">
        <v>83</v>
      </c>
      <c r="I57" s="145">
        <v>76678.37</v>
      </c>
      <c r="J57" s="145">
        <v>29827.88</v>
      </c>
      <c r="K57" s="145">
        <v>19737.009999999998</v>
      </c>
      <c r="L57" s="126">
        <v>-10090.870000000003</v>
      </c>
    </row>
    <row r="58" spans="2:12" ht="15" x14ac:dyDescent="0.25">
      <c r="B58" s="132" t="s">
        <v>74</v>
      </c>
      <c r="C58" s="143">
        <v>217949.56</v>
      </c>
      <c r="D58" s="143">
        <v>84782.39</v>
      </c>
      <c r="E58" s="143">
        <v>56100.22</v>
      </c>
      <c r="F58" s="116">
        <f t="shared" si="3"/>
        <v>-28682.17</v>
      </c>
      <c r="H58" s="144" t="s">
        <v>84</v>
      </c>
      <c r="I58" s="145">
        <v>1108272.4099999999</v>
      </c>
      <c r="J58" s="145">
        <v>431117.95</v>
      </c>
      <c r="K58" s="145">
        <v>285269.32</v>
      </c>
      <c r="L58" s="126">
        <v>-145848.63</v>
      </c>
    </row>
    <row r="59" spans="2:12" ht="15" x14ac:dyDescent="0.25">
      <c r="B59" s="132" t="s">
        <v>75</v>
      </c>
      <c r="C59" s="143">
        <v>-3043316.17</v>
      </c>
      <c r="D59" s="143">
        <v>-1183849.99</v>
      </c>
      <c r="E59" s="143">
        <v>-783349.59</v>
      </c>
      <c r="F59" s="116">
        <f t="shared" si="3"/>
        <v>400500.4</v>
      </c>
      <c r="H59" s="144" t="s">
        <v>85</v>
      </c>
      <c r="I59" s="147">
        <v>784371.05</v>
      </c>
      <c r="J59" s="147">
        <v>305120.34000000003</v>
      </c>
      <c r="K59" s="147">
        <v>201897.1</v>
      </c>
      <c r="L59" s="148">
        <v>-103223.24000000002</v>
      </c>
    </row>
    <row r="60" spans="2:12" ht="15" x14ac:dyDescent="0.25">
      <c r="B60" s="132" t="s">
        <v>76</v>
      </c>
      <c r="C60" s="143">
        <v>-1364049.2</v>
      </c>
      <c r="D60" s="143">
        <v>-530615.13</v>
      </c>
      <c r="E60" s="143">
        <v>-351106.26</v>
      </c>
      <c r="F60" s="116">
        <f t="shared" si="3"/>
        <v>179508.87</v>
      </c>
      <c r="H60" s="137"/>
      <c r="I60" s="135">
        <f>SUM(I39:I59)</f>
        <v>-19051350.43</v>
      </c>
      <c r="J60" s="135">
        <f>SUM(J39:J59)</f>
        <v>-7373023.0599999987</v>
      </c>
      <c r="K60" s="135">
        <f>SUM(K39:K59)</f>
        <v>-4857691.0300000031</v>
      </c>
      <c r="L60" s="135">
        <f>SUM(L39:L59)</f>
        <v>2515332.0299999998</v>
      </c>
    </row>
    <row r="61" spans="2:12" ht="15" x14ac:dyDescent="0.25">
      <c r="B61" s="132" t="s">
        <v>77</v>
      </c>
      <c r="C61" s="143">
        <v>722645.86</v>
      </c>
      <c r="D61" s="143">
        <v>281109.24</v>
      </c>
      <c r="E61" s="143">
        <v>186009.04</v>
      </c>
      <c r="F61" s="116">
        <f t="shared" si="3"/>
        <v>-95100.199999999983</v>
      </c>
    </row>
    <row r="62" spans="2:12" ht="15" x14ac:dyDescent="0.25">
      <c r="B62" s="132" t="s">
        <v>78</v>
      </c>
      <c r="C62" s="143">
        <v>-1651857.7</v>
      </c>
      <c r="D62" s="143">
        <v>-642572.67000000004</v>
      </c>
      <c r="E62" s="143">
        <v>-425188.18</v>
      </c>
      <c r="F62" s="116">
        <f t="shared" si="3"/>
        <v>217384.49000000005</v>
      </c>
    </row>
    <row r="63" spans="2:12" ht="15" x14ac:dyDescent="0.25">
      <c r="B63" s="132" t="s">
        <v>79</v>
      </c>
      <c r="C63" s="143">
        <v>-753305.95</v>
      </c>
      <c r="D63" s="143">
        <v>-293036.01</v>
      </c>
      <c r="E63" s="143">
        <v>-193900.96</v>
      </c>
      <c r="F63" s="116">
        <f t="shared" si="3"/>
        <v>99135.050000000017</v>
      </c>
    </row>
    <row r="64" spans="2:12" ht="15" x14ac:dyDescent="0.25">
      <c r="B64" s="132" t="s">
        <v>80</v>
      </c>
      <c r="C64" s="143">
        <v>2425585.15</v>
      </c>
      <c r="D64" s="143">
        <v>848954.8</v>
      </c>
      <c r="E64" s="143">
        <v>509372.88</v>
      </c>
      <c r="F64" s="116">
        <f t="shared" si="3"/>
        <v>-339581.92000000004</v>
      </c>
    </row>
    <row r="65" spans="2:6" ht="15" x14ac:dyDescent="0.25">
      <c r="B65" s="132" t="s">
        <v>81</v>
      </c>
      <c r="C65" s="143">
        <v>-15864975.84</v>
      </c>
      <c r="D65" s="143">
        <v>-6171475.6200000001</v>
      </c>
      <c r="E65" s="143">
        <v>-4083644.79</v>
      </c>
      <c r="F65" s="116">
        <f t="shared" si="3"/>
        <v>2087830.83</v>
      </c>
    </row>
    <row r="66" spans="2:6" ht="15" x14ac:dyDescent="0.25">
      <c r="B66" s="132" t="s">
        <v>82</v>
      </c>
      <c r="C66" s="143">
        <v>-796573</v>
      </c>
      <c r="D66" s="143">
        <v>-309866.90999999997</v>
      </c>
      <c r="E66" s="143">
        <v>-205037.89</v>
      </c>
      <c r="F66" s="116">
        <f t="shared" si="3"/>
        <v>104829.01999999996</v>
      </c>
    </row>
    <row r="67" spans="2:6" ht="15" x14ac:dyDescent="0.25">
      <c r="B67" s="132" t="s">
        <v>83</v>
      </c>
      <c r="C67" s="143">
        <v>306713.46000000002</v>
      </c>
      <c r="D67" s="143">
        <v>119311.54</v>
      </c>
      <c r="E67" s="143">
        <v>78948.05</v>
      </c>
      <c r="F67" s="116">
        <f t="shared" si="3"/>
        <v>-40363.489999999991</v>
      </c>
    </row>
    <row r="68" spans="2:6" ht="15" x14ac:dyDescent="0.25">
      <c r="B68" s="132" t="s">
        <v>84</v>
      </c>
      <c r="C68" s="143">
        <v>3498538.63</v>
      </c>
      <c r="D68" s="143">
        <v>1360931.53</v>
      </c>
      <c r="E68" s="143">
        <v>900523.84</v>
      </c>
      <c r="F68" s="116">
        <f t="shared" si="3"/>
        <v>-460407.69000000006</v>
      </c>
    </row>
    <row r="69" spans="2:6" ht="15" x14ac:dyDescent="0.25">
      <c r="B69" s="132" t="s">
        <v>85</v>
      </c>
      <c r="C69" s="149">
        <v>2536583.1800000002</v>
      </c>
      <c r="D69" s="149">
        <v>986730.83</v>
      </c>
      <c r="E69" s="149">
        <v>652916.51</v>
      </c>
      <c r="F69" s="150">
        <f t="shared" si="3"/>
        <v>-333814.31999999995</v>
      </c>
    </row>
    <row r="70" spans="2:6" x14ac:dyDescent="0.2">
      <c r="B70" s="136"/>
      <c r="C70" s="106">
        <f>SUM(C39:C69)</f>
        <v>-147508597.62999994</v>
      </c>
      <c r="D70" s="106">
        <f>SUM(D39:D69)</f>
        <v>-57509650.309999995</v>
      </c>
      <c r="E70" s="106">
        <f>SUM(E39:E69)</f>
        <v>-38125261.599999994</v>
      </c>
      <c r="F70" s="106">
        <f>SUM(F39:F69)</f>
        <v>19384388.709999997</v>
      </c>
    </row>
    <row r="71" spans="2:6" x14ac:dyDescent="0.2">
      <c r="E71" t="s">
        <v>162</v>
      </c>
      <c r="F71" s="155">
        <f>-F46</f>
        <v>-1172394.6400000025</v>
      </c>
    </row>
    <row r="72" spans="2:6" x14ac:dyDescent="0.2">
      <c r="E72" t="s">
        <v>163</v>
      </c>
      <c r="F72" s="156">
        <f>SUM(F70:F71)</f>
        <v>18211994.069999993</v>
      </c>
    </row>
    <row r="73" spans="2:6" x14ac:dyDescent="0.2">
      <c r="E73" t="s">
        <v>164</v>
      </c>
      <c r="F73" s="157">
        <f>F72/5</f>
        <v>3642398.8139999984</v>
      </c>
    </row>
    <row r="74" spans="2:6" x14ac:dyDescent="0.2">
      <c r="E74" t="s">
        <v>165</v>
      </c>
      <c r="F74" s="157">
        <f>F73/12*16</f>
        <v>4856531.7519999975</v>
      </c>
    </row>
    <row r="75" spans="2:6" x14ac:dyDescent="0.2">
      <c r="E75" t="s">
        <v>166</v>
      </c>
      <c r="F75" s="156">
        <f>F74-D23</f>
        <v>7.4505805969238281E-9</v>
      </c>
    </row>
  </sheetData>
  <mergeCells count="6">
    <mergeCell ref="C4:J4"/>
    <mergeCell ref="D5:G5"/>
    <mergeCell ref="H5:J5"/>
    <mergeCell ref="C11:J11"/>
    <mergeCell ref="D12:G12"/>
    <mergeCell ref="H12:J12"/>
  </mergeCells>
  <pageMargins left="0.7" right="0.7" top="0.75" bottom="0.75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LGE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9F4491-B986-436A-8090-40D401FFF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6B7DC-BA4E-446F-8C96-10D569DB3D6B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2ad705b9-adad-42ba-803b-2580de5ca47a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789fa03-9022-4931-acb2-79f11ac92edf"/>
    <ds:schemaRef ds:uri="65bfb563-8fe2-4d34-a09f-38a217d8feea"/>
  </ds:schemaRefs>
</ds:datastoreItem>
</file>

<file path=customXml/itemProps3.xml><?xml version="1.0" encoding="utf-8"?>
<ds:datastoreItem xmlns:ds="http://schemas.openxmlformats.org/officeDocument/2006/customXml" ds:itemID="{6832C1A6-D7B0-4340-8C89-4AD8287AC6A1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PSC-3-8</vt:lpstr>
      <vt:lpstr>SUPPORT&gt;&gt;&gt;</vt:lpstr>
      <vt:lpstr>Effective Tax Rate</vt:lpstr>
      <vt:lpstr>LGE Composite Tax Rate</vt:lpstr>
      <vt:lpstr>TY TARIFF BILLING</vt:lpstr>
      <vt:lpstr>TY KWH-RS vs Non-RS</vt:lpstr>
      <vt:lpstr>Excess DIT (Unprot 15yr)</vt:lpstr>
      <vt:lpstr>Excess DIT (Unprot 5yr)</vt:lpstr>
      <vt:lpstr>'PSC-3-8'!Print_Area</vt:lpstr>
      <vt:lpstr>'TY TARIFF BILLING'!Print_Area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2014-12-04T19:33:26Z</dcterms:created>
  <dcterms:modified xsi:type="dcterms:W3CDTF">2018-04-18T18:33:50Z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