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0" yWindow="180" windowWidth="14940" windowHeight="9165" tabRatio="855"/>
  </bookViews>
  <sheets>
    <sheet name="PSC-3-8" sheetId="46" r:id="rId1"/>
    <sheet name="SUPPORT&gt;&gt;&gt;" sheetId="44" r:id="rId2"/>
    <sheet name="Effective Tax Rate" sheetId="31" r:id="rId3"/>
    <sheet name="Composite Tax Rate" sheetId="47" r:id="rId4"/>
    <sheet name="TY TARIFF BILLING" sheetId="43" r:id="rId5"/>
    <sheet name="TY KWH-RS vs Non-RS" sheetId="42" r:id="rId6"/>
    <sheet name="Excess DIT (Unprot 15yr)" sheetId="35" r:id="rId7"/>
    <sheet name="Excess DIT (Unprot 5yr)" sheetId="45" r:id="rId8"/>
  </sheets>
  <externalReferences>
    <externalReference r:id="rId9"/>
  </externalReferences>
  <definedNames>
    <definedName name="\\" localSheetId="3" hidden="1">#REF!</definedName>
    <definedName name="\\" localSheetId="7" hidden="1">#REF!</definedName>
    <definedName name="\\" localSheetId="0" hidden="1">#REF!</definedName>
    <definedName name="\\" hidden="1">#REF!</definedName>
    <definedName name="\\\" localSheetId="3" hidden="1">#REF!</definedName>
    <definedName name="\\\" localSheetId="7" hidden="1">#REF!</definedName>
    <definedName name="\\\" localSheetId="0" hidden="1">#REF!</definedName>
    <definedName name="\\\" hidden="1">#REF!</definedName>
    <definedName name="\\\\" localSheetId="3" hidden="1">#REF!</definedName>
    <definedName name="\\\\" localSheetId="7" hidden="1">#REF!</definedName>
    <definedName name="\\\\" localSheetId="0" hidden="1">#REF!</definedName>
    <definedName name="\\\\" hidden="1">#REF!</definedName>
    <definedName name="__123Graph_1" localSheetId="3" hidden="1">#REF!</definedName>
    <definedName name="__123Graph_1" localSheetId="7" hidden="1">#REF!</definedName>
    <definedName name="__123Graph_1" localSheetId="0" hidden="1">#REF!</definedName>
    <definedName name="__123Graph_1" hidden="1">#REF!</definedName>
    <definedName name="__123Graph_2" localSheetId="3" hidden="1">#REF!</definedName>
    <definedName name="__123Graph_2" localSheetId="7" hidden="1">#REF!</definedName>
    <definedName name="__123Graph_2" localSheetId="0" hidden="1">#REF!</definedName>
    <definedName name="__123Graph_2" hidden="1">#REF!</definedName>
    <definedName name="__123Graph_3" localSheetId="3" hidden="1">#REF!</definedName>
    <definedName name="__123Graph_3" localSheetId="7" hidden="1">#REF!</definedName>
    <definedName name="__123Graph_3" localSheetId="0" hidden="1">#REF!</definedName>
    <definedName name="__123Graph_3" hidden="1">#REF!</definedName>
    <definedName name="__123Graph_4" localSheetId="3" hidden="1">#REF!</definedName>
    <definedName name="__123Graph_4" localSheetId="7" hidden="1">#REF!</definedName>
    <definedName name="__123Graph_4" localSheetId="0" hidden="1">#REF!</definedName>
    <definedName name="__123Graph_4" hidden="1">#REF!</definedName>
    <definedName name="__123Graph_5" localSheetId="3" hidden="1">#REF!</definedName>
    <definedName name="__123Graph_5" localSheetId="7" hidden="1">#REF!</definedName>
    <definedName name="__123Graph_5" localSheetId="0" hidden="1">#REF!</definedName>
    <definedName name="__123Graph_5" hidden="1">#REF!</definedName>
    <definedName name="__123Graph_6" localSheetId="3" hidden="1">#REF!</definedName>
    <definedName name="__123Graph_6" localSheetId="7" hidden="1">#REF!</definedName>
    <definedName name="__123Graph_6" localSheetId="0" hidden="1">#REF!</definedName>
    <definedName name="__123Graph_6" hidden="1">#REF!</definedName>
    <definedName name="__123Graph_8" localSheetId="3" hidden="1">#REF!</definedName>
    <definedName name="__123Graph_8" localSheetId="7" hidden="1">#REF!</definedName>
    <definedName name="__123Graph_8" localSheetId="0" hidden="1">#REF!</definedName>
    <definedName name="__123Graph_8" hidden="1">#REF!</definedName>
    <definedName name="__123Graph_A" localSheetId="3" hidden="1">#REF!</definedName>
    <definedName name="__123Graph_A" localSheetId="7" hidden="1">#REF!</definedName>
    <definedName name="__123Graph_A" localSheetId="0" hidden="1">#REF!</definedName>
    <definedName name="__123Graph_A" hidden="1">#REF!</definedName>
    <definedName name="__123Graph_B" localSheetId="3" hidden="1">#REF!</definedName>
    <definedName name="__123Graph_B" localSheetId="7" hidden="1">#REF!</definedName>
    <definedName name="__123Graph_B" localSheetId="0" hidden="1">#REF!</definedName>
    <definedName name="__123Graph_B" hidden="1">#REF!</definedName>
    <definedName name="__123Graph_C" localSheetId="3" hidden="1">#REF!</definedName>
    <definedName name="__123Graph_C" localSheetId="7" hidden="1">#REF!</definedName>
    <definedName name="__123Graph_C" localSheetId="0" hidden="1">#REF!</definedName>
    <definedName name="__123Graph_C" hidden="1">#REF!</definedName>
    <definedName name="__123Graph_D" localSheetId="3" hidden="1">#REF!</definedName>
    <definedName name="__123Graph_D" localSheetId="7" hidden="1">#REF!</definedName>
    <definedName name="__123Graph_D" localSheetId="0" hidden="1">#REF!</definedName>
    <definedName name="__123Graph_D" hidden="1">#REF!</definedName>
    <definedName name="__123Graph_E" localSheetId="3" hidden="1">#REF!</definedName>
    <definedName name="__123Graph_E" localSheetId="7" hidden="1">#REF!</definedName>
    <definedName name="__123Graph_E" localSheetId="0" hidden="1">#REF!</definedName>
    <definedName name="__123Graph_E" hidden="1">#REF!</definedName>
    <definedName name="__123Graph_F" localSheetId="3" hidden="1">#REF!</definedName>
    <definedName name="__123Graph_F" localSheetId="7" hidden="1">#REF!</definedName>
    <definedName name="__123Graph_F" localSheetId="0" hidden="1">#REF!</definedName>
    <definedName name="__123Graph_F" hidden="1">#REF!</definedName>
    <definedName name="__123Graph_X" localSheetId="3" hidden="1">#REF!</definedName>
    <definedName name="__123Graph_X" localSheetId="7" hidden="1">#REF!</definedName>
    <definedName name="__123Graph_X" localSheetId="0" hidden="1">#REF!</definedName>
    <definedName name="__123Graph_X" hidden="1">#REF!</definedName>
    <definedName name="_Fill" localSheetId="3" hidden="1">#REF!</definedName>
    <definedName name="_Fill" localSheetId="7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ahahahahaha" localSheetId="3" hidden="1">{"'Server Configuration'!$A$1:$DB$281"}</definedName>
    <definedName name="ahahahahaha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BNE_MESSAGES_HIDDEN" hidden="1">#REF!</definedName>
    <definedName name="DolUnitFactor">[1]ListsValues!$M$29</definedName>
    <definedName name="HTML_CodePage" hidden="1">1252</definedName>
    <definedName name="HTML_Control" localSheetId="3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0">'PSC-3-8'!$A$1:$E$141</definedName>
    <definedName name="_xlnm.Print_Area" localSheetId="4">'TY TARIFF BILLING'!$A$1:$H$32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C79" i="46" l="1"/>
  <c r="C61" i="46"/>
  <c r="E90" i="46"/>
  <c r="D90" i="46"/>
  <c r="E83" i="46"/>
  <c r="D83" i="46"/>
  <c r="E72" i="46"/>
  <c r="D72" i="46"/>
  <c r="E65" i="46"/>
  <c r="D65" i="46"/>
  <c r="D18" i="47" l="1"/>
  <c r="D20" i="47" s="1"/>
  <c r="E20" i="47" s="1"/>
  <c r="E16" i="47"/>
  <c r="E14" i="47"/>
  <c r="E18" i="47" s="1"/>
  <c r="E137" i="46"/>
  <c r="D137" i="46"/>
  <c r="E130" i="46"/>
  <c r="D130" i="46"/>
  <c r="E119" i="46"/>
  <c r="D119" i="46"/>
  <c r="E112" i="46"/>
  <c r="D112" i="46"/>
  <c r="E43" i="46"/>
  <c r="D43" i="46"/>
  <c r="E36" i="46"/>
  <c r="D36" i="46"/>
  <c r="E25" i="46"/>
  <c r="D25" i="46"/>
  <c r="E18" i="46"/>
  <c r="D18" i="46"/>
  <c r="E22" i="47" l="1"/>
  <c r="E24" i="47" s="1"/>
  <c r="E26" i="47"/>
  <c r="D23" i="45"/>
  <c r="C23" i="45" s="1"/>
  <c r="E79" i="45"/>
  <c r="D79" i="45"/>
  <c r="C79" i="45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57" i="45"/>
  <c r="F56" i="45"/>
  <c r="F55" i="45"/>
  <c r="F54" i="45"/>
  <c r="F53" i="45"/>
  <c r="F52" i="45"/>
  <c r="F51" i="45"/>
  <c r="F50" i="45"/>
  <c r="F80" i="45" s="1"/>
  <c r="F49" i="45"/>
  <c r="F48" i="45"/>
  <c r="F47" i="45"/>
  <c r="F46" i="45"/>
  <c r="F45" i="45"/>
  <c r="D36" i="45"/>
  <c r="C77" i="46" s="1"/>
  <c r="C81" i="46" s="1"/>
  <c r="C88" i="46" s="1"/>
  <c r="C29" i="45"/>
  <c r="D28" i="45"/>
  <c r="G16" i="45"/>
  <c r="F15" i="45"/>
  <c r="E22" i="45" s="1"/>
  <c r="E24" i="45" s="1"/>
  <c r="D14" i="45"/>
  <c r="G8" i="45"/>
  <c r="G9" i="45" s="1"/>
  <c r="F8" i="45"/>
  <c r="F9" i="45" s="1"/>
  <c r="D7" i="45"/>
  <c r="D36" i="35"/>
  <c r="C59" i="46" s="1"/>
  <c r="C63" i="46" s="1"/>
  <c r="C70" i="46" s="1"/>
  <c r="C124" i="46" l="1"/>
  <c r="C30" i="46"/>
  <c r="C12" i="46"/>
  <c r="C106" i="46"/>
  <c r="B108" i="46"/>
  <c r="B126" i="46"/>
  <c r="C126" i="46"/>
  <c r="C108" i="46"/>
  <c r="C110" i="46" s="1"/>
  <c r="D8" i="45"/>
  <c r="F79" i="45"/>
  <c r="F81" i="45" s="1"/>
  <c r="F82" i="45" s="1"/>
  <c r="F83" i="45" s="1"/>
  <c r="F84" i="45" s="1"/>
  <c r="F16" i="45"/>
  <c r="D15" i="45"/>
  <c r="E15" i="45" s="1"/>
  <c r="C15" i="45" s="1"/>
  <c r="C7" i="45"/>
  <c r="C28" i="45"/>
  <c r="E14" i="45"/>
  <c r="C14" i="45" s="1"/>
  <c r="C128" i="46" l="1"/>
  <c r="C135" i="46"/>
  <c r="C117" i="46"/>
  <c r="D16" i="45"/>
  <c r="D9" i="45"/>
  <c r="C16" i="45"/>
  <c r="E16" i="45"/>
  <c r="E8" i="45"/>
  <c r="E9" i="45" s="1"/>
  <c r="C8" i="45"/>
  <c r="C9" i="45" s="1"/>
  <c r="E28" i="45"/>
  <c r="C30" i="45"/>
  <c r="C31" i="45" s="1"/>
  <c r="D22" i="45"/>
  <c r="F29" i="31"/>
  <c r="A29" i="31"/>
  <c r="D35" i="45" l="1"/>
  <c r="D37" i="45" s="1"/>
  <c r="D24" i="45"/>
  <c r="C22" i="45"/>
  <c r="C24" i="45" l="1"/>
  <c r="C17" i="45"/>
  <c r="B7" i="42" l="1"/>
  <c r="G31" i="43"/>
  <c r="G30" i="43"/>
  <c r="G29" i="43"/>
  <c r="G28" i="43"/>
  <c r="G24" i="43"/>
  <c r="G22" i="43"/>
  <c r="G21" i="43"/>
  <c r="G20" i="43"/>
  <c r="G19" i="43"/>
  <c r="G18" i="43"/>
  <c r="G15" i="43"/>
  <c r="G14" i="43"/>
  <c r="G13" i="43"/>
  <c r="G12" i="43"/>
  <c r="G10" i="43"/>
  <c r="G9" i="43"/>
  <c r="G8" i="43"/>
  <c r="G7" i="43"/>
  <c r="G6" i="43"/>
  <c r="G5" i="43"/>
  <c r="E28" i="43"/>
  <c r="E24" i="43"/>
  <c r="B23" i="43"/>
  <c r="E23" i="43" s="1"/>
  <c r="E22" i="43"/>
  <c r="E21" i="43"/>
  <c r="E20" i="43"/>
  <c r="E19" i="43"/>
  <c r="E18" i="43"/>
  <c r="E17" i="43"/>
  <c r="E16" i="43"/>
  <c r="E15" i="43"/>
  <c r="E14" i="43"/>
  <c r="E13" i="43"/>
  <c r="E12" i="43"/>
  <c r="D11" i="43"/>
  <c r="D25" i="43" s="1"/>
  <c r="B11" i="43"/>
  <c r="E10" i="43"/>
  <c r="E9" i="43"/>
  <c r="E8" i="43"/>
  <c r="E7" i="43"/>
  <c r="J6" i="43"/>
  <c r="E6" i="43"/>
  <c r="J5" i="43"/>
  <c r="E5" i="43"/>
  <c r="C90" i="46" l="1"/>
  <c r="C92" i="46" s="1"/>
  <c r="C72" i="46"/>
  <c r="C74" i="46" s="1"/>
  <c r="C5" i="42"/>
  <c r="C137" i="46"/>
  <c r="C139" i="46" s="1"/>
  <c r="C119" i="46"/>
  <c r="C121" i="46" s="1"/>
  <c r="C25" i="46"/>
  <c r="C43" i="46"/>
  <c r="G11" i="43"/>
  <c r="E11" i="43"/>
  <c r="C6" i="42"/>
  <c r="C7" i="42" s="1"/>
  <c r="G23" i="43"/>
  <c r="G25" i="43" s="1"/>
  <c r="H24" i="43" s="1"/>
  <c r="D32" i="43"/>
  <c r="J7" i="43"/>
  <c r="E29" i="43"/>
  <c r="B25" i="43"/>
  <c r="E25" i="43" s="1"/>
  <c r="E30" i="43"/>
  <c r="E31" i="43"/>
  <c r="H12" i="43" l="1"/>
  <c r="H23" i="43"/>
  <c r="H8" i="43"/>
  <c r="H19" i="43"/>
  <c r="G32" i="43"/>
  <c r="H25" i="43"/>
  <c r="H17" i="43"/>
  <c r="H18" i="43"/>
  <c r="H16" i="43"/>
  <c r="H10" i="43"/>
  <c r="H22" i="43"/>
  <c r="H14" i="43"/>
  <c r="H6" i="43"/>
  <c r="H20" i="43"/>
  <c r="H15" i="43"/>
  <c r="H9" i="43"/>
  <c r="H13" i="43"/>
  <c r="H7" i="43"/>
  <c r="H11" i="43"/>
  <c r="H21" i="43"/>
  <c r="H5" i="43"/>
  <c r="J25" i="43"/>
  <c r="K7" i="43" s="1"/>
  <c r="B32" i="43"/>
  <c r="E32" i="43" s="1"/>
  <c r="D63" i="46" l="1"/>
  <c r="D81" i="46"/>
  <c r="D128" i="46"/>
  <c r="D110" i="46"/>
  <c r="E7" i="42"/>
  <c r="E81" i="46" l="1"/>
  <c r="D85" i="46"/>
  <c r="D88" i="46"/>
  <c r="D92" i="46" s="1"/>
  <c r="E63" i="46"/>
  <c r="D67" i="46"/>
  <c r="D70" i="46"/>
  <c r="D74" i="46" s="1"/>
  <c r="D132" i="46"/>
  <c r="E128" i="46"/>
  <c r="D135" i="46"/>
  <c r="D139" i="46" s="1"/>
  <c r="E110" i="46"/>
  <c r="D114" i="46"/>
  <c r="D117" i="46"/>
  <c r="D121" i="46" s="1"/>
  <c r="E79" i="35"/>
  <c r="D79" i="35"/>
  <c r="C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D28" i="35"/>
  <c r="C29" i="35"/>
  <c r="G16" i="35"/>
  <c r="F15" i="35"/>
  <c r="E22" i="35" s="1"/>
  <c r="D14" i="35"/>
  <c r="G8" i="35"/>
  <c r="G9" i="35" s="1"/>
  <c r="F8" i="35"/>
  <c r="D7" i="35"/>
  <c r="C7" i="35" s="1"/>
  <c r="E67" i="46" l="1"/>
  <c r="E70" i="46"/>
  <c r="E74" i="46" s="1"/>
  <c r="E85" i="46"/>
  <c r="E88" i="46"/>
  <c r="E92" i="46" s="1"/>
  <c r="E114" i="46"/>
  <c r="E117" i="46"/>
  <c r="E121" i="46" s="1"/>
  <c r="E132" i="46"/>
  <c r="E135" i="46"/>
  <c r="E139" i="46" s="1"/>
  <c r="F16" i="35"/>
  <c r="F9" i="35"/>
  <c r="D15" i="35"/>
  <c r="D16" i="35" s="1"/>
  <c r="C28" i="35"/>
  <c r="E28" i="35" s="1"/>
  <c r="D8" i="35"/>
  <c r="F79" i="35"/>
  <c r="E14" i="35"/>
  <c r="E15" i="35" l="1"/>
  <c r="D22" i="35" s="1"/>
  <c r="D35" i="35" s="1"/>
  <c r="E24" i="35"/>
  <c r="C30" i="35"/>
  <c r="C31" i="35" s="1"/>
  <c r="D9" i="35"/>
  <c r="C14" i="35"/>
  <c r="E8" i="35"/>
  <c r="E9" i="35" l="1"/>
  <c r="C22" i="35"/>
  <c r="C15" i="35"/>
  <c r="C16" i="35" s="1"/>
  <c r="C23" i="35"/>
  <c r="E16" i="35"/>
  <c r="C8" i="35"/>
  <c r="C9" i="35" l="1"/>
  <c r="C24" i="35"/>
  <c r="C17" i="35"/>
  <c r="D24" i="35"/>
  <c r="D37" i="35"/>
  <c r="F31" i="31" l="1"/>
  <c r="F35" i="31" s="1"/>
  <c r="F11" i="31" s="1"/>
  <c r="A17" i="31"/>
  <c r="F13" i="31" l="1"/>
  <c r="F17" i="31" l="1"/>
  <c r="F19" i="31" s="1"/>
  <c r="F21" i="31" s="1"/>
  <c r="F23" i="31" s="1"/>
  <c r="B32" i="46" l="1"/>
  <c r="C32" i="46"/>
  <c r="C34" i="46" s="1"/>
  <c r="C14" i="46"/>
  <c r="C16" i="46" s="1"/>
  <c r="B14" i="46"/>
  <c r="D16" i="46" l="1"/>
  <c r="E16" i="46" s="1"/>
  <c r="C23" i="46"/>
  <c r="C27" i="46" s="1"/>
  <c r="D34" i="46"/>
  <c r="C41" i="46"/>
  <c r="C45" i="46" s="1"/>
  <c r="E23" i="46" l="1"/>
  <c r="E27" i="46" s="1"/>
  <c r="E20" i="46"/>
  <c r="D41" i="46"/>
  <c r="D45" i="46" s="1"/>
  <c r="D38" i="46"/>
  <c r="D20" i="46"/>
  <c r="D23" i="46"/>
  <c r="D27" i="46" s="1"/>
  <c r="E34" i="46"/>
  <c r="E41" i="46" l="1"/>
  <c r="E45" i="46" s="1"/>
  <c r="E38" i="46"/>
</calcChain>
</file>

<file path=xl/comments1.xml><?xml version="1.0" encoding="utf-8"?>
<comments xmlns="http://schemas.openxmlformats.org/spreadsheetml/2006/main">
  <authors>
    <author>Author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As corrected in post hearing DR1 Q1 attachment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As corrected in post hearing DR1 Q1 attachment</t>
        </r>
      </text>
    </comment>
  </commentList>
</comments>
</file>

<file path=xl/sharedStrings.xml><?xml version="1.0" encoding="utf-8"?>
<sst xmlns="http://schemas.openxmlformats.org/spreadsheetml/2006/main" count="361" uniqueCount="183">
  <si>
    <t>KENTUCKY UTILITIES COMPANY</t>
  </si>
  <si>
    <t>DESCRIPTION</t>
  </si>
  <si>
    <t>STATE</t>
  </si>
  <si>
    <t>LINE NO.</t>
  </si>
  <si>
    <t>$</t>
  </si>
  <si>
    <t>FEDERAL</t>
  </si>
  <si>
    <t>OPERATING REVENUE</t>
  </si>
  <si>
    <t>LESS: UNCOLLECTIBLE ACCOUNTS EXPENSE</t>
  </si>
  <si>
    <t>LESS: PSC FEES</t>
  </si>
  <si>
    <t>Calculation of Composite Federal and Kentucky</t>
  </si>
  <si>
    <t>Income Tax Rate</t>
  </si>
  <si>
    <t>(Based on Law in Effect January 1, 2018)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</si>
  <si>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</si>
  <si>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</si>
  <si>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</si>
  <si>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</si>
  <si>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</si>
  <si>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 xml:space="preserve">     c. Allocated Production Rate </t>
  </si>
  <si>
    <t>5.  Taxable income for Federal income tax (Line 3 - Line 4)</t>
  </si>
  <si>
    <t>6.  Federal income tax at 21% (Line 5 x 21%)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</si>
  <si>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</si>
  <si>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</si>
  <si>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</si>
  <si>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</si>
  <si>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</si>
  <si>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Kentucky Utilities Company</t>
  </si>
  <si>
    <t>Excess Deferred Tax Forecast</t>
  </si>
  <si>
    <t>Reg Liab before Gross Up</t>
  </si>
  <si>
    <t>Excess Deferred Amortization</t>
  </si>
  <si>
    <t>Total</t>
  </si>
  <si>
    <t>Electric</t>
  </si>
  <si>
    <t>NOL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</si>
  <si>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</si>
  <si>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</si>
  <si>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</si>
  <si>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</si>
  <si>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</si>
  <si>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</si>
  <si>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</si>
  <si>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</si>
  <si>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</si>
  <si>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KY Juris</t>
  </si>
  <si>
    <t>Jurisdictional Factor (ADIT)</t>
  </si>
  <si>
    <t>Kentucky Utilities</t>
  </si>
  <si>
    <t>Test Year Total</t>
  </si>
  <si>
    <t>Sch M-2.3/
Sch M-2.2 Totals</t>
  </si>
  <si>
    <t>Difference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</si>
  <si>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</si>
  <si>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</si>
  <si>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</si>
  <si>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</si>
  <si>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</si>
  <si>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</si>
  <si>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</si>
  <si>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</si>
  <si>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Amortization Loss on Reacquired Debt</t>
  </si>
  <si>
    <t>Bad Debts Reserves</t>
  </si>
  <si>
    <t>CAFC</t>
  </si>
  <si>
    <t>CCR ARO Ponds</t>
  </si>
  <si>
    <t>CMRG Regulatory Asset</t>
  </si>
  <si>
    <t>Contingency Reserve</t>
  </si>
  <si>
    <t>Deferred Rent Payable</t>
  </si>
  <si>
    <t>Demand Side Management</t>
  </si>
  <si>
    <t>Emission Allowances</t>
  </si>
  <si>
    <t>Environmental Cost Recovery - Current</t>
  </si>
  <si>
    <t>FAC Under Recovery KY</t>
  </si>
  <si>
    <t>FAS 106 Cost Write-Off (Post Retirement)</t>
  </si>
  <si>
    <t>FAS 112 Cost Write-Off (Post Employment)</t>
  </si>
  <si>
    <t>FAS 87 Pensions</t>
  </si>
  <si>
    <t>Green River Regulatory Asset</t>
  </si>
  <si>
    <t>Interest Rate Swaps</t>
  </si>
  <si>
    <t>Muni True-up - Reg Asset</t>
  </si>
  <si>
    <t>Off-System Sales Tracker - Reg Liab</t>
  </si>
  <si>
    <t>Over/Under Accrual FICA</t>
  </si>
  <si>
    <t>Over/Under Accrual of PSC Tax</t>
  </si>
  <si>
    <t>Over/Under Accrual of UN/INS</t>
  </si>
  <si>
    <t>Performance Incentive</t>
  </si>
  <si>
    <t xml:space="preserve">Plant Outage Normalization - Reg Liability </t>
  </si>
  <si>
    <t>Refined Coal - KY - Reg Liab</t>
  </si>
  <si>
    <t>Refined Coal - VA - Reg Liab</t>
  </si>
  <si>
    <t>Regulatory Expenses</t>
  </si>
  <si>
    <t>Research Dev. &amp; Demo Exp.</t>
  </si>
  <si>
    <t>State Tax Current</t>
  </si>
  <si>
    <t>Tenant Incentive Amortization</t>
  </si>
  <si>
    <t>VA over/under Recovery Fuel Clause - Current</t>
  </si>
  <si>
    <t>Vacation Pay</t>
  </si>
  <si>
    <t>Workers Compensation</t>
  </si>
  <si>
    <t>ENERGY BILLING UNITS (TY KWH / 12 MO x 13 MO)</t>
  </si>
  <si>
    <t>AMORTIZATION OF EXCESS ADIT (UNPROTECTED) - (SL OVER 15 YEARS)</t>
  </si>
  <si>
    <t>BASE RATES</t>
  </si>
  <si>
    <t>MECHANISMS</t>
  </si>
  <si>
    <t>DSM</t>
  </si>
  <si>
    <t>4 Months 2019</t>
  </si>
  <si>
    <t>16 Month Period</t>
  </si>
  <si>
    <t>Protected Deferreds under ARAM</t>
  </si>
  <si>
    <t>Electric - Base</t>
  </si>
  <si>
    <t>Mechanisms</t>
  </si>
  <si>
    <t>TOTAL MONTHLY REDUCTION IN REVENUE REQUIREMENTS (11 / 16 MO)</t>
  </si>
  <si>
    <t>ENERGY BILLING UNITS PER MONTH (TY KWH / 12 MO)</t>
  </si>
  <si>
    <t>RATE PER MONTH CALCULATIONS:</t>
  </si>
  <si>
    <t>% of Total</t>
  </si>
  <si>
    <t>Based on Rates per June 29, 2017 Order</t>
  </si>
  <si>
    <t>Rates RS, RTOD-D, RTOD-E</t>
  </si>
  <si>
    <t>All Other Rates</t>
  </si>
  <si>
    <t>Total kWh</t>
  </si>
  <si>
    <t>PAGE 7 OF 7</t>
  </si>
  <si>
    <t>Per PSC Order (6/29/17)</t>
  </si>
  <si>
    <t>Forecasted Test Year Revenues</t>
  </si>
  <si>
    <t>Increase</t>
  </si>
  <si>
    <t>Percentage Increase</t>
  </si>
  <si>
    <t>Tariffed Revenues:</t>
  </si>
  <si>
    <t>Residential Service - RS</t>
  </si>
  <si>
    <t>Residential Time-of-Day Rate - RTOD</t>
  </si>
  <si>
    <t>General Service Rate</t>
  </si>
  <si>
    <t>All Electric School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</si>
  <si>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</si>
  <si>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</si>
  <si>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</si>
  <si>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</si>
  <si>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</si>
  <si>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</si>
  <si>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</si>
  <si>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 - RTS</t>
  </si>
  <si>
    <t>Curtailable Service Rider - TODP</t>
  </si>
  <si>
    <t>Curtailable Service Riders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</si>
  <si>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</si>
  <si>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</si>
  <si>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</si>
  <si>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</si>
  <si>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</si>
  <si>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</si>
  <si>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</si>
  <si>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</si>
  <si>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</si>
  <si>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</si>
  <si>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</si>
  <si>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</si>
  <si>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Sales</t>
  </si>
  <si>
    <t>Percent of Total</t>
  </si>
  <si>
    <t>Forecasted Test Year Data per KPSC's June 29, 2017 Order</t>
  </si>
  <si>
    <t>OTHER TARIFFS (61% OF TOTAL REVENUES)</t>
  </si>
  <si>
    <t>RESIDENTIAL TARIFF            (39% OF TOTAL REVENUES)</t>
  </si>
  <si>
    <t>Total Revenues per Updated Final Order</t>
  </si>
  <si>
    <t>(15 year amort for unprotected - Base)</t>
  </si>
  <si>
    <t>CASE NO. 2018-00034</t>
  </si>
  <si>
    <t>EXHIBIT KWB-4</t>
  </si>
  <si>
    <t>MONTHLY ENERGY CREDIT PER KWH  (14 / 15)</t>
  </si>
  <si>
    <t>Less CCR</t>
  </si>
  <si>
    <t>Unprotected Base</t>
  </si>
  <si>
    <t>16 Month Amort</t>
  </si>
  <si>
    <t>Yearly Amort (5 yr)</t>
  </si>
  <si>
    <t>check digit</t>
  </si>
  <si>
    <t>ATTACHMENT TO RESPONSE TO PSC-3 QUESTION NO. 8</t>
  </si>
  <si>
    <t>UNPROTECTED EXCESS ADIT</t>
  </si>
  <si>
    <t>(1)               REVENUE REQUIREMENT IMPACT</t>
  </si>
  <si>
    <t>(2) SURCREDIT IMPACT</t>
  </si>
  <si>
    <t>TOTAL REDUCTION IN REVENUE REQUIREMENTS (LINE 1 x LINE 2)</t>
  </si>
  <si>
    <t>ENERGY CREDIT PER KWH (APRIL 1, 2018 - APRIL 30, 2019) (LINE 3 / LINE 4)</t>
  </si>
  <si>
    <t>METHOD: OFFER AND ACCEPTANCE OF SATISFACTION</t>
  </si>
  <si>
    <t>15-YEAR AMORTIZATION PERIOD:</t>
  </si>
  <si>
    <t>5-YEAR AMORTIZATION PERIOD:</t>
  </si>
  <si>
    <t>TOTAL MONTHLY REDUCTION IN REVENUE REQUIREMENTS (LINE 3 / 16 MO)</t>
  </si>
  <si>
    <t>MONTHLY ENERGY CREDIT PER KWH  (LINE 6 / LINE 7)</t>
  </si>
  <si>
    <t>AMORTIZATION OF EXCESS ADIT (UNPROTECTED) - (SL OVER 5 YEARS)</t>
  </si>
  <si>
    <t>EXHIBIT KWB-3</t>
  </si>
  <si>
    <t>PAGE 2 OF 5</t>
  </si>
  <si>
    <t>COMPUTATION OF COMPOSITE FEDERAL AND STATE INCOME TAX RATE</t>
  </si>
  <si>
    <t>INCOME BEFORE STATE INCOME TAX (LINES 1 - 2 - 3)</t>
  </si>
  <si>
    <t>STATE INCOME TAX (LINE 4 X 6.00%)</t>
  </si>
  <si>
    <t>INCOME BEFORE FEDERAL INCOME TAX (LINES 4 - 5)</t>
  </si>
  <si>
    <t>FEDERAL INCOME TAX (LINE 6 X 21.00%)</t>
  </si>
  <si>
    <t>TOTAL STATE AND FEDERAL INCOME TAXES (LINES 5 + 7)</t>
  </si>
  <si>
    <t>(1)</t>
  </si>
  <si>
    <t>Effective tax rate reflects 21% Federal and 6% State Income Tax rates.</t>
  </si>
  <si>
    <t>Effective tax rate reflects 21% Federal and 6% State Income Tax rates, and tax rate impacts of PSC Assessment and Uncollectible rates.</t>
  </si>
  <si>
    <t>METHOD: COMMISSION'S MARCH 20, 2018 ORDER (PER COMPANY REVISION)</t>
  </si>
  <si>
    <t>PAGE 1 OF 9</t>
  </si>
  <si>
    <t>METHOD: COMMISSION'S MARCH 20, 2018 ORDER (PER ORDER)</t>
  </si>
  <si>
    <t>GROSS-UP FACTOR (1)</t>
  </si>
  <si>
    <t>PAGE 2 OF 9</t>
  </si>
  <si>
    <t>PAGE 3 OF 9</t>
  </si>
  <si>
    <t>Appendix C, Line No. 13 calculated by dividing Line No. 15 by Line No. 12 (16,555,354 / 12,310,807).</t>
  </si>
  <si>
    <t>BASED ON 21% FEDERAL INCOME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</si>
</sst>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[$-409]mmm\-yy;@"/>
    <numFmt numFmtId="175" formatCode="_([$€-2]* #,##0.00_);_([$€-2]* \(#,##0.00\);_([$€-2]* &quot;-&quot;??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0_);\(0\)"/>
    <numFmt numFmtId="182" formatCode="0.000000%"/>
    <numFmt numFmtId="183" formatCode="&quot;$&quot;#,##0.00"/>
    <numFmt numFmtId="184" formatCode="###,000"/>
    <numFmt numFmtId="185" formatCode="#,##0.00\ &quot;DM&quot;;[Red]\-#,##0.00\ &quot;DM&quot;"/>
    <numFmt numFmtId="186" formatCode="#,##0.000_);\(#,##0.000\)"/>
    <numFmt numFmtId="187" formatCode="_(&quot;$&quot;* #,##0_);_(&quot;$&quot;* \(#,##0\);_(&quot;$&quot;* &quot;-&quot;??_);_(@_)"/>
    <numFmt numFmtId="188" formatCode="0.0000%"/>
    <numFmt numFmtId="189" formatCode="_(&quot;$&quot;* #,##0.0000_);_(&quot;$&quot;* \(#,##0.0000\);_(&quot;$&quot;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0.0%"/>
    <numFmt numFmtId="193" formatCode="0.00000000%"/>
    <numFmt numFmtId="194" formatCode="0.000000000%"/>
  </numFmts>
  <fonts count="1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Accounting"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  <font>
      <u val="singleAccounting"/>
      <sz val="10"/>
      <color rgb="FF000000"/>
      <name val="Arial"/>
      <family val="2"/>
    </font>
    <font>
      <b/>
      <u val="doubleAccounting"/>
      <sz val="10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9847407452621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656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37" fontId="17" fillId="0" borderId="0"/>
    <xf numFmtId="0" fontId="10" fillId="15" borderId="0"/>
    <xf numFmtId="0" fontId="10" fillId="15" borderId="0"/>
    <xf numFmtId="165" fontId="10" fillId="0" borderId="0"/>
    <xf numFmtId="165" fontId="1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8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8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8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9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21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0" fontId="20" fillId="25" borderId="0" applyNumberFormat="0" applyBorder="0" applyAlignment="0" applyProtection="0"/>
    <xf numFmtId="166" fontId="21" fillId="17" borderId="0" applyNumberFormat="0" applyBorder="0" applyAlignment="0" applyProtection="0"/>
    <xf numFmtId="166" fontId="21" fillId="17" borderId="0" applyNumberFormat="0" applyBorder="0" applyAlignment="0" applyProtection="0"/>
    <xf numFmtId="166" fontId="21" fillId="17" borderId="0" applyNumberFormat="0" applyBorder="0" applyAlignment="0" applyProtection="0"/>
    <xf numFmtId="0" fontId="20" fillId="26" borderId="0" applyNumberFormat="0" applyBorder="0" applyAlignment="0" applyProtection="0"/>
    <xf numFmtId="166" fontId="21" fillId="27" borderId="0" applyNumberFormat="0" applyBorder="0" applyAlignment="0" applyProtection="0"/>
    <xf numFmtId="166" fontId="21" fillId="27" borderId="0" applyNumberFormat="0" applyBorder="0" applyAlignment="0" applyProtection="0"/>
    <xf numFmtId="166" fontId="21" fillId="27" borderId="0" applyNumberFormat="0" applyBorder="0" applyAlignment="0" applyProtection="0"/>
    <xf numFmtId="0" fontId="20" fillId="23" borderId="0" applyNumberFormat="0" applyBorder="0" applyAlignment="0" applyProtection="0"/>
    <xf numFmtId="166" fontId="21" fillId="19" borderId="0" applyNumberFormat="0" applyBorder="0" applyAlignment="0" applyProtection="0"/>
    <xf numFmtId="166" fontId="21" fillId="19" borderId="0" applyNumberFormat="0" applyBorder="0" applyAlignment="0" applyProtection="0"/>
    <xf numFmtId="166" fontId="21" fillId="19" borderId="0" applyNumberFormat="0" applyBorder="0" applyAlignment="0" applyProtection="0"/>
    <xf numFmtId="0" fontId="20" fillId="21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0" fontId="20" fillId="17" borderId="0" applyNumberFormat="0" applyBorder="0" applyAlignment="0" applyProtection="0"/>
    <xf numFmtId="166" fontId="21" fillId="20" borderId="0" applyNumberFormat="0" applyBorder="0" applyAlignment="0" applyProtection="0"/>
    <xf numFmtId="166" fontId="21" fillId="20" borderId="0" applyNumberFormat="0" applyBorder="0" applyAlignment="0" applyProtection="0"/>
    <xf numFmtId="166" fontId="21" fillId="20" borderId="0" applyNumberFormat="0" applyBorder="0" applyAlignment="0" applyProtection="0"/>
    <xf numFmtId="0" fontId="20" fillId="28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0" fontId="20" fillId="25" borderId="0" applyNumberFormat="0" applyBorder="0" applyAlignment="0" applyProtection="0"/>
    <xf numFmtId="166" fontId="21" fillId="30" borderId="0" applyNumberFormat="0" applyBorder="0" applyAlignment="0" applyProtection="0"/>
    <xf numFmtId="166" fontId="21" fillId="30" borderId="0" applyNumberFormat="0" applyBorder="0" applyAlignment="0" applyProtection="0"/>
    <xf numFmtId="166" fontId="21" fillId="30" borderId="0" applyNumberFormat="0" applyBorder="0" applyAlignment="0" applyProtection="0"/>
    <xf numFmtId="0" fontId="20" fillId="26" borderId="0" applyNumberFormat="0" applyBorder="0" applyAlignment="0" applyProtection="0"/>
    <xf numFmtId="166" fontId="21" fillId="31" borderId="0" applyNumberFormat="0" applyBorder="0" applyAlignment="0" applyProtection="0"/>
    <xf numFmtId="166" fontId="21" fillId="31" borderId="0" applyNumberFormat="0" applyBorder="0" applyAlignment="0" applyProtection="0"/>
    <xf numFmtId="166" fontId="21" fillId="31" borderId="0" applyNumberFormat="0" applyBorder="0" applyAlignment="0" applyProtection="0"/>
    <xf numFmtId="0" fontId="20" fillId="32" borderId="0" applyNumberFormat="0" applyBorder="0" applyAlignment="0" applyProtection="0"/>
    <xf numFmtId="166" fontId="21" fillId="32" borderId="0" applyNumberFormat="0" applyBorder="0" applyAlignment="0" applyProtection="0"/>
    <xf numFmtId="166" fontId="21" fillId="32" borderId="0" applyNumberFormat="0" applyBorder="0" applyAlignment="0" applyProtection="0"/>
    <xf numFmtId="166" fontId="21" fillId="32" borderId="0" applyNumberFormat="0" applyBorder="0" applyAlignment="0" applyProtection="0"/>
    <xf numFmtId="0" fontId="20" fillId="29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0" fontId="20" fillId="30" borderId="0" applyNumberFormat="0" applyBorder="0" applyAlignment="0" applyProtection="0"/>
    <xf numFmtId="166" fontId="21" fillId="25" borderId="0" applyNumberFormat="0" applyBorder="0" applyAlignment="0" applyProtection="0"/>
    <xf numFmtId="166" fontId="21" fillId="25" borderId="0" applyNumberFormat="0" applyBorder="0" applyAlignment="0" applyProtection="0"/>
    <xf numFmtId="166" fontId="21" fillId="25" borderId="0" applyNumberFormat="0" applyBorder="0" applyAlignment="0" applyProtection="0"/>
    <xf numFmtId="0" fontId="22" fillId="33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166" fontId="25" fillId="35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166" fontId="25" fillId="35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166" fontId="25" fillId="35" borderId="8" applyNumberFormat="0" applyAlignment="0" applyProtection="0"/>
    <xf numFmtId="0" fontId="24" fillId="34" borderId="8" applyNumberFormat="0" applyAlignment="0" applyProtection="0"/>
    <xf numFmtId="166" fontId="25" fillId="35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6" fillId="36" borderId="9" applyNumberFormat="0" applyAlignment="0" applyProtection="0"/>
    <xf numFmtId="166" fontId="27" fillId="36" borderId="9" applyNumberFormat="0" applyAlignment="0" applyProtection="0"/>
    <xf numFmtId="166" fontId="27" fillId="36" borderId="9" applyNumberFormat="0" applyAlignment="0" applyProtection="0"/>
    <xf numFmtId="167" fontId="28" fillId="0" borderId="10" applyBorder="0">
      <alignment horizontal="center" vertical="center"/>
    </xf>
    <xf numFmtId="168" fontId="27" fillId="37" borderId="0">
      <alignment horizontal="left"/>
    </xf>
    <xf numFmtId="0" fontId="27" fillId="37" borderId="0">
      <alignment horizontal="left"/>
    </xf>
    <xf numFmtId="166" fontId="27" fillId="37" borderId="0">
      <alignment horizontal="left"/>
    </xf>
    <xf numFmtId="168" fontId="29" fillId="37" borderId="0">
      <alignment horizontal="right"/>
    </xf>
    <xf numFmtId="0" fontId="29" fillId="37" borderId="0">
      <alignment horizontal="right"/>
    </xf>
    <xf numFmtId="166" fontId="29" fillId="37" borderId="0">
      <alignment horizontal="right"/>
    </xf>
    <xf numFmtId="168" fontId="30" fillId="34" borderId="0">
      <alignment horizontal="center"/>
    </xf>
    <xf numFmtId="0" fontId="30" fillId="34" borderId="0">
      <alignment horizontal="center"/>
    </xf>
    <xf numFmtId="166" fontId="30" fillId="34" borderId="0">
      <alignment horizontal="center"/>
    </xf>
    <xf numFmtId="168" fontId="29" fillId="37" borderId="0">
      <alignment horizontal="right"/>
    </xf>
    <xf numFmtId="0" fontId="29" fillId="37" borderId="0">
      <alignment horizontal="right"/>
    </xf>
    <xf numFmtId="166" fontId="29" fillId="37" borderId="0">
      <alignment horizontal="right"/>
    </xf>
    <xf numFmtId="168" fontId="31" fillId="34" borderId="0">
      <alignment horizontal="left"/>
    </xf>
    <xf numFmtId="0" fontId="31" fillId="34" borderId="0">
      <alignment horizontal="left"/>
    </xf>
    <xf numFmtId="166" fontId="31" fillId="34" borderId="0">
      <alignment horizontal="left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37" fontId="10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38" borderId="11" applyNumberFormat="0" applyFont="0" applyAlignment="0">
      <protection locked="0"/>
    </xf>
    <xf numFmtId="0" fontId="10" fillId="38" borderId="11" applyNumberFormat="0" applyFont="0" applyAlignment="0">
      <protection locked="0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9" fillId="0" borderId="0" applyProtection="0"/>
    <xf numFmtId="166" fontId="9" fillId="0" borderId="0" applyProtection="0"/>
    <xf numFmtId="0" fontId="37" fillId="0" borderId="0" applyProtection="0"/>
    <xf numFmtId="166" fontId="37" fillId="0" borderId="0" applyProtection="0"/>
    <xf numFmtId="0" fontId="38" fillId="0" borderId="0" applyProtection="0"/>
    <xf numFmtId="166" fontId="38" fillId="0" borderId="0" applyProtection="0"/>
    <xf numFmtId="0" fontId="8" fillId="0" borderId="0" applyProtection="0"/>
    <xf numFmtId="166" fontId="8" fillId="0" borderId="0" applyProtection="0"/>
    <xf numFmtId="166" fontId="8" fillId="0" borderId="0" applyProtection="0"/>
    <xf numFmtId="0" fontId="10" fillId="0" borderId="0" applyProtection="0"/>
    <xf numFmtId="0" fontId="10" fillId="0" borderId="0" applyProtection="0"/>
    <xf numFmtId="166" fontId="10" fillId="0" borderId="0" applyProtection="0"/>
    <xf numFmtId="166" fontId="10" fillId="0" borderId="0" applyProtection="0"/>
    <xf numFmtId="0" fontId="9" fillId="0" borderId="0" applyProtection="0"/>
    <xf numFmtId="166" fontId="9" fillId="0" borderId="0" applyProtection="0"/>
    <xf numFmtId="0" fontId="39" fillId="0" borderId="0" applyProtection="0"/>
    <xf numFmtId="166" fontId="39" fillId="0" borderId="0" applyProtection="0"/>
    <xf numFmtId="2" fontId="15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0" fillId="21" borderId="0" applyNumberFormat="0" applyBorder="0" applyAlignment="0" applyProtection="0"/>
    <xf numFmtId="166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41" fillId="0" borderId="12" applyNumberFormat="0" applyFill="0" applyAlignment="0" applyProtection="0"/>
    <xf numFmtId="166" fontId="42" fillId="0" borderId="13" applyNumberFormat="0" applyFill="0" applyAlignment="0" applyProtection="0"/>
    <xf numFmtId="0" fontId="12" fillId="0" borderId="4" applyNumberFormat="0" applyFill="0" applyAlignment="0" applyProtection="0"/>
    <xf numFmtId="166" fontId="42" fillId="0" borderId="13" applyNumberFormat="0" applyFill="0" applyAlignment="0" applyProtection="0"/>
    <xf numFmtId="0" fontId="43" fillId="0" borderId="14" applyNumberFormat="0" applyFill="0" applyAlignment="0" applyProtection="0"/>
    <xf numFmtId="166" fontId="44" fillId="0" borderId="15" applyNumberFormat="0" applyFill="0" applyAlignment="0" applyProtection="0"/>
    <xf numFmtId="0" fontId="13" fillId="0" borderId="5" applyNumberFormat="0" applyFill="0" applyAlignment="0" applyProtection="0"/>
    <xf numFmtId="166" fontId="44" fillId="0" borderId="15" applyNumberFormat="0" applyFill="0" applyAlignment="0" applyProtection="0"/>
    <xf numFmtId="0" fontId="45" fillId="0" borderId="16" applyNumberFormat="0" applyFill="0" applyAlignment="0" applyProtection="0"/>
    <xf numFmtId="166" fontId="46" fillId="0" borderId="17" applyNumberFormat="0" applyFill="0" applyAlignment="0" applyProtection="0"/>
    <xf numFmtId="166" fontId="46" fillId="0" borderId="17" applyNumberFormat="0" applyFill="0" applyAlignment="0" applyProtection="0"/>
    <xf numFmtId="166" fontId="46" fillId="0" borderId="17" applyNumberFormat="0" applyFill="0" applyAlignment="0" applyProtection="0"/>
    <xf numFmtId="166" fontId="46" fillId="0" borderId="17" applyNumberFormat="0" applyFill="0" applyAlignment="0" applyProtection="0"/>
    <xf numFmtId="166" fontId="46" fillId="0" borderId="17" applyNumberFormat="0" applyFill="0" applyAlignment="0" applyProtection="0"/>
    <xf numFmtId="0" fontId="45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8" fontId="47" fillId="0" borderId="0" applyNumberFormat="0" applyFill="0" applyBorder="0" applyAlignment="0" applyProtection="0">
      <alignment vertical="top"/>
      <protection locked="0"/>
    </xf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166" fontId="49" fillId="20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166" fontId="49" fillId="20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166" fontId="49" fillId="20" borderId="8" applyNumberFormat="0" applyAlignment="0" applyProtection="0"/>
    <xf numFmtId="0" fontId="48" fillId="22" borderId="8" applyNumberFormat="0" applyAlignment="0" applyProtection="0"/>
    <xf numFmtId="166" fontId="49" fillId="20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168" fontId="27" fillId="37" borderId="0">
      <alignment horizontal="left"/>
    </xf>
    <xf numFmtId="0" fontId="27" fillId="37" borderId="0">
      <alignment horizontal="left"/>
    </xf>
    <xf numFmtId="166" fontId="27" fillId="37" borderId="0">
      <alignment horizontal="left"/>
    </xf>
    <xf numFmtId="168" fontId="50" fillId="34" borderId="0">
      <alignment horizontal="left"/>
    </xf>
    <xf numFmtId="0" fontId="50" fillId="34" borderId="0">
      <alignment horizontal="left"/>
    </xf>
    <xf numFmtId="0" fontId="50" fillId="34" borderId="0">
      <alignment horizontal="left"/>
    </xf>
    <xf numFmtId="166" fontId="50" fillId="34" borderId="0">
      <alignment horizontal="left"/>
    </xf>
    <xf numFmtId="0" fontId="51" fillId="0" borderId="18" applyNumberFormat="0" applyFill="0" applyAlignment="0" applyProtection="0"/>
    <xf numFmtId="166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3" fillId="22" borderId="0" applyNumberFormat="0" applyBorder="0" applyAlignment="0" applyProtection="0"/>
    <xf numFmtId="166" fontId="54" fillId="22" borderId="0" applyNumberFormat="0" applyBorder="0" applyAlignment="0" applyProtection="0"/>
    <xf numFmtId="166" fontId="54" fillId="22" borderId="0" applyNumberFormat="0" applyBorder="0" applyAlignment="0" applyProtection="0"/>
    <xf numFmtId="168" fontId="10" fillId="0" borderId="0"/>
    <xf numFmtId="0" fontId="10" fillId="0" borderId="0"/>
    <xf numFmtId="166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166" fontId="10" fillId="0" borderId="0"/>
    <xf numFmtId="165" fontId="10" fillId="0" borderId="0"/>
    <xf numFmtId="165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6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166" fontId="10" fillId="0" borderId="0"/>
    <xf numFmtId="0" fontId="10" fillId="0" borderId="0"/>
    <xf numFmtId="0" fontId="19" fillId="0" borderId="0"/>
    <xf numFmtId="171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171" fontId="10" fillId="0" borderId="0"/>
    <xf numFmtId="0" fontId="7" fillId="0" borderId="0"/>
    <xf numFmtId="0" fontId="10" fillId="0" borderId="0"/>
    <xf numFmtId="171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166" fontId="10" fillId="0" borderId="0"/>
    <xf numFmtId="37" fontId="37" fillId="0" borderId="0"/>
    <xf numFmtId="0" fontId="7" fillId="0" borderId="0"/>
    <xf numFmtId="0" fontId="7" fillId="0" borderId="0"/>
    <xf numFmtId="0" fontId="33" fillId="0" borderId="0"/>
    <xf numFmtId="37" fontId="17" fillId="0" borderId="0"/>
    <xf numFmtId="168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0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7" fillId="0" borderId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7" fillId="0" borderId="0"/>
    <xf numFmtId="0" fontId="7" fillId="0" borderId="0"/>
    <xf numFmtId="0" fontId="7" fillId="0" borderId="0"/>
    <xf numFmtId="172" fontId="57" fillId="34" borderId="0">
      <alignment horizontal="right"/>
    </xf>
    <xf numFmtId="40" fontId="58" fillId="40" borderId="0">
      <alignment horizontal="right"/>
    </xf>
    <xf numFmtId="4" fontId="57" fillId="40" borderId="0">
      <alignment horizontal="right"/>
    </xf>
    <xf numFmtId="0" fontId="7" fillId="0" borderId="0"/>
    <xf numFmtId="40" fontId="58" fillId="40" borderId="0">
      <alignment horizontal="right"/>
    </xf>
    <xf numFmtId="168" fontId="59" fillId="41" borderId="0">
      <alignment horizontal="center"/>
    </xf>
    <xf numFmtId="0" fontId="60" fillId="40" borderId="0">
      <alignment horizontal="right"/>
    </xf>
    <xf numFmtId="0" fontId="7" fillId="0" borderId="0"/>
    <xf numFmtId="0" fontId="59" fillId="40" borderId="0">
      <alignment horizontal="center" vertical="center"/>
    </xf>
    <xf numFmtId="0" fontId="7" fillId="0" borderId="0"/>
    <xf numFmtId="0" fontId="60" fillId="40" borderId="0">
      <alignment horizontal="right"/>
    </xf>
    <xf numFmtId="168" fontId="27" fillId="42" borderId="0"/>
    <xf numFmtId="0" fontId="61" fillId="40" borderId="10"/>
    <xf numFmtId="0" fontId="50" fillId="40" borderId="10"/>
    <xf numFmtId="0" fontId="7" fillId="0" borderId="0"/>
    <xf numFmtId="0" fontId="50" fillId="40" borderId="10"/>
    <xf numFmtId="0" fontId="7" fillId="0" borderId="0"/>
    <xf numFmtId="0" fontId="61" fillId="40" borderId="10"/>
    <xf numFmtId="168" fontId="62" fillId="34" borderId="0" applyBorder="0">
      <alignment horizontal="centerContinuous"/>
    </xf>
    <xf numFmtId="0" fontId="61" fillId="0" borderId="0" applyBorder="0">
      <alignment horizontal="centerContinuous"/>
    </xf>
    <xf numFmtId="0" fontId="7" fillId="0" borderId="0"/>
    <xf numFmtId="0" fontId="59" fillId="40" borderId="0" applyBorder="0">
      <alignment horizontal="centerContinuous"/>
    </xf>
    <xf numFmtId="0" fontId="7" fillId="0" borderId="0"/>
    <xf numFmtId="0" fontId="61" fillId="0" borderId="0" applyBorder="0">
      <alignment horizontal="centerContinuous"/>
    </xf>
    <xf numFmtId="168" fontId="63" fillId="42" borderId="0" applyBorder="0">
      <alignment horizontal="centerContinuous"/>
    </xf>
    <xf numFmtId="0" fontId="64" fillId="0" borderId="0" applyBorder="0">
      <alignment horizontal="centerContinuous"/>
    </xf>
    <xf numFmtId="0" fontId="7" fillId="0" borderId="0"/>
    <xf numFmtId="0" fontId="65" fillId="40" borderId="0" applyBorder="0">
      <alignment horizontal="centerContinuous"/>
    </xf>
    <xf numFmtId="0" fontId="7" fillId="0" borderId="0"/>
    <xf numFmtId="0" fontId="64" fillId="0" borderId="0" applyBorder="0">
      <alignment horizontal="centerContinuous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7" fillId="0" borderId="3">
      <alignment horizontal="center"/>
    </xf>
    <xf numFmtId="3" fontId="66" fillId="0" borderId="0" applyFont="0" applyFill="0" applyBorder="0" applyAlignment="0" applyProtection="0"/>
    <xf numFmtId="0" fontId="66" fillId="43" borderId="0" applyNumberFormat="0" applyFont="0" applyBorder="0" applyAlignment="0" applyProtection="0"/>
    <xf numFmtId="168" fontId="50" fillId="22" borderId="0">
      <alignment horizontal="center"/>
    </xf>
    <xf numFmtId="0" fontId="50" fillId="22" borderId="0">
      <alignment horizontal="center"/>
    </xf>
    <xf numFmtId="0" fontId="50" fillId="22" borderId="0">
      <alignment horizontal="center"/>
    </xf>
    <xf numFmtId="0" fontId="7" fillId="0" borderId="0"/>
    <xf numFmtId="49" fontId="68" fillId="34" borderId="0">
      <alignment horizontal="center"/>
    </xf>
    <xf numFmtId="0" fontId="7" fillId="0" borderId="0"/>
    <xf numFmtId="168" fontId="29" fillId="37" borderId="0">
      <alignment horizontal="center"/>
    </xf>
    <xf numFmtId="0" fontId="29" fillId="37" borderId="0">
      <alignment horizontal="center"/>
    </xf>
    <xf numFmtId="0" fontId="7" fillId="0" borderId="0"/>
    <xf numFmtId="168" fontId="29" fillId="37" borderId="0">
      <alignment horizontal="centerContinuous"/>
    </xf>
    <xf numFmtId="0" fontId="29" fillId="37" borderId="0">
      <alignment horizontal="centerContinuous"/>
    </xf>
    <xf numFmtId="0" fontId="7" fillId="0" borderId="0"/>
    <xf numFmtId="168" fontId="69" fillId="34" borderId="0">
      <alignment horizontal="left"/>
    </xf>
    <xf numFmtId="0" fontId="69" fillId="34" borderId="0">
      <alignment horizontal="left"/>
    </xf>
    <xf numFmtId="0" fontId="7" fillId="0" borderId="0"/>
    <xf numFmtId="49" fontId="69" fillId="34" borderId="0">
      <alignment horizontal="center"/>
    </xf>
    <xf numFmtId="0" fontId="7" fillId="0" borderId="0"/>
    <xf numFmtId="168" fontId="27" fillId="37" borderId="0">
      <alignment horizontal="left"/>
    </xf>
    <xf numFmtId="0" fontId="27" fillId="37" borderId="0">
      <alignment horizontal="left"/>
    </xf>
    <xf numFmtId="0" fontId="7" fillId="0" borderId="0"/>
    <xf numFmtId="49" fontId="69" fillId="34" borderId="0">
      <alignment horizontal="left"/>
    </xf>
    <xf numFmtId="0" fontId="7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7" fillId="0" borderId="0"/>
    <xf numFmtId="168" fontId="27" fillId="37" borderId="0">
      <alignment horizontal="right"/>
    </xf>
    <xf numFmtId="0" fontId="27" fillId="37" borderId="0">
      <alignment horizontal="right"/>
    </xf>
    <xf numFmtId="0" fontId="7" fillId="0" borderId="0"/>
    <xf numFmtId="49" fontId="50" fillId="34" borderId="0">
      <alignment horizontal="left"/>
    </xf>
    <xf numFmtId="49" fontId="50" fillId="34" borderId="0">
      <alignment horizontal="left"/>
    </xf>
    <xf numFmtId="0" fontId="7" fillId="0" borderId="0"/>
    <xf numFmtId="168" fontId="29" fillId="37" borderId="0">
      <alignment horizontal="right"/>
    </xf>
    <xf numFmtId="0" fontId="29" fillId="37" borderId="0">
      <alignment horizontal="right"/>
    </xf>
    <xf numFmtId="0" fontId="7" fillId="0" borderId="0"/>
    <xf numFmtId="168" fontId="69" fillId="20" borderId="0">
      <alignment horizontal="center"/>
    </xf>
    <xf numFmtId="0" fontId="69" fillId="20" borderId="0">
      <alignment horizontal="center"/>
    </xf>
    <xf numFmtId="0" fontId="7" fillId="0" borderId="0"/>
    <xf numFmtId="168" fontId="70" fillId="20" borderId="0">
      <alignment horizontal="center"/>
    </xf>
    <xf numFmtId="0" fontId="70" fillId="20" borderId="0">
      <alignment horizontal="center"/>
    </xf>
    <xf numFmtId="0" fontId="7" fillId="0" borderId="0"/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4" fontId="9" fillId="42" borderId="0" applyNumberFormat="0" applyProtection="0">
      <alignment horizontal="left" vertical="center" indent="1"/>
    </xf>
    <xf numFmtId="4" fontId="9" fillId="42" borderId="0" applyNumberFormat="0" applyProtection="0">
      <alignment horizontal="left" vertical="center" indent="1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68" fillId="50" borderId="0" applyNumberFormat="0" applyProtection="0">
      <alignment horizontal="left" vertical="center" indent="1"/>
    </xf>
    <xf numFmtId="4" fontId="68" fillId="50" borderId="0" applyNumberFormat="0" applyProtection="0">
      <alignment horizontal="left" vertical="center" indent="1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4" fontId="74" fillId="0" borderId="0" applyNumberFormat="0" applyProtection="0">
      <alignment horizontal="left" vertical="center" indent="1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 applyNumberFormat="0" applyFill="0" applyBorder="0" applyAlignment="0" applyProtection="0"/>
    <xf numFmtId="0" fontId="7" fillId="0" borderId="0"/>
    <xf numFmtId="0" fontId="7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" fillId="0" borderId="0"/>
    <xf numFmtId="0" fontId="14" fillId="0" borderId="7" applyNumberFormat="0" applyFill="0" applyAlignment="0" applyProtection="0"/>
    <xf numFmtId="0" fontId="7" fillId="0" borderId="0"/>
    <xf numFmtId="0" fontId="7" fillId="0" borderId="0"/>
    <xf numFmtId="0" fontId="17" fillId="0" borderId="0"/>
    <xf numFmtId="168" fontId="77" fillId="34" borderId="0">
      <alignment horizontal="center"/>
    </xf>
    <xf numFmtId="0" fontId="77" fillId="34" borderId="0">
      <alignment horizontal="center"/>
    </xf>
    <xf numFmtId="0" fontId="7" fillId="0" borderId="0"/>
    <xf numFmtId="0" fontId="5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7" fillId="0" borderId="0" applyFont="0" applyFill="0" applyBorder="0" applyAlignment="0" applyProtection="0"/>
    <xf numFmtId="165" fontId="10" fillId="0" borderId="0"/>
    <xf numFmtId="165" fontId="10" fillId="0" borderId="0"/>
    <xf numFmtId="0" fontId="10" fillId="0" borderId="0"/>
    <xf numFmtId="0" fontId="18" fillId="71" borderId="0" applyNumberFormat="0" applyBorder="0" applyAlignment="0" applyProtection="0"/>
    <xf numFmtId="174" fontId="19" fillId="3" borderId="0" applyNumberFormat="0" applyBorder="0" applyAlignment="0" applyProtection="0"/>
    <xf numFmtId="174" fontId="19" fillId="3" borderId="0" applyNumberFormat="0" applyBorder="0" applyAlignment="0" applyProtection="0"/>
    <xf numFmtId="0" fontId="18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3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0" fontId="18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39" borderId="0" applyNumberFormat="0" applyBorder="0" applyAlignment="0" applyProtection="0"/>
    <xf numFmtId="174" fontId="19" fillId="7" borderId="0" applyNumberFormat="0" applyBorder="0" applyAlignment="0" applyProtection="0"/>
    <xf numFmtId="174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74" fontId="19" fillId="9" borderId="0" applyNumberFormat="0" applyBorder="0" applyAlignment="0" applyProtection="0"/>
    <xf numFmtId="174" fontId="19" fillId="9" borderId="0" applyNumberFormat="0" applyBorder="0" applyAlignment="0" applyProtection="0"/>
    <xf numFmtId="0" fontId="18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18" fillId="21" borderId="0" applyNumberFormat="0" applyBorder="0" applyAlignment="0" applyProtection="0"/>
    <xf numFmtId="174" fontId="19" fillId="11" borderId="0" applyNumberFormat="0" applyBorder="0" applyAlignment="0" applyProtection="0"/>
    <xf numFmtId="174" fontId="19" fillId="11" borderId="0" applyNumberFormat="0" applyBorder="0" applyAlignment="0" applyProtection="0"/>
    <xf numFmtId="0" fontId="18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8" fillId="20" borderId="0" applyNumberFormat="0" applyBorder="0" applyAlignment="0" applyProtection="0"/>
    <xf numFmtId="174" fontId="19" fillId="13" borderId="0" applyNumberFormat="0" applyBorder="0" applyAlignment="0" applyProtection="0"/>
    <xf numFmtId="174" fontId="19" fillId="13" borderId="0" applyNumberFormat="0" applyBorder="0" applyAlignment="0" applyProtection="0"/>
    <xf numFmtId="0" fontId="18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8" fillId="16" borderId="0" applyNumberFormat="0" applyBorder="0" applyAlignment="0" applyProtection="0"/>
    <xf numFmtId="174" fontId="19" fillId="4" borderId="0" applyNumberFormat="0" applyBorder="0" applyAlignment="0" applyProtection="0"/>
    <xf numFmtId="174" fontId="19" fillId="4" borderId="0" applyNumberFormat="0" applyBorder="0" applyAlignment="0" applyProtection="0"/>
    <xf numFmtId="0" fontId="18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8" fillId="17" borderId="0" applyNumberFormat="0" applyBorder="0" applyAlignment="0" applyProtection="0"/>
    <xf numFmtId="174" fontId="19" fillId="6" borderId="0" applyNumberFormat="0" applyBorder="0" applyAlignment="0" applyProtection="0"/>
    <xf numFmtId="174" fontId="19" fillId="6" borderId="0" applyNumberFormat="0" applyBorder="0" applyAlignment="0" applyProtection="0"/>
    <xf numFmtId="0" fontId="18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8" fillId="38" borderId="0" applyNumberFormat="0" applyBorder="0" applyAlignment="0" applyProtection="0"/>
    <xf numFmtId="174" fontId="19" fillId="8" borderId="0" applyNumberFormat="0" applyBorder="0" applyAlignment="0" applyProtection="0"/>
    <xf numFmtId="174" fontId="19" fillId="8" borderId="0" applyNumberFormat="0" applyBorder="0" applyAlignment="0" applyProtection="0"/>
    <xf numFmtId="0" fontId="18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33" borderId="0" applyNumberFormat="0" applyBorder="0" applyAlignment="0" applyProtection="0"/>
    <xf numFmtId="174" fontId="19" fillId="10" borderId="0" applyNumberFormat="0" applyBorder="0" applyAlignment="0" applyProtection="0"/>
    <xf numFmtId="174" fontId="19" fillId="10" borderId="0" applyNumberFormat="0" applyBorder="0" applyAlignment="0" applyProtection="0"/>
    <xf numFmtId="0" fontId="18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8" fillId="16" borderId="0" applyNumberFormat="0" applyBorder="0" applyAlignment="0" applyProtection="0"/>
    <xf numFmtId="174" fontId="19" fillId="12" borderId="0" applyNumberFormat="0" applyBorder="0" applyAlignment="0" applyProtection="0"/>
    <xf numFmtId="174" fontId="19" fillId="12" borderId="0" applyNumberFormat="0" applyBorder="0" applyAlignment="0" applyProtection="0"/>
    <xf numFmtId="0" fontId="18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8" fillId="26" borderId="0" applyNumberFormat="0" applyBorder="0" applyAlignment="0" applyProtection="0"/>
    <xf numFmtId="174" fontId="19" fillId="14" borderId="0" applyNumberFormat="0" applyBorder="0" applyAlignment="0" applyProtection="0"/>
    <xf numFmtId="174" fontId="19" fillId="14" borderId="0" applyNumberFormat="0" applyBorder="0" applyAlignment="0" applyProtection="0"/>
    <xf numFmtId="0" fontId="18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174" fontId="92" fillId="60" borderId="0" applyNumberFormat="0" applyBorder="0" applyAlignment="0" applyProtection="0"/>
    <xf numFmtId="174" fontId="92" fillId="60" borderId="0" applyNumberFormat="0" applyBorder="0" applyAlignment="0" applyProtection="0"/>
    <xf numFmtId="0" fontId="20" fillId="21" borderId="0" applyNumberFormat="0" applyBorder="0" applyAlignment="0" applyProtection="0"/>
    <xf numFmtId="165" fontId="20" fillId="72" borderId="0" applyNumberFormat="0" applyBorder="0" applyAlignment="0" applyProtection="0"/>
    <xf numFmtId="165" fontId="20" fillId="72" borderId="0" applyNumberFormat="0" applyBorder="0" applyAlignment="0" applyProtection="0"/>
    <xf numFmtId="165" fontId="20" fillId="72" borderId="0" applyNumberFormat="0" applyBorder="0" applyAlignment="0" applyProtection="0"/>
    <xf numFmtId="165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74" fontId="92" fillId="62" borderId="0" applyNumberFormat="0" applyBorder="0" applyAlignment="0" applyProtection="0"/>
    <xf numFmtId="174" fontId="92" fillId="62" borderId="0" applyNumberFormat="0" applyBorder="0" applyAlignment="0" applyProtection="0"/>
    <xf numFmtId="0" fontId="20" fillId="25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74" fontId="92" fillId="64" borderId="0" applyNumberFormat="0" applyBorder="0" applyAlignment="0" applyProtection="0"/>
    <xf numFmtId="174" fontId="92" fillId="64" borderId="0" applyNumberFormat="0" applyBorder="0" applyAlignment="0" applyProtection="0"/>
    <xf numFmtId="0" fontId="20" fillId="26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174" fontId="92" fillId="66" borderId="0" applyNumberFormat="0" applyBorder="0" applyAlignment="0" applyProtection="0"/>
    <xf numFmtId="174" fontId="92" fillId="66" borderId="0" applyNumberFormat="0" applyBorder="0" applyAlignment="0" applyProtection="0"/>
    <xf numFmtId="0" fontId="20" fillId="2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174" fontId="92" fillId="68" borderId="0" applyNumberFormat="0" applyBorder="0" applyAlignment="0" applyProtection="0"/>
    <xf numFmtId="174" fontId="92" fillId="68" borderId="0" applyNumberFormat="0" applyBorder="0" applyAlignment="0" applyProtection="0"/>
    <xf numFmtId="0" fontId="20" fillId="21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174" fontId="92" fillId="70" borderId="0" applyNumberFormat="0" applyBorder="0" applyAlignment="0" applyProtection="0"/>
    <xf numFmtId="174" fontId="92" fillId="70" borderId="0" applyNumberFormat="0" applyBorder="0" applyAlignment="0" applyProtection="0"/>
    <xf numFmtId="0" fontId="20" fillId="17" borderId="0" applyNumberFormat="0" applyBorder="0" applyAlignment="0" applyProtection="0"/>
    <xf numFmtId="165" fontId="20" fillId="48" borderId="0" applyNumberFormat="0" applyBorder="0" applyAlignment="0" applyProtection="0"/>
    <xf numFmtId="165" fontId="20" fillId="48" borderId="0" applyNumberFormat="0" applyBorder="0" applyAlignment="0" applyProtection="0"/>
    <xf numFmtId="165" fontId="20" fillId="48" borderId="0" applyNumberFormat="0" applyBorder="0" applyAlignment="0" applyProtection="0"/>
    <xf numFmtId="165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55" fillId="0" borderId="2" applyBorder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174" fontId="92" fillId="59" borderId="0" applyNumberFormat="0" applyBorder="0" applyAlignment="0" applyProtection="0"/>
    <xf numFmtId="174" fontId="92" fillId="59" borderId="0" applyNumberFormat="0" applyBorder="0" applyAlignment="0" applyProtection="0"/>
    <xf numFmtId="0" fontId="20" fillId="28" borderId="0" applyNumberFormat="0" applyBorder="0" applyAlignment="0" applyProtection="0"/>
    <xf numFmtId="165" fontId="20" fillId="74" borderId="0" applyNumberFormat="0" applyBorder="0" applyAlignment="0" applyProtection="0"/>
    <xf numFmtId="165" fontId="20" fillId="74" borderId="0" applyNumberFormat="0" applyBorder="0" applyAlignment="0" applyProtection="0"/>
    <xf numFmtId="165" fontId="20" fillId="74" borderId="0" applyNumberFormat="0" applyBorder="0" applyAlignment="0" applyProtection="0"/>
    <xf numFmtId="165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174" fontId="92" fillId="61" borderId="0" applyNumberFormat="0" applyBorder="0" applyAlignment="0" applyProtection="0"/>
    <xf numFmtId="174" fontId="92" fillId="61" borderId="0" applyNumberFormat="0" applyBorder="0" applyAlignment="0" applyProtection="0"/>
    <xf numFmtId="0" fontId="20" fillId="25" borderId="0" applyNumberFormat="0" applyBorder="0" applyAlignment="0" applyProtection="0"/>
    <xf numFmtId="165" fontId="20" fillId="30" borderId="0" applyNumberFormat="0" applyBorder="0" applyAlignment="0" applyProtection="0"/>
    <xf numFmtId="165" fontId="20" fillId="30" borderId="0" applyNumberFormat="0" applyBorder="0" applyAlignment="0" applyProtection="0"/>
    <xf numFmtId="165" fontId="20" fillId="30" borderId="0" applyNumberFormat="0" applyBorder="0" applyAlignment="0" applyProtection="0"/>
    <xf numFmtId="165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174" fontId="92" fillId="63" borderId="0" applyNumberFormat="0" applyBorder="0" applyAlignment="0" applyProtection="0"/>
    <xf numFmtId="174" fontId="92" fillId="63" borderId="0" applyNumberFormat="0" applyBorder="0" applyAlignment="0" applyProtection="0"/>
    <xf numFmtId="0" fontId="20" fillId="26" borderId="0" applyNumberFormat="0" applyBorder="0" applyAlignment="0" applyProtection="0"/>
    <xf numFmtId="165" fontId="20" fillId="31" borderId="0" applyNumberFormat="0" applyBorder="0" applyAlignment="0" applyProtection="0"/>
    <xf numFmtId="165" fontId="20" fillId="31" borderId="0" applyNumberFormat="0" applyBorder="0" applyAlignment="0" applyProtection="0"/>
    <xf numFmtId="165" fontId="20" fillId="31" borderId="0" applyNumberFormat="0" applyBorder="0" applyAlignment="0" applyProtection="0"/>
    <xf numFmtId="165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174" fontId="92" fillId="65" borderId="0" applyNumberFormat="0" applyBorder="0" applyAlignment="0" applyProtection="0"/>
    <xf numFmtId="174" fontId="92" fillId="65" borderId="0" applyNumberFormat="0" applyBorder="0" applyAlignment="0" applyProtection="0"/>
    <xf numFmtId="0" fontId="20" fillId="32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174" fontId="92" fillId="67" borderId="0" applyNumberFormat="0" applyBorder="0" applyAlignment="0" applyProtection="0"/>
    <xf numFmtId="174" fontId="92" fillId="67" borderId="0" applyNumberFormat="0" applyBorder="0" applyAlignment="0" applyProtection="0"/>
    <xf numFmtId="0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174" fontId="92" fillId="69" borderId="0" applyNumberFormat="0" applyBorder="0" applyAlignment="0" applyProtection="0"/>
    <xf numFmtId="174" fontId="92" fillId="69" borderId="0" applyNumberFormat="0" applyBorder="0" applyAlignment="0" applyProtection="0"/>
    <xf numFmtId="0" fontId="20" fillId="30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174" fontId="93" fillId="54" borderId="0" applyNumberFormat="0" applyBorder="0" applyAlignment="0" applyProtection="0"/>
    <xf numFmtId="174" fontId="93" fillId="54" borderId="0" applyNumberFormat="0" applyBorder="0" applyAlignment="0" applyProtection="0"/>
    <xf numFmtId="0" fontId="22" fillId="3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0" fontId="22" fillId="23" borderId="0" applyNumberFormat="0" applyBorder="0" applyAlignment="0" applyProtection="0"/>
    <xf numFmtId="164" fontId="94" fillId="0" borderId="26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6" fillId="36" borderId="9" applyNumberFormat="0" applyAlignment="0" applyProtection="0"/>
    <xf numFmtId="0" fontId="26" fillId="36" borderId="9" applyNumberFormat="0" applyAlignment="0" applyProtection="0"/>
    <xf numFmtId="0" fontId="26" fillId="36" borderId="9" applyNumberFormat="0" applyAlignment="0" applyProtection="0"/>
    <xf numFmtId="0" fontId="26" fillId="36" borderId="9" applyNumberFormat="0" applyAlignment="0" applyProtection="0"/>
    <xf numFmtId="0" fontId="26" fillId="36" borderId="9" applyNumberFormat="0" applyAlignment="0" applyProtection="0"/>
    <xf numFmtId="174" fontId="95" fillId="58" borderId="32" applyNumberFormat="0" applyAlignment="0" applyProtection="0"/>
    <xf numFmtId="174" fontId="95" fillId="58" borderId="32" applyNumberFormat="0" applyAlignment="0" applyProtection="0"/>
    <xf numFmtId="0" fontId="26" fillId="36" borderId="9" applyNumberFormat="0" applyAlignment="0" applyProtection="0"/>
    <xf numFmtId="165" fontId="26" fillId="36" borderId="9" applyNumberFormat="0" applyAlignment="0" applyProtection="0"/>
    <xf numFmtId="165" fontId="26" fillId="36" borderId="9" applyNumberFormat="0" applyAlignment="0" applyProtection="0"/>
    <xf numFmtId="165" fontId="26" fillId="36" borderId="9" applyNumberFormat="0" applyAlignment="0" applyProtection="0"/>
    <xf numFmtId="165" fontId="26" fillId="36" borderId="9" applyNumberFormat="0" applyAlignment="0" applyProtection="0"/>
    <xf numFmtId="165" fontId="26" fillId="36" borderId="9" applyNumberFormat="0" applyAlignment="0" applyProtection="0"/>
    <xf numFmtId="0" fontId="26" fillId="36" borderId="9" applyNumberFormat="0" applyAlignment="0" applyProtection="0"/>
    <xf numFmtId="0" fontId="27" fillId="37" borderId="0">
      <alignment horizontal="left"/>
    </xf>
    <xf numFmtId="168" fontId="27" fillId="37" borderId="0">
      <alignment horizontal="left"/>
    </xf>
    <xf numFmtId="0" fontId="29" fillId="37" borderId="0">
      <alignment horizontal="right"/>
    </xf>
    <xf numFmtId="168" fontId="29" fillId="37" borderId="0">
      <alignment horizontal="right"/>
    </xf>
    <xf numFmtId="0" fontId="30" fillId="34" borderId="0">
      <alignment horizontal="center"/>
    </xf>
    <xf numFmtId="168" fontId="30" fillId="34" borderId="0">
      <alignment horizontal="center"/>
    </xf>
    <xf numFmtId="0" fontId="29" fillId="37" borderId="0">
      <alignment horizontal="right"/>
    </xf>
    <xf numFmtId="168" fontId="29" fillId="37" borderId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75" borderId="0"/>
    <xf numFmtId="3" fontId="10" fillId="75" borderId="0"/>
    <xf numFmtId="3" fontId="10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75" borderId="0"/>
    <xf numFmtId="3" fontId="10" fillId="75" borderId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97" fillId="0" borderId="0"/>
    <xf numFmtId="0" fontId="97" fillId="0" borderId="33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4" fontId="98" fillId="0" borderId="0" applyNumberFormat="0" applyFill="0" applyBorder="0" applyAlignment="0" applyProtection="0"/>
    <xf numFmtId="174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4" fontId="9" fillId="0" borderId="0" applyProtection="0"/>
    <xf numFmtId="174" fontId="9" fillId="0" borderId="0" applyProtection="0"/>
    <xf numFmtId="0" fontId="9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4" fontId="37" fillId="0" borderId="0" applyProtection="0"/>
    <xf numFmtId="174" fontId="37" fillId="0" borderId="0" applyProtection="0"/>
    <xf numFmtId="0" fontId="37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4" fontId="38" fillId="0" borderId="0" applyProtection="0"/>
    <xf numFmtId="174" fontId="38" fillId="0" borderId="0" applyProtection="0"/>
    <xf numFmtId="0" fontId="3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4" fontId="8" fillId="0" borderId="0" applyProtection="0"/>
    <xf numFmtId="174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4" fontId="10" fillId="0" borderId="0" applyProtection="0"/>
    <xf numFmtId="174" fontId="10" fillId="0" borderId="0" applyProtection="0"/>
    <xf numFmtId="0" fontId="10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4" fontId="9" fillId="0" borderId="0" applyProtection="0"/>
    <xf numFmtId="174" fontId="9" fillId="0" borderId="0" applyProtection="0"/>
    <xf numFmtId="0" fontId="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4" fontId="39" fillId="0" borderId="0" applyProtection="0"/>
    <xf numFmtId="174" fontId="39" fillId="0" borderId="0" applyProtection="0"/>
    <xf numFmtId="0" fontId="39" fillId="0" borderId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99" fillId="53" borderId="0" applyNumberFormat="0" applyBorder="0" applyAlignment="0" applyProtection="0"/>
    <xf numFmtId="174" fontId="99" fillId="53" borderId="0" applyNumberFormat="0" applyBorder="0" applyAlignment="0" applyProtection="0"/>
    <xf numFmtId="0" fontId="40" fillId="21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174" fontId="101" fillId="0" borderId="4" applyNumberFormat="0" applyFill="0" applyAlignment="0" applyProtection="0"/>
    <xf numFmtId="174" fontId="101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8" fontId="103" fillId="0" borderId="0" applyNumberFormat="0" applyFon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4" fillId="0" borderId="35" applyNumberFormat="0" applyFill="0" applyAlignment="0" applyProtection="0"/>
    <xf numFmtId="0" fontId="104" fillId="0" borderId="35" applyNumberFormat="0" applyFill="0" applyAlignment="0" applyProtection="0"/>
    <xf numFmtId="0" fontId="104" fillId="0" borderId="35" applyNumberFormat="0" applyFill="0" applyAlignment="0" applyProtection="0"/>
    <xf numFmtId="0" fontId="104" fillId="0" borderId="35" applyNumberFormat="0" applyFill="0" applyAlignment="0" applyProtection="0"/>
    <xf numFmtId="0" fontId="104" fillId="0" borderId="35" applyNumberFormat="0" applyFill="0" applyAlignment="0" applyProtection="0"/>
    <xf numFmtId="174" fontId="105" fillId="0" borderId="5" applyNumberFormat="0" applyFill="0" applyAlignment="0" applyProtection="0"/>
    <xf numFmtId="174" fontId="10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8" fontId="8" fillId="0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04" fillId="0" borderId="35" applyNumberFormat="0" applyFill="0" applyAlignment="0" applyProtection="0"/>
    <xf numFmtId="165" fontId="104" fillId="0" borderId="35" applyNumberFormat="0" applyFill="0" applyAlignment="0" applyProtection="0"/>
    <xf numFmtId="165" fontId="104" fillId="0" borderId="35" applyNumberFormat="0" applyFill="0" applyAlignment="0" applyProtection="0"/>
    <xf numFmtId="165" fontId="104" fillId="0" borderId="35" applyNumberFormat="0" applyFill="0" applyAlignment="0" applyProtection="0"/>
    <xf numFmtId="165" fontId="104" fillId="0" borderId="35" applyNumberFormat="0" applyFill="0" applyAlignment="0" applyProtection="0"/>
    <xf numFmtId="0" fontId="104" fillId="0" borderId="35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174" fontId="107" fillId="0" borderId="28" applyNumberFormat="0" applyFill="0" applyAlignment="0" applyProtection="0"/>
    <xf numFmtId="174" fontId="107" fillId="0" borderId="28" applyNumberFormat="0" applyFill="0" applyAlignment="0" applyProtection="0"/>
    <xf numFmtId="0" fontId="45" fillId="0" borderId="16" applyNumberFormat="0" applyFill="0" applyAlignment="0" applyProtection="0"/>
    <xf numFmtId="165" fontId="106" fillId="0" borderId="36" applyNumberFormat="0" applyFill="0" applyAlignment="0" applyProtection="0"/>
    <xf numFmtId="165" fontId="106" fillId="0" borderId="36" applyNumberFormat="0" applyFill="0" applyAlignment="0" applyProtection="0"/>
    <xf numFmtId="165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4" fontId="107" fillId="0" borderId="0" applyNumberFormat="0" applyFill="0" applyBorder="0" applyAlignment="0" applyProtection="0"/>
    <xf numFmtId="174" fontId="10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108" fillId="41" borderId="33"/>
    <xf numFmtId="0" fontId="27" fillId="37" borderId="0">
      <alignment horizontal="left"/>
    </xf>
    <xf numFmtId="168" fontId="27" fillId="37" borderId="0">
      <alignment horizontal="left"/>
    </xf>
    <xf numFmtId="0" fontId="50" fillId="34" borderId="0">
      <alignment horizontal="left"/>
    </xf>
    <xf numFmtId="168" fontId="50" fillId="34" borderId="0">
      <alignment horizontal="left"/>
    </xf>
    <xf numFmtId="0" fontId="109" fillId="0" borderId="19" applyNumberFormat="0" applyFill="0" applyAlignment="0" applyProtection="0"/>
    <xf numFmtId="0" fontId="109" fillId="0" borderId="19" applyNumberFormat="0" applyFill="0" applyAlignment="0" applyProtection="0"/>
    <xf numFmtId="0" fontId="109" fillId="0" borderId="19" applyNumberFormat="0" applyFill="0" applyAlignment="0" applyProtection="0"/>
    <xf numFmtId="0" fontId="109" fillId="0" borderId="19" applyNumberFormat="0" applyFill="0" applyAlignment="0" applyProtection="0"/>
    <xf numFmtId="0" fontId="109" fillId="0" borderId="19" applyNumberFormat="0" applyFill="0" applyAlignment="0" applyProtection="0"/>
    <xf numFmtId="174" fontId="110" fillId="0" borderId="31" applyNumberFormat="0" applyFill="0" applyAlignment="0" applyProtection="0"/>
    <xf numFmtId="174" fontId="110" fillId="0" borderId="31" applyNumberFormat="0" applyFill="0" applyAlignment="0" applyProtection="0"/>
    <xf numFmtId="0" fontId="51" fillId="0" borderId="18" applyNumberFormat="0" applyFill="0" applyAlignment="0" applyProtection="0"/>
    <xf numFmtId="165" fontId="109" fillId="0" borderId="19" applyNumberFormat="0" applyFill="0" applyAlignment="0" applyProtection="0"/>
    <xf numFmtId="165" fontId="109" fillId="0" borderId="19" applyNumberFormat="0" applyFill="0" applyAlignment="0" applyProtection="0"/>
    <xf numFmtId="165" fontId="109" fillId="0" borderId="19" applyNumberFormat="0" applyFill="0" applyAlignment="0" applyProtection="0"/>
    <xf numFmtId="165" fontId="109" fillId="0" borderId="19" applyNumberFormat="0" applyFill="0" applyAlignment="0" applyProtection="0"/>
    <xf numFmtId="165" fontId="109" fillId="0" borderId="19" applyNumberFormat="0" applyFill="0" applyAlignment="0" applyProtection="0"/>
    <xf numFmtId="0" fontId="109" fillId="0" borderId="19" applyNumberFormat="0" applyFill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174" fontId="112" fillId="55" borderId="0" applyNumberFormat="0" applyBorder="0" applyAlignment="0" applyProtection="0"/>
    <xf numFmtId="174" fontId="112" fillId="55" borderId="0" applyNumberFormat="0" applyBorder="0" applyAlignment="0" applyProtection="0"/>
    <xf numFmtId="0" fontId="53" fillId="22" borderId="0" applyNumberFormat="0" applyBorder="0" applyAlignment="0" applyProtection="0"/>
    <xf numFmtId="165" fontId="111" fillId="22" borderId="0" applyNumberFormat="0" applyBorder="0" applyAlignment="0" applyProtection="0"/>
    <xf numFmtId="165" fontId="111" fillId="22" borderId="0" applyNumberFormat="0" applyBorder="0" applyAlignment="0" applyProtection="0"/>
    <xf numFmtId="165" fontId="111" fillId="22" borderId="0" applyNumberFormat="0" applyBorder="0" applyAlignment="0" applyProtection="0"/>
    <xf numFmtId="165" fontId="111" fillId="22" borderId="0" applyNumberFormat="0" applyBorder="0" applyAlignment="0" applyProtection="0"/>
    <xf numFmtId="165" fontId="111" fillId="22" borderId="0" applyNumberFormat="0" applyBorder="0" applyAlignment="0" applyProtection="0"/>
    <xf numFmtId="0" fontId="111" fillId="22" borderId="0" applyNumberFormat="0" applyBorder="0" applyAlignment="0" applyProtection="0"/>
    <xf numFmtId="180" fontId="10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0" fillId="0" borderId="0"/>
    <xf numFmtId="0" fontId="10" fillId="0" borderId="0"/>
    <xf numFmtId="168" fontId="10" fillId="0" borderId="0"/>
    <xf numFmtId="165" fontId="10" fillId="0" borderId="0"/>
    <xf numFmtId="0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165" fontId="10" fillId="0" borderId="0"/>
    <xf numFmtId="174" fontId="10" fillId="0" borderId="0"/>
    <xf numFmtId="174" fontId="10" fillId="0" borderId="0"/>
    <xf numFmtId="0" fontId="34" fillId="0" borderId="0"/>
    <xf numFmtId="0" fontId="96" fillId="0" borderId="0"/>
    <xf numFmtId="0" fontId="96" fillId="0" borderId="0"/>
    <xf numFmtId="0" fontId="96" fillId="0" borderId="0"/>
    <xf numFmtId="168" fontId="10" fillId="0" borderId="0"/>
    <xf numFmtId="0" fontId="96" fillId="0" borderId="0"/>
    <xf numFmtId="41" fontId="34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96" fillId="0" borderId="0"/>
    <xf numFmtId="0" fontId="96" fillId="0" borderId="0"/>
    <xf numFmtId="165" fontId="10" fillId="0" borderId="0"/>
    <xf numFmtId="0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168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74" fontId="19" fillId="0" borderId="0"/>
    <xf numFmtId="174" fontId="19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165" fontId="10" fillId="0" borderId="0"/>
    <xf numFmtId="0" fontId="19" fillId="0" borderId="0"/>
    <xf numFmtId="165" fontId="10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37" fontId="17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37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9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96" fillId="0" borderId="0"/>
    <xf numFmtId="37" fontId="17" fillId="0" borderId="0"/>
    <xf numFmtId="37" fontId="17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37" fontId="17" fillId="0" borderId="0"/>
    <xf numFmtId="0" fontId="6" fillId="0" borderId="0"/>
    <xf numFmtId="0" fontId="10" fillId="0" borderId="0"/>
    <xf numFmtId="37" fontId="17" fillId="0" borderId="0"/>
    <xf numFmtId="0" fontId="6" fillId="0" borderId="0"/>
    <xf numFmtId="0" fontId="6" fillId="0" borderId="0"/>
    <xf numFmtId="0" fontId="6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56" fillId="19" borderId="21" applyNumberFormat="0" applyAlignment="0" applyProtection="0"/>
    <xf numFmtId="0" fontId="56" fillId="19" borderId="21" applyNumberFormat="0" applyAlignment="0" applyProtection="0"/>
    <xf numFmtId="0" fontId="56" fillId="19" borderId="21" applyNumberFormat="0" applyAlignment="0" applyProtection="0"/>
    <xf numFmtId="0" fontId="56" fillId="19" borderId="21" applyNumberFormat="0" applyAlignment="0" applyProtection="0"/>
    <xf numFmtId="0" fontId="56" fillId="19" borderId="21" applyNumberFormat="0" applyAlignment="0" applyProtection="0"/>
    <xf numFmtId="174" fontId="113" fillId="57" borderId="30" applyNumberFormat="0" applyAlignment="0" applyProtection="0"/>
    <xf numFmtId="174" fontId="113" fillId="57" borderId="30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165" fontId="56" fillId="19" borderId="21" applyNumberFormat="0" applyAlignment="0" applyProtection="0"/>
    <xf numFmtId="165" fontId="56" fillId="19" borderId="21" applyNumberFormat="0" applyAlignment="0" applyProtection="0"/>
    <xf numFmtId="165" fontId="56" fillId="19" borderId="21" applyNumberFormat="0" applyAlignment="0" applyProtection="0"/>
    <xf numFmtId="165" fontId="56" fillId="19" borderId="21" applyNumberFormat="0" applyAlignment="0" applyProtection="0"/>
    <xf numFmtId="165" fontId="56" fillId="19" borderId="21" applyNumberFormat="0" applyAlignment="0" applyProtection="0"/>
    <xf numFmtId="0" fontId="56" fillId="19" borderId="21" applyNumberFormat="0" applyAlignment="0" applyProtection="0"/>
    <xf numFmtId="172" fontId="57" fillId="34" borderId="0">
      <alignment horizontal="right"/>
    </xf>
    <xf numFmtId="40" fontId="58" fillId="40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4" fontId="57" fillId="40" borderId="0">
      <alignment horizontal="right"/>
    </xf>
    <xf numFmtId="40" fontId="58" fillId="40" borderId="0">
      <alignment horizontal="right"/>
    </xf>
    <xf numFmtId="40" fontId="58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172" fontId="57" fillId="34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0" fontId="59" fillId="41" borderId="0">
      <alignment horizontal="center"/>
    </xf>
    <xf numFmtId="0" fontId="59" fillId="41" borderId="0">
      <alignment horizontal="center"/>
    </xf>
    <xf numFmtId="168" fontId="59" fillId="41" borderId="0">
      <alignment horizontal="center"/>
    </xf>
    <xf numFmtId="0" fontId="59" fillId="41" borderId="0">
      <alignment horizontal="center"/>
    </xf>
    <xf numFmtId="0" fontId="60" fillId="40" borderId="0">
      <alignment horizontal="right"/>
    </xf>
    <xf numFmtId="0" fontId="60" fillId="40" borderId="0">
      <alignment horizontal="right"/>
    </xf>
    <xf numFmtId="0" fontId="60" fillId="40" borderId="0">
      <alignment horizontal="right"/>
    </xf>
    <xf numFmtId="0" fontId="60" fillId="40" borderId="0">
      <alignment horizontal="right"/>
    </xf>
    <xf numFmtId="0" fontId="60" fillId="40" borderId="0">
      <alignment horizontal="right"/>
    </xf>
    <xf numFmtId="0" fontId="59" fillId="41" borderId="0">
      <alignment horizontal="center"/>
    </xf>
    <xf numFmtId="0" fontId="60" fillId="40" borderId="0">
      <alignment horizontal="right"/>
    </xf>
    <xf numFmtId="0" fontId="60" fillId="40" borderId="0">
      <alignment horizontal="right"/>
    </xf>
    <xf numFmtId="0" fontId="59" fillId="40" borderId="0">
      <alignment horizontal="center" vertical="center"/>
    </xf>
    <xf numFmtId="0" fontId="59" fillId="40" borderId="0">
      <alignment horizontal="center" vertical="center"/>
    </xf>
    <xf numFmtId="0" fontId="59" fillId="40" borderId="0">
      <alignment horizontal="center" vertical="center"/>
    </xf>
    <xf numFmtId="174" fontId="59" fillId="40" borderId="0">
      <alignment horizontal="center" vertical="center"/>
    </xf>
    <xf numFmtId="174" fontId="59" fillId="40" borderId="0">
      <alignment horizontal="center" vertical="center"/>
    </xf>
    <xf numFmtId="0" fontId="27" fillId="42" borderId="0"/>
    <xf numFmtId="0" fontId="27" fillId="42" borderId="0"/>
    <xf numFmtId="168" fontId="27" fillId="42" borderId="0"/>
    <xf numFmtId="165" fontId="61" fillId="40" borderId="10"/>
    <xf numFmtId="0" fontId="50" fillId="40" borderId="10"/>
    <xf numFmtId="0" fontId="27" fillId="42" borderId="0"/>
    <xf numFmtId="0" fontId="61" fillId="40" borderId="10"/>
    <xf numFmtId="0" fontId="61" fillId="40" borderId="10"/>
    <xf numFmtId="0" fontId="61" fillId="40" borderId="10"/>
    <xf numFmtId="0" fontId="61" fillId="40" borderId="10"/>
    <xf numFmtId="0" fontId="61" fillId="40" borderId="10"/>
    <xf numFmtId="0" fontId="27" fillId="42" borderId="0"/>
    <xf numFmtId="165" fontId="61" fillId="40" borderId="10"/>
    <xf numFmtId="0" fontId="61" fillId="40" borderId="10"/>
    <xf numFmtId="0" fontId="61" fillId="40" borderId="10"/>
    <xf numFmtId="0" fontId="50" fillId="40" borderId="10"/>
    <xf numFmtId="0" fontId="50" fillId="40" borderId="10"/>
    <xf numFmtId="0" fontId="50" fillId="40" borderId="10"/>
    <xf numFmtId="174" fontId="50" fillId="40" borderId="10"/>
    <xf numFmtId="174" fontId="50" fillId="40" borderId="10"/>
    <xf numFmtId="0" fontId="62" fillId="34" borderId="0" applyBorder="0">
      <alignment horizontal="centerContinuous"/>
    </xf>
    <xf numFmtId="0" fontId="62" fillId="34" borderId="0" applyBorder="0">
      <alignment horizontal="centerContinuous"/>
    </xf>
    <xf numFmtId="168" fontId="62" fillId="34" borderId="0" applyBorder="0">
      <alignment horizontal="centerContinuous"/>
    </xf>
    <xf numFmtId="0" fontId="62" fillId="34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34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59" fillId="40" borderId="0" applyBorder="0">
      <alignment horizontal="centerContinuous"/>
    </xf>
    <xf numFmtId="0" fontId="59" fillId="40" borderId="0" applyBorder="0">
      <alignment horizontal="centerContinuous"/>
    </xf>
    <xf numFmtId="0" fontId="59" fillId="40" borderId="0" applyBorder="0">
      <alignment horizontal="centerContinuous"/>
    </xf>
    <xf numFmtId="174" fontId="59" fillId="40" borderId="0" applyBorder="0">
      <alignment horizontal="centerContinuous"/>
    </xf>
    <xf numFmtId="174" fontId="59" fillId="40" borderId="0" applyBorder="0">
      <alignment horizontal="centerContinuous"/>
    </xf>
    <xf numFmtId="0" fontId="63" fillId="42" borderId="0" applyBorder="0">
      <alignment horizontal="centerContinuous"/>
    </xf>
    <xf numFmtId="0" fontId="63" fillId="42" borderId="0" applyBorder="0">
      <alignment horizontal="centerContinuous"/>
    </xf>
    <xf numFmtId="168" fontId="63" fillId="42" borderId="0" applyBorder="0">
      <alignment horizontal="centerContinuous"/>
    </xf>
    <xf numFmtId="0" fontId="114" fillId="42" borderId="0" applyBorder="0">
      <alignment horizontal="centerContinuous"/>
    </xf>
    <xf numFmtId="0" fontId="63" fillId="42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3" fillId="42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5" fillId="40" borderId="0" applyBorder="0">
      <alignment horizontal="centerContinuous"/>
    </xf>
    <xf numFmtId="0" fontId="65" fillId="40" borderId="0" applyBorder="0">
      <alignment horizontal="centerContinuous"/>
    </xf>
    <xf numFmtId="0" fontId="65" fillId="40" borderId="0" applyBorder="0">
      <alignment horizontal="centerContinuous"/>
    </xf>
    <xf numFmtId="174" fontId="65" fillId="40" borderId="0" applyBorder="0">
      <alignment horizontal="centerContinuous"/>
    </xf>
    <xf numFmtId="174" fontId="65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0" fillId="22" borderId="0">
      <alignment horizontal="center"/>
    </xf>
    <xf numFmtId="168" fontId="50" fillId="22" borderId="0">
      <alignment horizontal="center"/>
    </xf>
    <xf numFmtId="49" fontId="68" fillId="34" borderId="0">
      <alignment horizontal="center"/>
    </xf>
    <xf numFmtId="0" fontId="97" fillId="0" borderId="0"/>
    <xf numFmtId="0" fontId="29" fillId="37" borderId="0">
      <alignment horizontal="center"/>
    </xf>
    <xf numFmtId="168" fontId="29" fillId="37" borderId="0">
      <alignment horizontal="center"/>
    </xf>
    <xf numFmtId="0" fontId="29" fillId="37" borderId="0">
      <alignment horizontal="centerContinuous"/>
    </xf>
    <xf numFmtId="168" fontId="29" fillId="37" borderId="0">
      <alignment horizontal="centerContinuous"/>
    </xf>
    <xf numFmtId="0" fontId="69" fillId="34" borderId="0">
      <alignment horizontal="left"/>
    </xf>
    <xf numFmtId="168" fontId="69" fillId="34" borderId="0">
      <alignment horizontal="left"/>
    </xf>
    <xf numFmtId="49" fontId="69" fillId="34" borderId="0">
      <alignment horizontal="center"/>
    </xf>
    <xf numFmtId="0" fontId="27" fillId="37" borderId="0">
      <alignment horizontal="left"/>
    </xf>
    <xf numFmtId="168" fontId="27" fillId="37" borderId="0">
      <alignment horizontal="left"/>
    </xf>
    <xf numFmtId="49" fontId="69" fillId="34" borderId="0">
      <alignment horizontal="left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27" fillId="37" borderId="0">
      <alignment horizontal="right"/>
    </xf>
    <xf numFmtId="168" fontId="27" fillId="37" borderId="0">
      <alignment horizontal="right"/>
    </xf>
    <xf numFmtId="49" fontId="50" fillId="34" borderId="0">
      <alignment horizontal="left"/>
    </xf>
    <xf numFmtId="0" fontId="29" fillId="37" borderId="0">
      <alignment horizontal="right"/>
    </xf>
    <xf numFmtId="168" fontId="29" fillId="37" borderId="0">
      <alignment horizontal="right"/>
    </xf>
    <xf numFmtId="0" fontId="69" fillId="20" borderId="0">
      <alignment horizontal="center"/>
    </xf>
    <xf numFmtId="168" fontId="69" fillId="20" borderId="0">
      <alignment horizontal="center"/>
    </xf>
    <xf numFmtId="0" fontId="70" fillId="20" borderId="0">
      <alignment horizontal="center"/>
    </xf>
    <xf numFmtId="168" fontId="70" fillId="20" borderId="0">
      <alignment horizont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7" fillId="0" borderId="33"/>
    <xf numFmtId="49" fontId="10" fillId="0" borderId="37">
      <alignment horizontal="center" vertical="center"/>
      <protection locked="0"/>
    </xf>
    <xf numFmtId="0" fontId="115" fillId="37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174" fontId="117" fillId="0" borderId="7" applyNumberFormat="0" applyFill="0" applyAlignment="0" applyProtection="0"/>
    <xf numFmtId="174" fontId="117" fillId="0" borderId="7" applyNumberFormat="0" applyFill="0" applyAlignment="0" applyProtection="0"/>
    <xf numFmtId="0" fontId="10" fillId="0" borderId="39" applyNumberFormat="0" applyFont="0" applyFill="0" applyAlignment="0" applyProtection="0"/>
    <xf numFmtId="0" fontId="10" fillId="0" borderId="39" applyNumberFormat="0" applyFont="0" applyFill="0" applyAlignment="0" applyProtection="0"/>
    <xf numFmtId="168" fontId="15" fillId="0" borderId="40" applyNumberFormat="0" applyFont="0" applyBorder="0" applyAlignment="0" applyProtection="0"/>
    <xf numFmtId="0" fontId="10" fillId="0" borderId="39" applyNumberFormat="0" applyFont="0" applyFill="0" applyAlignment="0" applyProtection="0"/>
    <xf numFmtId="0" fontId="10" fillId="0" borderId="39" applyNumberFormat="0" applyFon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0" fillId="0" borderId="39" applyNumberFormat="0" applyFont="0" applyFill="0" applyAlignment="0" applyProtection="0"/>
    <xf numFmtId="165" fontId="76" fillId="0" borderId="38" applyNumberFormat="0" applyFill="0" applyAlignment="0" applyProtection="0"/>
    <xf numFmtId="168" fontId="15" fillId="0" borderId="40" applyNumberFormat="0" applyFont="0" applyBorder="0" applyAlignment="0" applyProtection="0"/>
    <xf numFmtId="165" fontId="76" fillId="0" borderId="38" applyNumberFormat="0" applyFill="0" applyAlignment="0" applyProtection="0"/>
    <xf numFmtId="165" fontId="76" fillId="0" borderId="38" applyNumberFormat="0" applyFill="0" applyAlignment="0" applyProtection="0"/>
    <xf numFmtId="165" fontId="76" fillId="0" borderId="38" applyNumberFormat="0" applyFill="0" applyAlignment="0" applyProtection="0"/>
    <xf numFmtId="165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108" fillId="0" borderId="41"/>
    <xf numFmtId="0" fontId="108" fillId="0" borderId="33"/>
    <xf numFmtId="0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4" fontId="118" fillId="0" borderId="0" applyNumberFormat="0" applyFill="0" applyBorder="0" applyAlignment="0" applyProtection="0"/>
    <xf numFmtId="174" fontId="1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17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7" fillId="0" borderId="0"/>
    <xf numFmtId="4" fontId="57" fillId="40" borderId="0">
      <alignment horizontal="right"/>
    </xf>
    <xf numFmtId="0" fontId="59" fillId="40" borderId="0">
      <alignment horizontal="center" vertical="center"/>
    </xf>
    <xf numFmtId="0" fontId="50" fillId="40" borderId="10"/>
    <xf numFmtId="0" fontId="59" fillId="40" borderId="0" applyBorder="0">
      <alignment horizontal="centerContinuous"/>
    </xf>
    <xf numFmtId="0" fontId="65" fillId="40" borderId="0" applyBorder="0">
      <alignment horizontal="centerContinuous"/>
    </xf>
    <xf numFmtId="0" fontId="75" fillId="0" borderId="0" applyNumberFormat="0" applyFill="0" applyBorder="0" applyAlignment="0" applyProtection="0"/>
    <xf numFmtId="0" fontId="10" fillId="0" borderId="0"/>
    <xf numFmtId="0" fontId="10" fillId="0" borderId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6" fillId="3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6" fillId="5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" fillId="7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6" fillId="1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6" fillId="13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6" fillId="4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" fillId="6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6" fillId="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6" fillId="10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6" fillId="12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6" fillId="14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91" fillId="60" borderId="0" applyNumberFormat="0" applyBorder="0" applyAlignment="0" applyProtection="0"/>
    <xf numFmtId="165" fontId="20" fillId="72" borderId="0" applyNumberFormat="0" applyBorder="0" applyAlignment="0" applyProtection="0"/>
    <xf numFmtId="165" fontId="20" fillId="72" borderId="0" applyNumberFormat="0" applyBorder="0" applyAlignment="0" applyProtection="0"/>
    <xf numFmtId="0" fontId="91" fillId="62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91" fillId="64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91" fillId="66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0" fontId="91" fillId="68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0" fontId="91" fillId="70" borderId="0" applyNumberFormat="0" applyBorder="0" applyAlignment="0" applyProtection="0"/>
    <xf numFmtId="165" fontId="20" fillId="48" borderId="0" applyNumberFormat="0" applyBorder="0" applyAlignment="0" applyProtection="0"/>
    <xf numFmtId="165" fontId="20" fillId="48" borderId="0" applyNumberFormat="0" applyBorder="0" applyAlignment="0" applyProtection="0"/>
    <xf numFmtId="0" fontId="91" fillId="59" borderId="0" applyNumberFormat="0" applyBorder="0" applyAlignment="0" applyProtection="0"/>
    <xf numFmtId="165" fontId="20" fillId="74" borderId="0" applyNumberFormat="0" applyBorder="0" applyAlignment="0" applyProtection="0"/>
    <xf numFmtId="165" fontId="20" fillId="74" borderId="0" applyNumberFormat="0" applyBorder="0" applyAlignment="0" applyProtection="0"/>
    <xf numFmtId="0" fontId="91" fillId="61" borderId="0" applyNumberFormat="0" applyBorder="0" applyAlignment="0" applyProtection="0"/>
    <xf numFmtId="165" fontId="20" fillId="30" borderId="0" applyNumberFormat="0" applyBorder="0" applyAlignment="0" applyProtection="0"/>
    <xf numFmtId="165" fontId="20" fillId="30" borderId="0" applyNumberFormat="0" applyBorder="0" applyAlignment="0" applyProtection="0"/>
    <xf numFmtId="0" fontId="91" fillId="63" borderId="0" applyNumberFormat="0" applyBorder="0" applyAlignment="0" applyProtection="0"/>
    <xf numFmtId="165" fontId="20" fillId="31" borderId="0" applyNumberFormat="0" applyBorder="0" applyAlignment="0" applyProtection="0"/>
    <xf numFmtId="165" fontId="20" fillId="31" borderId="0" applyNumberFormat="0" applyBorder="0" applyAlignment="0" applyProtection="0"/>
    <xf numFmtId="0" fontId="91" fillId="65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0" fontId="91" fillId="67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0" fontId="91" fillId="69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0" fontId="82" fillId="54" borderId="0" applyNumberFormat="0" applyBorder="0" applyAlignment="0" applyProtection="0"/>
    <xf numFmtId="165" fontId="22" fillId="23" borderId="0" applyNumberFormat="0" applyBorder="0" applyAlignment="0" applyProtection="0"/>
    <xf numFmtId="0" fontId="120" fillId="19" borderId="8" applyNumberFormat="0" applyAlignment="0" applyProtection="0"/>
    <xf numFmtId="0" fontId="120" fillId="19" borderId="8" applyNumberFormat="0" applyAlignment="0" applyProtection="0"/>
    <xf numFmtId="0" fontId="120" fillId="19" borderId="8" applyNumberFormat="0" applyAlignment="0" applyProtection="0"/>
    <xf numFmtId="0" fontId="120" fillId="19" borderId="8" applyNumberFormat="0" applyAlignment="0" applyProtection="0"/>
    <xf numFmtId="0" fontId="120" fillId="19" borderId="8" applyNumberFormat="0" applyAlignment="0" applyProtection="0"/>
    <xf numFmtId="174" fontId="121" fillId="57" borderId="29" applyNumberFormat="0" applyAlignment="0" applyProtection="0"/>
    <xf numFmtId="174" fontId="121" fillId="57" borderId="29" applyNumberFormat="0" applyAlignment="0" applyProtection="0"/>
    <xf numFmtId="0" fontId="86" fillId="57" borderId="29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0" fontId="120" fillId="19" borderId="8" applyNumberFormat="0" applyAlignment="0" applyProtection="0"/>
    <xf numFmtId="0" fontId="88" fillId="58" borderId="32" applyNumberFormat="0" applyAlignment="0" applyProtection="0"/>
    <xf numFmtId="165" fontId="26" fillId="36" borderId="9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81" fillId="53" borderId="0" applyNumberFormat="0" applyBorder="0" applyAlignment="0" applyProtection="0"/>
    <xf numFmtId="165" fontId="40" fillId="39" borderId="0" applyNumberFormat="0" applyBorder="0" applyAlignment="0" applyProtection="0"/>
    <xf numFmtId="0" fontId="80" fillId="0" borderId="28" applyNumberFormat="0" applyFill="0" applyAlignment="0" applyProtection="0"/>
    <xf numFmtId="165" fontId="106" fillId="0" borderId="36" applyNumberFormat="0" applyFill="0" applyAlignment="0" applyProtection="0"/>
    <xf numFmtId="165" fontId="106" fillId="0" borderId="36" applyNumberFormat="0" applyFill="0" applyAlignment="0" applyProtection="0"/>
    <xf numFmtId="165" fontId="106" fillId="0" borderId="36" applyNumberFormat="0" applyFill="0" applyAlignment="0" applyProtection="0"/>
    <xf numFmtId="0" fontId="80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174" fontId="122" fillId="56" borderId="29" applyNumberFormat="0" applyAlignment="0" applyProtection="0"/>
    <xf numFmtId="174" fontId="122" fillId="56" borderId="29" applyNumberFormat="0" applyAlignment="0" applyProtection="0"/>
    <xf numFmtId="0" fontId="84" fillId="56" borderId="29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0" fontId="48" fillId="20" borderId="8" applyNumberFormat="0" applyAlignment="0" applyProtection="0"/>
    <xf numFmtId="0" fontId="87" fillId="0" borderId="31" applyNumberFormat="0" applyFill="0" applyAlignment="0" applyProtection="0"/>
    <xf numFmtId="165" fontId="109" fillId="0" borderId="19" applyNumberFormat="0" applyFill="0" applyAlignment="0" applyProtection="0"/>
    <xf numFmtId="0" fontId="83" fillId="55" borderId="0" applyNumberFormat="0" applyBorder="0" applyAlignment="0" applyProtection="0"/>
    <xf numFmtId="165" fontId="111" fillId="22" borderId="0" applyNumberFormat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66" fillId="0" borderId="0"/>
    <xf numFmtId="165" fontId="66" fillId="0" borderId="0"/>
    <xf numFmtId="165" fontId="66" fillId="0" borderId="0"/>
    <xf numFmtId="0" fontId="10" fillId="0" borderId="0"/>
    <xf numFmtId="174" fontId="19" fillId="0" borderId="0"/>
    <xf numFmtId="174" fontId="19" fillId="0" borderId="0"/>
    <xf numFmtId="174" fontId="19" fillId="0" borderId="0"/>
    <xf numFmtId="0" fontId="10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123" fillId="18" borderId="20" applyNumberFormat="0" applyFont="0" applyAlignment="0" applyProtection="0"/>
    <xf numFmtId="0" fontId="123" fillId="18" borderId="20" applyNumberFormat="0" applyFont="0" applyAlignment="0" applyProtection="0"/>
    <xf numFmtId="0" fontId="123" fillId="18" borderId="20" applyNumberFormat="0" applyFont="0" applyAlignment="0" applyProtection="0"/>
    <xf numFmtId="0" fontId="123" fillId="18" borderId="20" applyNumberFormat="0" applyFont="0" applyAlignment="0" applyProtection="0"/>
    <xf numFmtId="0" fontId="123" fillId="18" borderId="20" applyNumberFormat="0" applyFont="0" applyAlignment="0" applyProtection="0"/>
    <xf numFmtId="174" fontId="123" fillId="2" borderId="6" applyNumberFormat="0" applyFont="0" applyAlignment="0" applyProtection="0"/>
    <xf numFmtId="174" fontId="123" fillId="2" borderId="6" applyNumberFormat="0" applyFont="0" applyAlignment="0" applyProtection="0"/>
    <xf numFmtId="174" fontId="123" fillId="2" borderId="6" applyNumberFormat="0" applyFont="0" applyAlignment="0" applyProtection="0"/>
    <xf numFmtId="174" fontId="123" fillId="2" borderId="6" applyNumberFormat="0" applyFont="0" applyAlignment="0" applyProtection="0"/>
    <xf numFmtId="165" fontId="123" fillId="18" borderId="20" applyNumberFormat="0" applyFont="0" applyAlignment="0" applyProtection="0"/>
    <xf numFmtId="174" fontId="123" fillId="2" borderId="6" applyNumberFormat="0" applyFont="0" applyAlignment="0" applyProtection="0"/>
    <xf numFmtId="174" fontId="123" fillId="2" borderId="6" applyNumberFormat="0" applyFont="0" applyAlignment="0" applyProtection="0"/>
    <xf numFmtId="165" fontId="123" fillId="18" borderId="20" applyNumberFormat="0" applyFont="0" applyAlignment="0" applyProtection="0"/>
    <xf numFmtId="174" fontId="123" fillId="2" borderId="6" applyNumberFormat="0" applyFont="0" applyAlignment="0" applyProtection="0"/>
    <xf numFmtId="174" fontId="123" fillId="2" borderId="6" applyNumberFormat="0" applyFont="0" applyAlignment="0" applyProtection="0"/>
    <xf numFmtId="165" fontId="123" fillId="18" borderId="20" applyNumberFormat="0" applyFont="0" applyAlignment="0" applyProtection="0"/>
    <xf numFmtId="174" fontId="123" fillId="2" borderId="6" applyNumberFormat="0" applyFont="0" applyAlignment="0" applyProtection="0"/>
    <xf numFmtId="174" fontId="123" fillId="2" borderId="6" applyNumberFormat="0" applyFont="0" applyAlignment="0" applyProtection="0"/>
    <xf numFmtId="165" fontId="123" fillId="18" borderId="20" applyNumberFormat="0" applyFont="0" applyAlignment="0" applyProtection="0"/>
    <xf numFmtId="174" fontId="123" fillId="2" borderId="6" applyNumberFormat="0" applyFont="0" applyAlignment="0" applyProtection="0"/>
    <xf numFmtId="174" fontId="123" fillId="2" borderId="6" applyNumberFormat="0" applyFont="0" applyAlignment="0" applyProtection="0"/>
    <xf numFmtId="165" fontId="123" fillId="18" borderId="20" applyNumberFormat="0" applyFont="0" applyAlignment="0" applyProtection="0"/>
    <xf numFmtId="174" fontId="123" fillId="2" borderId="6" applyNumberFormat="0" applyFont="0" applyAlignment="0" applyProtection="0"/>
    <xf numFmtId="174" fontId="123" fillId="2" borderId="6" applyNumberFormat="0" applyFont="0" applyAlignment="0" applyProtection="0"/>
    <xf numFmtId="0" fontId="123" fillId="18" borderId="20" applyNumberFormat="0" applyFont="0" applyAlignment="0" applyProtection="0"/>
    <xf numFmtId="0" fontId="85" fillId="57" borderId="30" applyNumberFormat="0" applyAlignment="0" applyProtection="0"/>
    <xf numFmtId="165" fontId="56" fillId="19" borderId="21" applyNumberFormat="0" applyAlignment="0" applyProtection="0"/>
    <xf numFmtId="0" fontId="59" fillId="40" borderId="0">
      <alignment horizontal="center" vertical="center"/>
    </xf>
    <xf numFmtId="0" fontId="59" fillId="40" borderId="0">
      <alignment horizontal="center" vertical="center"/>
    </xf>
    <xf numFmtId="0" fontId="50" fillId="40" borderId="10"/>
    <xf numFmtId="0" fontId="59" fillId="40" borderId="0" applyBorder="0">
      <alignment horizontal="centerContinuous"/>
    </xf>
    <xf numFmtId="0" fontId="59" fillId="40" borderId="0" applyBorder="0">
      <alignment horizontal="centerContinuous"/>
    </xf>
    <xf numFmtId="0" fontId="65" fillId="40" borderId="0" applyBorder="0">
      <alignment horizontal="centerContinuous"/>
    </xf>
    <xf numFmtId="0" fontId="65" fillId="40" borderId="0" applyBorder="0">
      <alignment horizontal="centerContinuous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8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8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8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8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8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8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8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8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8" fontId="31" fillId="34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165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7" fillId="18" borderId="20" applyNumberFormat="0" applyFont="0" applyAlignment="0" applyProtection="0"/>
    <xf numFmtId="172" fontId="57" fillId="34" borderId="0">
      <alignment horizontal="right"/>
    </xf>
    <xf numFmtId="40" fontId="58" fillId="40" borderId="0">
      <alignment horizontal="right"/>
    </xf>
    <xf numFmtId="168" fontId="59" fillId="41" borderId="0">
      <alignment horizontal="center"/>
    </xf>
    <xf numFmtId="168" fontId="62" fillId="34" borderId="0" applyBorder="0">
      <alignment horizontal="centerContinuous"/>
    </xf>
    <xf numFmtId="168" fontId="63" fillId="42" borderId="0" applyBorder="0">
      <alignment horizontal="centerContinuous"/>
    </xf>
    <xf numFmtId="9" fontId="10" fillId="0" borderId="0" applyFont="0" applyFill="0" applyBorder="0" applyAlignment="0" applyProtection="0"/>
    <xf numFmtId="181" fontId="119" fillId="76" borderId="42">
      <alignment horizontal="left"/>
    </xf>
    <xf numFmtId="168" fontId="77" fillId="34" borderId="0">
      <alignment horizontal="center"/>
    </xf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71" borderId="0" applyNumberFormat="0" applyBorder="0" applyAlignment="0" applyProtection="0"/>
    <xf numFmtId="0" fontId="6" fillId="3" borderId="0" applyNumberFormat="0" applyBorder="0" applyAlignment="0" applyProtection="0"/>
    <xf numFmtId="0" fontId="18" fillId="23" borderId="0" applyNumberFormat="0" applyBorder="0" applyAlignment="0" applyProtection="0"/>
    <xf numFmtId="0" fontId="6" fillId="5" borderId="0" applyNumberFormat="0" applyBorder="0" applyAlignment="0" applyProtection="0"/>
    <xf numFmtId="0" fontId="18" fillId="39" borderId="0" applyNumberFormat="0" applyBorder="0" applyAlignment="0" applyProtection="0"/>
    <xf numFmtId="0" fontId="6" fillId="7" borderId="0" applyNumberFormat="0" applyBorder="0" applyAlignment="0" applyProtection="0"/>
    <xf numFmtId="0" fontId="18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18" fillId="20" borderId="0" applyNumberFormat="0" applyBorder="0" applyAlignment="0" applyProtection="0"/>
    <xf numFmtId="0" fontId="6" fillId="13" borderId="0" applyNumberFormat="0" applyBorder="0" applyAlignment="0" applyProtection="0"/>
    <xf numFmtId="0" fontId="18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8" fillId="38" borderId="0" applyNumberFormat="0" applyBorder="0" applyAlignment="0" applyProtection="0"/>
    <xf numFmtId="0" fontId="6" fillId="8" borderId="0" applyNumberFormat="0" applyBorder="0" applyAlignment="0" applyProtection="0"/>
    <xf numFmtId="0" fontId="18" fillId="33" borderId="0" applyNumberFormat="0" applyBorder="0" applyAlignment="0" applyProtection="0"/>
    <xf numFmtId="0" fontId="6" fillId="10" borderId="0" applyNumberFormat="0" applyBorder="0" applyAlignment="0" applyProtection="0"/>
    <xf numFmtId="0" fontId="18" fillId="16" borderId="0" applyNumberFormat="0" applyBorder="0" applyAlignment="0" applyProtection="0"/>
    <xf numFmtId="0" fontId="6" fillId="12" borderId="0" applyNumberFormat="0" applyBorder="0" applyAlignment="0" applyProtection="0"/>
    <xf numFmtId="0" fontId="18" fillId="26" borderId="0" applyNumberFormat="0" applyBorder="0" applyAlignment="0" applyProtection="0"/>
    <xf numFmtId="0" fontId="6" fillId="14" borderId="0" applyNumberFormat="0" applyBorder="0" applyAlignment="0" applyProtection="0"/>
    <xf numFmtId="0" fontId="20" fillId="72" borderId="0" applyNumberFormat="0" applyBorder="0" applyAlignment="0" applyProtection="0"/>
    <xf numFmtId="0" fontId="91" fillId="60" borderId="0" applyNumberFormat="0" applyBorder="0" applyAlignment="0" applyProtection="0"/>
    <xf numFmtId="0" fontId="20" fillId="17" borderId="0" applyNumberFormat="0" applyBorder="0" applyAlignment="0" applyProtection="0"/>
    <xf numFmtId="0" fontId="91" fillId="62" borderId="0" applyNumberFormat="0" applyBorder="0" applyAlignment="0" applyProtection="0"/>
    <xf numFmtId="0" fontId="20" fillId="38" borderId="0" applyNumberFormat="0" applyBorder="0" applyAlignment="0" applyProtection="0"/>
    <xf numFmtId="0" fontId="91" fillId="64" borderId="0" applyNumberFormat="0" applyBorder="0" applyAlignment="0" applyProtection="0"/>
    <xf numFmtId="0" fontId="20" fillId="73" borderId="0" applyNumberFormat="0" applyBorder="0" applyAlignment="0" applyProtection="0"/>
    <xf numFmtId="0" fontId="91" fillId="66" borderId="0" applyNumberFormat="0" applyBorder="0" applyAlignment="0" applyProtection="0"/>
    <xf numFmtId="0" fontId="20" fillId="29" borderId="0" applyNumberFormat="0" applyBorder="0" applyAlignment="0" applyProtection="0"/>
    <xf numFmtId="0" fontId="91" fillId="68" borderId="0" applyNumberFormat="0" applyBorder="0" applyAlignment="0" applyProtection="0"/>
    <xf numFmtId="0" fontId="20" fillId="48" borderId="0" applyNumberFormat="0" applyBorder="0" applyAlignment="0" applyProtection="0"/>
    <xf numFmtId="0" fontId="91" fillId="70" borderId="0" applyNumberFormat="0" applyBorder="0" applyAlignment="0" applyProtection="0"/>
    <xf numFmtId="0" fontId="20" fillId="74" borderId="0" applyNumberFormat="0" applyBorder="0" applyAlignment="0" applyProtection="0"/>
    <xf numFmtId="0" fontId="91" fillId="59" borderId="0" applyNumberFormat="0" applyBorder="0" applyAlignment="0" applyProtection="0"/>
    <xf numFmtId="0" fontId="20" fillId="30" borderId="0" applyNumberFormat="0" applyBorder="0" applyAlignment="0" applyProtection="0"/>
    <xf numFmtId="0" fontId="91" fillId="61" borderId="0" applyNumberFormat="0" applyBorder="0" applyAlignment="0" applyProtection="0"/>
    <xf numFmtId="0" fontId="20" fillId="31" borderId="0" applyNumberFormat="0" applyBorder="0" applyAlignment="0" applyProtection="0"/>
    <xf numFmtId="0" fontId="91" fillId="63" borderId="0" applyNumberFormat="0" applyBorder="0" applyAlignment="0" applyProtection="0"/>
    <xf numFmtId="0" fontId="20" fillId="73" borderId="0" applyNumberFormat="0" applyBorder="0" applyAlignment="0" applyProtection="0"/>
    <xf numFmtId="0" fontId="91" fillId="65" borderId="0" applyNumberFormat="0" applyBorder="0" applyAlignment="0" applyProtection="0"/>
    <xf numFmtId="0" fontId="91" fillId="67" borderId="0" applyNumberFormat="0" applyBorder="0" applyAlignment="0" applyProtection="0"/>
    <xf numFmtId="0" fontId="20" fillId="25" borderId="0" applyNumberFormat="0" applyBorder="0" applyAlignment="0" applyProtection="0"/>
    <xf numFmtId="0" fontId="91" fillId="69" borderId="0" applyNumberFormat="0" applyBorder="0" applyAlignment="0" applyProtection="0"/>
    <xf numFmtId="0" fontId="22" fillId="23" borderId="0" applyNumberFormat="0" applyBorder="0" applyAlignment="0" applyProtection="0"/>
    <xf numFmtId="0" fontId="82" fillId="54" borderId="0" applyNumberFormat="0" applyBorder="0" applyAlignment="0" applyProtection="0"/>
    <xf numFmtId="0" fontId="120" fillId="19" borderId="8" applyNumberFormat="0" applyAlignment="0" applyProtection="0"/>
    <xf numFmtId="0" fontId="86" fillId="57" borderId="29" applyNumberFormat="0" applyAlignment="0" applyProtection="0"/>
    <xf numFmtId="0" fontId="88" fillId="58" borderId="32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81" fillId="53" borderId="0" applyNumberFormat="0" applyBorder="0" applyAlignment="0" applyProtection="0"/>
    <xf numFmtId="0" fontId="100" fillId="0" borderId="34" applyNumberFormat="0" applyFill="0" applyAlignment="0" applyProtection="0"/>
    <xf numFmtId="0" fontId="104" fillId="0" borderId="35" applyNumberFormat="0" applyFill="0" applyAlignment="0" applyProtection="0"/>
    <xf numFmtId="0" fontId="106" fillId="0" borderId="36" applyNumberFormat="0" applyFill="0" applyAlignment="0" applyProtection="0"/>
    <xf numFmtId="0" fontId="80" fillId="0" borderId="28" applyNumberFormat="0" applyFill="0" applyAlignment="0" applyProtection="0"/>
    <xf numFmtId="0" fontId="10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8" fillId="20" borderId="8" applyNumberFormat="0" applyAlignment="0" applyProtection="0"/>
    <xf numFmtId="0" fontId="84" fillId="56" borderId="29" applyNumberFormat="0" applyAlignment="0" applyProtection="0"/>
    <xf numFmtId="0" fontId="109" fillId="0" borderId="19" applyNumberFormat="0" applyFill="0" applyAlignment="0" applyProtection="0"/>
    <xf numFmtId="0" fontId="87" fillId="0" borderId="31" applyNumberFormat="0" applyFill="0" applyAlignment="0" applyProtection="0"/>
    <xf numFmtId="0" fontId="111" fillId="22" borderId="0" applyNumberFormat="0" applyBorder="0" applyAlignment="0" applyProtection="0"/>
    <xf numFmtId="0" fontId="83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8" borderId="20" applyNumberFormat="0" applyFont="0" applyAlignment="0" applyProtection="0"/>
    <xf numFmtId="0" fontId="56" fillId="19" borderId="21" applyNumberFormat="0" applyAlignment="0" applyProtection="0"/>
    <xf numFmtId="0" fontId="85" fillId="57" borderId="3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89" fillId="0" borderId="0" applyNumberFormat="0" applyFill="0" applyBorder="0" applyAlignment="0" applyProtection="0"/>
    <xf numFmtId="0" fontId="125" fillId="0" borderId="0"/>
    <xf numFmtId="0" fontId="10" fillId="0" borderId="0"/>
    <xf numFmtId="0" fontId="10" fillId="0" borderId="0"/>
    <xf numFmtId="0" fontId="10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/>
    <xf numFmtId="183" fontId="8" fillId="0" borderId="0" applyFill="0"/>
    <xf numFmtId="183" fontId="8" fillId="0" borderId="0">
      <alignment horizontal="center"/>
    </xf>
    <xf numFmtId="0" fontId="8" fillId="0" borderId="0" applyFill="0">
      <alignment horizontal="center"/>
    </xf>
    <xf numFmtId="183" fontId="38" fillId="0" borderId="39" applyFill="0"/>
    <xf numFmtId="0" fontId="10" fillId="0" borderId="0" applyFont="0" applyAlignment="0"/>
    <xf numFmtId="0" fontId="127" fillId="0" borderId="0" applyFill="0">
      <alignment vertical="top"/>
    </xf>
    <xf numFmtId="0" fontId="38" fillId="0" borderId="0" applyFill="0">
      <alignment horizontal="left" vertical="top"/>
    </xf>
    <xf numFmtId="183" fontId="16" fillId="0" borderId="1" applyFill="0"/>
    <xf numFmtId="0" fontId="10" fillId="0" borderId="0" applyNumberFormat="0" applyFont="0" applyAlignment="0"/>
    <xf numFmtId="0" fontId="127" fillId="0" borderId="0" applyFill="0">
      <alignment wrapText="1"/>
    </xf>
    <xf numFmtId="0" fontId="38" fillId="0" borderId="0" applyFill="0">
      <alignment horizontal="left" vertical="top" wrapText="1"/>
    </xf>
    <xf numFmtId="183" fontId="128" fillId="0" borderId="0" applyFill="0"/>
    <xf numFmtId="0" fontId="129" fillId="0" borderId="0" applyNumberFormat="0" applyFont="0" applyAlignment="0">
      <alignment horizontal="center"/>
    </xf>
    <xf numFmtId="0" fontId="130" fillId="0" borderId="0" applyFill="0">
      <alignment vertical="top" wrapText="1"/>
    </xf>
    <xf numFmtId="0" fontId="16" fillId="0" borderId="0" applyFill="0">
      <alignment horizontal="left" vertical="top" wrapText="1"/>
    </xf>
    <xf numFmtId="183" fontId="10" fillId="0" borderId="0" applyFill="0"/>
    <xf numFmtId="0" fontId="129" fillId="0" borderId="0" applyNumberFormat="0" applyFont="0" applyAlignment="0">
      <alignment horizontal="center"/>
    </xf>
    <xf numFmtId="0" fontId="131" fillId="0" borderId="0" applyFill="0">
      <alignment vertical="center" wrapText="1"/>
    </xf>
    <xf numFmtId="0" fontId="15" fillId="0" borderId="0">
      <alignment horizontal="left" vertical="center" wrapText="1"/>
    </xf>
    <xf numFmtId="183" fontId="132" fillId="0" borderId="0" applyFill="0"/>
    <xf numFmtId="0" fontId="129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0" fillId="0" borderId="0" applyFill="0">
      <alignment horizontal="center" vertical="center" wrapText="1"/>
    </xf>
    <xf numFmtId="183" fontId="134" fillId="0" borderId="0" applyFill="0"/>
    <xf numFmtId="0" fontId="129" fillId="0" borderId="0" applyNumberFormat="0" applyFont="0" applyAlignment="0">
      <alignment horizontal="center"/>
    </xf>
    <xf numFmtId="0" fontId="135" fillId="0" borderId="0" applyFill="0">
      <alignment horizontal="center" vertical="center" wrapText="1"/>
    </xf>
    <xf numFmtId="0" fontId="136" fillId="0" borderId="0" applyFill="0">
      <alignment horizontal="center" vertical="center" wrapText="1"/>
    </xf>
    <xf numFmtId="183" fontId="137" fillId="0" borderId="0" applyFill="0"/>
    <xf numFmtId="0" fontId="129" fillId="0" borderId="0" applyNumberFormat="0" applyFont="0" applyAlignment="0">
      <alignment horizontal="center"/>
    </xf>
    <xf numFmtId="0" fontId="138" fillId="0" borderId="0">
      <alignment horizontal="center" wrapText="1"/>
    </xf>
    <xf numFmtId="0" fontId="134" fillId="0" borderId="0" applyFill="0">
      <alignment horizontal="center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8" fillId="15" borderId="0" applyFill="0"/>
    <xf numFmtId="0" fontId="139" fillId="0" borderId="0">
      <alignment horizontal="left" indent="7"/>
    </xf>
    <xf numFmtId="0" fontId="8" fillId="0" borderId="0" applyFill="0">
      <alignment horizontal="left" indent="7"/>
    </xf>
    <xf numFmtId="7" fontId="140" fillId="0" borderId="26" applyFill="0">
      <alignment horizontal="right"/>
    </xf>
    <xf numFmtId="0" fontId="16" fillId="0" borderId="0" applyNumberFormat="0">
      <alignment horizontal="right"/>
    </xf>
    <xf numFmtId="0" fontId="141" fillId="0" borderId="26" applyFont="0" applyFill="0"/>
    <xf numFmtId="0" fontId="16" fillId="0" borderId="26" applyFill="0"/>
    <xf numFmtId="39" fontId="140" fillId="0" borderId="0" applyFill="0"/>
    <xf numFmtId="0" fontId="10" fillId="0" borderId="0" applyNumberFormat="0" applyFont="0" applyBorder="0" applyAlignment="0"/>
    <xf numFmtId="0" fontId="130" fillId="0" borderId="0" applyFill="0">
      <alignment horizontal="left" indent="1"/>
    </xf>
    <xf numFmtId="0" fontId="16" fillId="0" borderId="0" applyFill="0">
      <alignment horizontal="left" indent="1"/>
    </xf>
    <xf numFmtId="39" fontId="132" fillId="0" borderId="0" applyFill="0"/>
    <xf numFmtId="0" fontId="10" fillId="0" borderId="0" applyNumberFormat="0" applyFont="0" applyFill="0" applyBorder="0" applyAlignment="0"/>
    <xf numFmtId="0" fontId="130" fillId="0" borderId="0" applyFill="0">
      <alignment horizontal="left" indent="2"/>
    </xf>
    <xf numFmtId="0" fontId="68" fillId="0" borderId="0" applyFill="0">
      <alignment horizontal="left" indent="2"/>
    </xf>
    <xf numFmtId="39" fontId="132" fillId="0" borderId="0" applyFill="0"/>
    <xf numFmtId="0" fontId="10" fillId="0" borderId="0" applyNumberFormat="0" applyFont="0" applyBorder="0" applyAlignment="0"/>
    <xf numFmtId="0" fontId="142" fillId="0" borderId="0">
      <alignment horizontal="left" indent="3"/>
    </xf>
    <xf numFmtId="0" fontId="143" fillId="0" borderId="0" applyFill="0">
      <alignment horizontal="left" indent="3"/>
    </xf>
    <xf numFmtId="39" fontId="132" fillId="0" borderId="0" applyFill="0"/>
    <xf numFmtId="0" fontId="10" fillId="0" borderId="0" applyNumberFormat="0" applyFont="0" applyBorder="0" applyAlignment="0"/>
    <xf numFmtId="0" fontId="133" fillId="0" borderId="0">
      <alignment horizontal="left" indent="4"/>
    </xf>
    <xf numFmtId="0" fontId="10" fillId="0" borderId="0" applyFill="0">
      <alignment horizontal="left" indent="4"/>
    </xf>
    <xf numFmtId="39" fontId="132" fillId="0" borderId="0" applyFill="0"/>
    <xf numFmtId="0" fontId="10" fillId="0" borderId="0" applyNumberFormat="0" applyFont="0" applyBorder="0" applyAlignment="0"/>
    <xf numFmtId="0" fontId="135" fillId="0" borderId="0">
      <alignment horizontal="left" indent="5"/>
    </xf>
    <xf numFmtId="0" fontId="136" fillId="0" borderId="0" applyFill="0">
      <alignment horizontal="left" indent="5"/>
    </xf>
    <xf numFmtId="39" fontId="137" fillId="0" borderId="0" applyFill="0"/>
    <xf numFmtId="0" fontId="10" fillId="0" borderId="0" applyNumberFormat="0" applyFont="0" applyFill="0" applyBorder="0" applyAlignment="0"/>
    <xf numFmtId="0" fontId="138" fillId="0" borderId="0" applyFill="0">
      <alignment horizontal="left" indent="6"/>
    </xf>
    <xf numFmtId="0" fontId="134" fillId="0" borderId="0" applyFill="0">
      <alignment horizontal="left" indent="6"/>
    </xf>
    <xf numFmtId="0" fontId="3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84" fontId="144" fillId="0" borderId="43" applyNumberFormat="0" applyProtection="0">
      <alignment horizontal="right" vertical="center"/>
    </xf>
    <xf numFmtId="184" fontId="145" fillId="0" borderId="44" applyNumberFormat="0" applyProtection="0">
      <alignment horizontal="right" vertical="center"/>
    </xf>
    <xf numFmtId="0" fontId="145" fillId="77" borderId="45" applyNumberFormat="0" applyAlignment="0" applyProtection="0">
      <alignment horizontal="left" vertical="center" indent="1"/>
    </xf>
    <xf numFmtId="0" fontId="146" fillId="0" borderId="46" applyNumberFormat="0" applyFill="0" applyBorder="0" applyAlignment="0" applyProtection="0"/>
    <xf numFmtId="0" fontId="147" fillId="78" borderId="45" applyNumberFormat="0" applyAlignment="0" applyProtection="0">
      <alignment horizontal="left" vertical="center" indent="1"/>
    </xf>
    <xf numFmtId="0" fontId="147" fillId="79" borderId="45" applyNumberFormat="0" applyAlignment="0" applyProtection="0">
      <alignment horizontal="left" vertical="center" indent="1"/>
    </xf>
    <xf numFmtId="0" fontId="147" fillId="80" borderId="45" applyNumberFormat="0" applyAlignment="0" applyProtection="0">
      <alignment horizontal="left" vertical="center" indent="1"/>
    </xf>
    <xf numFmtId="0" fontId="147" fillId="81" borderId="45" applyNumberFormat="0" applyAlignment="0" applyProtection="0">
      <alignment horizontal="left" vertical="center" indent="1"/>
    </xf>
    <xf numFmtId="0" fontId="147" fillId="82" borderId="44" applyNumberFormat="0" applyAlignment="0" applyProtection="0">
      <alignment horizontal="left" vertical="center" indent="1"/>
    </xf>
    <xf numFmtId="184" fontId="144" fillId="83" borderId="45" applyNumberFormat="0" applyAlignment="0" applyProtection="0">
      <alignment horizontal="left" vertical="center" indent="1"/>
    </xf>
    <xf numFmtId="0" fontId="145" fillId="77" borderId="44" applyNumberFormat="0" applyAlignment="0" applyProtection="0">
      <alignment horizontal="left" vertical="center" indent="1"/>
    </xf>
    <xf numFmtId="38" fontId="10" fillId="84" borderId="0" applyNumberFormat="0" applyFont="0" applyBorder="0" applyAlignment="0" applyProtection="0"/>
    <xf numFmtId="185" fontId="66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48" fillId="57" borderId="29" applyNumberFormat="0" applyAlignment="0" applyProtection="0"/>
    <xf numFmtId="168" fontId="27" fillId="37" borderId="0">
      <alignment horizontal="left"/>
    </xf>
    <xf numFmtId="168" fontId="29" fillId="37" borderId="0">
      <alignment horizontal="right"/>
    </xf>
    <xf numFmtId="168" fontId="30" fillId="34" borderId="0">
      <alignment horizontal="center"/>
    </xf>
    <xf numFmtId="168" fontId="29" fillId="37" borderId="0">
      <alignment horizontal="right"/>
    </xf>
    <xf numFmtId="168" fontId="31" fillId="34" borderId="0">
      <alignment horizontal="left"/>
    </xf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9" fillId="56" borderId="29" applyNumberFormat="0" applyAlignment="0" applyProtection="0"/>
    <xf numFmtId="168" fontId="27" fillId="37" borderId="0">
      <alignment horizontal="left"/>
    </xf>
    <xf numFmtId="168" fontId="50" fillId="34" borderId="0">
      <alignment horizontal="left"/>
    </xf>
    <xf numFmtId="168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71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168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" borderId="6" applyNumberFormat="0" applyFont="0" applyAlignment="0" applyProtection="0"/>
    <xf numFmtId="0" fontId="34" fillId="18" borderId="20" applyNumberFormat="0" applyFont="0" applyAlignment="0" applyProtection="0"/>
    <xf numFmtId="0" fontId="5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5" fillId="0" borderId="0"/>
    <xf numFmtId="0" fontId="34" fillId="18" borderId="20" applyNumberFormat="0" applyFont="0" applyAlignment="0" applyProtection="0"/>
    <xf numFmtId="0" fontId="5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5" fillId="0" borderId="0"/>
    <xf numFmtId="0" fontId="34" fillId="18" borderId="20" applyNumberFormat="0" applyFont="0" applyAlignment="0" applyProtection="0"/>
    <xf numFmtId="0" fontId="59" fillId="40" borderId="0">
      <alignment horizontal="center" vertical="center"/>
    </xf>
    <xf numFmtId="0" fontId="50" fillId="40" borderId="10"/>
    <xf numFmtId="0" fontId="59" fillId="40" borderId="0" applyBorder="0">
      <alignment horizontal="centerContinuous"/>
    </xf>
    <xf numFmtId="0" fontId="65" fillId="40" borderId="0" applyBorder="0">
      <alignment horizontal="centerContinuous"/>
    </xf>
    <xf numFmtId="168" fontId="50" fillId="22" borderId="0">
      <alignment horizontal="center"/>
    </xf>
    <xf numFmtId="168" fontId="29" fillId="37" borderId="0">
      <alignment horizontal="center"/>
    </xf>
    <xf numFmtId="168" fontId="29" fillId="37" borderId="0">
      <alignment horizontal="centerContinuous"/>
    </xf>
    <xf numFmtId="168" fontId="69" fillId="34" borderId="0">
      <alignment horizontal="left"/>
    </xf>
    <xf numFmtId="168" fontId="27" fillId="37" borderId="0">
      <alignment horizontal="left"/>
    </xf>
    <xf numFmtId="168" fontId="27" fillId="37" borderId="0">
      <alignment horizontal="centerContinuous"/>
    </xf>
    <xf numFmtId="168" fontId="27" fillId="37" borderId="0">
      <alignment horizontal="right"/>
    </xf>
    <xf numFmtId="168" fontId="29" fillId="37" borderId="0">
      <alignment horizontal="right"/>
    </xf>
    <xf numFmtId="168" fontId="69" fillId="20" borderId="0">
      <alignment horizontal="center"/>
    </xf>
    <xf numFmtId="168" fontId="70" fillId="20" borderId="0">
      <alignment horizontal="center"/>
    </xf>
    <xf numFmtId="168" fontId="77" fillId="34" borderId="0">
      <alignment horizontal="center"/>
    </xf>
    <xf numFmtId="43" fontId="10" fillId="0" borderId="0" applyFont="0" applyFill="0" applyBorder="0" applyAlignment="0" applyProtection="0"/>
    <xf numFmtId="166" fontId="10" fillId="0" borderId="0"/>
    <xf numFmtId="44" fontId="10" fillId="0" borderId="0" applyFont="0" applyFill="0" applyBorder="0" applyAlignment="0" applyProtection="0"/>
    <xf numFmtId="0" fontId="15" fillId="0" borderId="0"/>
    <xf numFmtId="166" fontId="10" fillId="0" borderId="0"/>
    <xf numFmtId="166" fontId="150" fillId="0" borderId="0"/>
    <xf numFmtId="0" fontId="10" fillId="0" borderId="0"/>
    <xf numFmtId="37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7" fontId="17" fillId="0" borderId="0"/>
    <xf numFmtId="37" fontId="17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78" fillId="0" borderId="0" xfId="5126" applyFont="1" applyFill="1" applyBorder="1" applyAlignment="1">
      <alignment horizontal="left"/>
    </xf>
    <xf numFmtId="0" fontId="78" fillId="0" borderId="0" xfId="5126" applyFont="1" applyFill="1" applyBorder="1" applyAlignment="1">
      <alignment horizontal="right"/>
    </xf>
    <xf numFmtId="0" fontId="78" fillId="0" borderId="0" xfId="5126" applyFont="1" applyFill="1" applyBorder="1" applyAlignment="1">
      <alignment horizontal="left" vertical="top"/>
    </xf>
    <xf numFmtId="0" fontId="78" fillId="0" borderId="0" xfId="5126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left" wrapText="1"/>
    </xf>
    <xf numFmtId="164" fontId="78" fillId="0" borderId="0" xfId="3950" applyNumberFormat="1" applyFont="1" applyFill="1" applyBorder="1" applyAlignment="1">
      <alignment horizontal="right" wrapText="1"/>
    </xf>
    <xf numFmtId="173" fontId="78" fillId="0" borderId="0" xfId="5126" applyNumberFormat="1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left" vertical="center" wrapText="1"/>
    </xf>
    <xf numFmtId="164" fontId="78" fillId="0" borderId="0" xfId="3950" applyNumberFormat="1" applyFont="1" applyFill="1" applyBorder="1" applyAlignment="1">
      <alignment horizontal="center" vertical="center" wrapText="1"/>
    </xf>
    <xf numFmtId="0" fontId="9" fillId="0" borderId="0" xfId="5126" applyFont="1" applyFill="1" applyBorder="1" applyAlignment="1">
      <alignment horizontal="left" wrapText="1"/>
    </xf>
    <xf numFmtId="0" fontId="10" fillId="0" borderId="0" xfId="0" applyFont="1" applyBorder="1"/>
    <xf numFmtId="0" fontId="78" fillId="0" borderId="1" xfId="5126" applyFont="1" applyFill="1" applyBorder="1" applyAlignment="1">
      <alignment horizontal="left"/>
    </xf>
    <xf numFmtId="0" fontId="10" fillId="0" borderId="2" xfId="5126" applyFont="1" applyFill="1" applyBorder="1" applyAlignment="1">
      <alignment horizontal="center" wrapText="1"/>
    </xf>
    <xf numFmtId="10" fontId="78" fillId="0" borderId="0" xfId="12089" applyNumberFormat="1" applyFont="1" applyFill="1" applyBorder="1" applyAlignment="1">
      <alignment horizontal="right" wrapText="1"/>
    </xf>
    <xf numFmtId="164" fontId="78" fillId="0" borderId="0" xfId="1" applyNumberFormat="1" applyFont="1" applyFill="1" applyBorder="1" applyAlignment="1">
      <alignment horizontal="right" wrapText="1"/>
    </xf>
    <xf numFmtId="37" fontId="15" fillId="0" borderId="0" xfId="14643" applyFont="1"/>
    <xf numFmtId="0" fontId="16" fillId="0" borderId="0" xfId="4614" applyFont="1" applyAlignment="1" applyProtection="1">
      <alignment horizontal="left"/>
    </xf>
    <xf numFmtId="0" fontId="151" fillId="0" borderId="0" xfId="5126" applyFont="1" applyFill="1" applyBorder="1" applyAlignment="1">
      <alignment horizontal="right"/>
    </xf>
    <xf numFmtId="37" fontId="10" fillId="0" borderId="0" xfId="14643" applyFont="1"/>
    <xf numFmtId="0" fontId="16" fillId="0" borderId="0" xfId="4614" quotePrefix="1" applyFont="1" applyAlignment="1" applyProtection="1">
      <alignment horizontal="left"/>
    </xf>
    <xf numFmtId="0" fontId="16" fillId="0" borderId="0" xfId="4614" quotePrefix="1" applyFont="1" applyAlignment="1" applyProtection="1">
      <alignment horizontal="left"/>
      <protection locked="0"/>
    </xf>
    <xf numFmtId="0" fontId="16" fillId="0" borderId="0" xfId="5126" applyFont="1" applyFill="1" applyBorder="1" applyAlignment="1">
      <alignment horizontal="right"/>
    </xf>
    <xf numFmtId="37" fontId="16" fillId="0" borderId="0" xfId="14643" applyFont="1" applyAlignment="1"/>
    <xf numFmtId="37" fontId="15" fillId="0" borderId="0" xfId="14643" applyFont="1" applyBorder="1"/>
    <xf numFmtId="164" fontId="15" fillId="0" borderId="0" xfId="4" applyNumberFormat="1" applyFont="1" applyBorder="1" applyAlignment="1">
      <alignment horizontal="centerContinuous"/>
    </xf>
    <xf numFmtId="164" fontId="152" fillId="0" borderId="0" xfId="4" applyNumberFormat="1" applyFont="1" applyBorder="1" applyAlignment="1">
      <alignment horizontal="centerContinuous"/>
    </xf>
    <xf numFmtId="164" fontId="15" fillId="0" borderId="0" xfId="4" applyNumberFormat="1" applyFont="1" applyBorder="1"/>
    <xf numFmtId="186" fontId="15" fillId="0" borderId="0" xfId="14643" applyNumberFormat="1" applyFont="1"/>
    <xf numFmtId="187" fontId="15" fillId="0" borderId="0" xfId="2" applyNumberFormat="1" applyFont="1" applyBorder="1" applyAlignment="1">
      <alignment horizontal="left"/>
    </xf>
    <xf numFmtId="187" fontId="15" fillId="0" borderId="0" xfId="2" applyNumberFormat="1" applyFont="1" applyBorder="1" applyAlignment="1">
      <alignment horizontal="fill"/>
    </xf>
    <xf numFmtId="187" fontId="15" fillId="0" borderId="0" xfId="2" applyNumberFormat="1" applyFont="1" applyBorder="1"/>
    <xf numFmtId="188" fontId="15" fillId="0" borderId="0" xfId="1" applyNumberFormat="1" applyFont="1"/>
    <xf numFmtId="37" fontId="15" fillId="0" borderId="0" xfId="14643" applyFont="1" applyBorder="1" applyAlignment="1">
      <alignment horizontal="left"/>
    </xf>
    <xf numFmtId="164" fontId="15" fillId="0" borderId="0" xfId="4" applyNumberFormat="1" applyFont="1" applyBorder="1" applyProtection="1">
      <protection locked="0"/>
    </xf>
    <xf numFmtId="189" fontId="15" fillId="0" borderId="0" xfId="14643" applyNumberFormat="1" applyFont="1" applyProtection="1"/>
    <xf numFmtId="188" fontId="15" fillId="0" borderId="2" xfId="1" applyNumberFormat="1" applyFont="1" applyBorder="1" applyProtection="1"/>
    <xf numFmtId="190" fontId="15" fillId="0" borderId="0" xfId="4" applyNumberFormat="1" applyFont="1" applyProtection="1"/>
    <xf numFmtId="37" fontId="15" fillId="0" borderId="0" xfId="14643" quotePrefix="1" applyFont="1" applyBorder="1" applyAlignment="1">
      <alignment horizontal="left"/>
    </xf>
    <xf numFmtId="187" fontId="15" fillId="0" borderId="0" xfId="2" applyNumberFormat="1" applyFont="1" applyBorder="1" applyProtection="1"/>
    <xf numFmtId="188" fontId="15" fillId="0" borderId="0" xfId="1" applyNumberFormat="1" applyFont="1" applyBorder="1" applyProtection="1"/>
    <xf numFmtId="37" fontId="15" fillId="0" borderId="0" xfId="14644" quotePrefix="1" applyFont="1" applyAlignment="1">
      <alignment horizontal="left"/>
    </xf>
    <xf numFmtId="9" fontId="15" fillId="0" borderId="0" xfId="4" applyNumberFormat="1" applyFont="1" applyBorder="1" applyProtection="1"/>
    <xf numFmtId="186" fontId="10" fillId="0" borderId="0" xfId="14643" applyNumberFormat="1" applyFont="1"/>
    <xf numFmtId="10" fontId="15" fillId="0" borderId="0" xfId="1" applyNumberFormat="1" applyFont="1" applyBorder="1" applyProtection="1"/>
    <xf numFmtId="37" fontId="15" fillId="0" borderId="0" xfId="14644" quotePrefix="1" applyFont="1" applyBorder="1" applyAlignment="1">
      <alignment horizontal="left"/>
    </xf>
    <xf numFmtId="188" fontId="15" fillId="0" borderId="0" xfId="1" applyNumberFormat="1" applyFont="1" applyFill="1" applyBorder="1" applyProtection="1"/>
    <xf numFmtId="190" fontId="15" fillId="0" borderId="0" xfId="4" applyNumberFormat="1" applyFont="1" applyBorder="1" applyProtection="1"/>
    <xf numFmtId="188" fontId="15" fillId="0" borderId="27" xfId="1" applyNumberFormat="1" applyFont="1" applyBorder="1"/>
    <xf numFmtId="164" fontId="15" fillId="0" borderId="0" xfId="4" applyNumberFormat="1" applyFont="1" applyBorder="1" applyAlignment="1">
      <alignment horizontal="right"/>
    </xf>
    <xf numFmtId="186" fontId="15" fillId="0" borderId="0" xfId="14643" applyNumberFormat="1" applyFont="1" applyProtection="1"/>
    <xf numFmtId="37" fontId="152" fillId="0" borderId="0" xfId="14644" applyFont="1"/>
    <xf numFmtId="37" fontId="15" fillId="0" borderId="0" xfId="14644" applyFont="1" applyBorder="1" applyAlignment="1">
      <alignment horizontal="left"/>
    </xf>
    <xf numFmtId="189" fontId="15" fillId="0" borderId="0" xfId="14644" applyNumberFormat="1" applyFont="1" applyProtection="1"/>
    <xf numFmtId="37" fontId="15" fillId="0" borderId="0" xfId="14644" applyFont="1" applyBorder="1"/>
    <xf numFmtId="188" fontId="15" fillId="0" borderId="27" xfId="1" applyNumberFormat="1" applyFont="1" applyBorder="1" applyProtection="1"/>
    <xf numFmtId="37" fontId="143" fillId="0" borderId="0" xfId="14644" quotePrefix="1" applyFont="1" applyBorder="1" applyAlignment="1">
      <alignment horizontal="left"/>
    </xf>
    <xf numFmtId="0" fontId="10" fillId="0" borderId="0" xfId="4614" applyFont="1"/>
    <xf numFmtId="0" fontId="9" fillId="0" borderId="0" xfId="4614" applyFont="1"/>
    <xf numFmtId="164" fontId="0" fillId="0" borderId="0" xfId="4" applyNumberFormat="1" applyFont="1"/>
    <xf numFmtId="164" fontId="0" fillId="0" borderId="0" xfId="4" applyNumberFormat="1" applyFont="1" applyBorder="1"/>
    <xf numFmtId="164" fontId="0" fillId="0" borderId="0" xfId="4" applyNumberFormat="1" applyFont="1" applyBorder="1" applyAlignment="1">
      <alignment horizontal="center"/>
    </xf>
    <xf numFmtId="0" fontId="153" fillId="0" borderId="0" xfId="0" applyFont="1" applyAlignment="1">
      <alignment horizontal="center"/>
    </xf>
    <xf numFmtId="164" fontId="153" fillId="0" borderId="0" xfId="4" applyNumberFormat="1" applyFont="1" applyAlignment="1">
      <alignment horizontal="center"/>
    </xf>
    <xf numFmtId="164" fontId="153" fillId="0" borderId="0" xfId="4" applyNumberFormat="1" applyFont="1" applyBorder="1" applyAlignment="1">
      <alignment horizontal="center"/>
    </xf>
    <xf numFmtId="164" fontId="0" fillId="0" borderId="0" xfId="4" quotePrefix="1" applyNumberFormat="1" applyFont="1" applyBorder="1" applyAlignment="1">
      <alignment horizontal="right"/>
    </xf>
    <xf numFmtId="164" fontId="0" fillId="0" borderId="50" xfId="4" applyNumberFormat="1" applyFont="1" applyBorder="1"/>
    <xf numFmtId="43" fontId="14" fillId="0" borderId="0" xfId="4" applyFont="1" applyAlignment="1">
      <alignment horizontal="left"/>
    </xf>
    <xf numFmtId="43" fontId="0" fillId="0" borderId="0" xfId="4" applyFont="1" applyAlignment="1">
      <alignment horizontal="left"/>
    </xf>
    <xf numFmtId="43" fontId="160" fillId="0" borderId="0" xfId="4" applyFont="1" applyAlignment="1">
      <alignment horizontal="left" wrapText="1"/>
    </xf>
    <xf numFmtId="164" fontId="160" fillId="0" borderId="0" xfId="4" applyNumberFormat="1" applyFont="1" applyAlignment="1">
      <alignment horizontal="center" wrapText="1"/>
    </xf>
    <xf numFmtId="164" fontId="0" fillId="0" borderId="2" xfId="4" applyNumberFormat="1" applyFont="1" applyBorder="1"/>
    <xf numFmtId="173" fontId="163" fillId="0" borderId="0" xfId="5126" applyNumberFormat="1" applyFont="1" applyFill="1" applyBorder="1" applyAlignment="1">
      <alignment horizontal="center" wrapText="1"/>
    </xf>
    <xf numFmtId="164" fontId="163" fillId="0" borderId="0" xfId="3950" applyNumberFormat="1" applyFont="1" applyFill="1" applyBorder="1" applyAlignment="1">
      <alignment horizontal="right" wrapText="1"/>
    </xf>
    <xf numFmtId="191" fontId="163" fillId="0" borderId="0" xfId="3950" applyNumberFormat="1" applyFont="1" applyFill="1" applyBorder="1" applyAlignment="1">
      <alignment horizontal="right" wrapText="1"/>
    </xf>
    <xf numFmtId="0" fontId="14" fillId="0" borderId="0" xfId="0" applyFont="1"/>
    <xf numFmtId="164" fontId="153" fillId="0" borderId="53" xfId="4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164" fontId="0" fillId="0" borderId="54" xfId="4" applyNumberFormat="1" applyFont="1" applyBorder="1"/>
    <xf numFmtId="164" fontId="153" fillId="0" borderId="54" xfId="4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50" xfId="0" applyNumberFormat="1" applyBorder="1"/>
    <xf numFmtId="164" fontId="0" fillId="0" borderId="58" xfId="0" applyNumberFormat="1" applyBorder="1"/>
    <xf numFmtId="164" fontId="0" fillId="0" borderId="0" xfId="0" applyNumberFormat="1"/>
    <xf numFmtId="0" fontId="164" fillId="0" borderId="0" xfId="0" applyFont="1"/>
    <xf numFmtId="0" fontId="165" fillId="0" borderId="0" xfId="0" applyFont="1"/>
    <xf numFmtId="43" fontId="159" fillId="0" borderId="0" xfId="4" applyFont="1"/>
    <xf numFmtId="43" fontId="0" fillId="0" borderId="0" xfId="4" applyFont="1"/>
    <xf numFmtId="43" fontId="0" fillId="0" borderId="0" xfId="0" applyNumberFormat="1"/>
    <xf numFmtId="43" fontId="78" fillId="0" borderId="0" xfId="5126" applyNumberFormat="1" applyFont="1" applyFill="1" applyBorder="1" applyAlignment="1">
      <alignment horizontal="left" vertical="top"/>
    </xf>
    <xf numFmtId="0" fontId="3" fillId="0" borderId="0" xfId="14648"/>
    <xf numFmtId="0" fontId="154" fillId="85" borderId="0" xfId="14648" applyFont="1" applyFill="1"/>
    <xf numFmtId="0" fontId="155" fillId="0" borderId="0" xfId="14648" applyFont="1" applyFill="1"/>
    <xf numFmtId="0" fontId="156" fillId="0" borderId="0" xfId="14648" applyFont="1" applyFill="1"/>
    <xf numFmtId="0" fontId="157" fillId="0" borderId="0" xfId="14648" applyFont="1"/>
    <xf numFmtId="0" fontId="158" fillId="0" borderId="0" xfId="14648" applyFont="1" applyFill="1"/>
    <xf numFmtId="0" fontId="3" fillId="0" borderId="0" xfId="14648" applyFont="1"/>
    <xf numFmtId="17" fontId="159" fillId="86" borderId="0" xfId="14648" applyNumberFormat="1" applyFont="1" applyFill="1" applyAlignment="1">
      <alignment horizontal="center" wrapText="1"/>
    </xf>
    <xf numFmtId="17" fontId="160" fillId="0" borderId="0" xfId="14648" applyNumberFormat="1" applyFont="1" applyAlignment="1">
      <alignment horizontal="center" wrapText="1"/>
    </xf>
    <xf numFmtId="192" fontId="0" fillId="0" borderId="0" xfId="14649" applyNumberFormat="1" applyFont="1"/>
    <xf numFmtId="0" fontId="3" fillId="0" borderId="0" xfId="14648" applyAlignment="1">
      <alignment vertical="top"/>
    </xf>
    <xf numFmtId="192" fontId="160" fillId="0" borderId="0" xfId="14649" applyNumberFormat="1" applyFont="1"/>
    <xf numFmtId="0" fontId="3" fillId="0" borderId="0" xfId="14648" applyAlignment="1">
      <alignment horizontal="left" indent="2"/>
    </xf>
    <xf numFmtId="192" fontId="161" fillId="0" borderId="0" xfId="14649" applyNumberFormat="1" applyFont="1"/>
    <xf numFmtId="164" fontId="0" fillId="0" borderId="0" xfId="14650" applyNumberFormat="1" applyFont="1"/>
    <xf numFmtId="164" fontId="160" fillId="0" borderId="0" xfId="14650" applyNumberFormat="1" applyFont="1"/>
    <xf numFmtId="164" fontId="161" fillId="0" borderId="0" xfId="14650" applyNumberFormat="1" applyFont="1"/>
    <xf numFmtId="0" fontId="156" fillId="0" borderId="0" xfId="14652" applyFont="1"/>
    <xf numFmtId="0" fontId="166" fillId="0" borderId="0" xfId="14652" applyFont="1" applyFill="1"/>
    <xf numFmtId="0" fontId="168" fillId="0" borderId="0" xfId="14652" applyFont="1" applyFill="1" applyAlignment="1">
      <alignment horizontal="center"/>
    </xf>
    <xf numFmtId="0" fontId="158" fillId="0" borderId="0" xfId="14652" applyFont="1" applyAlignment="1">
      <alignment horizontal="center" wrapText="1"/>
    </xf>
    <xf numFmtId="0" fontId="169" fillId="0" borderId="0" xfId="14652" applyFont="1" applyAlignment="1">
      <alignment horizontal="center" wrapText="1"/>
    </xf>
    <xf numFmtId="0" fontId="170" fillId="0" borderId="0" xfId="14652" applyFont="1" applyAlignment="1">
      <alignment horizontal="center" wrapText="1"/>
    </xf>
    <xf numFmtId="0" fontId="159" fillId="0" borderId="0" xfId="14652" applyFont="1" applyAlignment="1">
      <alignment horizontal="center" wrapText="1"/>
    </xf>
    <xf numFmtId="0" fontId="170" fillId="0" borderId="0" xfId="14652" applyFont="1" applyAlignment="1">
      <alignment horizontal="left"/>
    </xf>
    <xf numFmtId="0" fontId="170" fillId="0" borderId="0" xfId="14652" applyFont="1" applyAlignment="1">
      <alignment horizontal="left" indent="1"/>
    </xf>
    <xf numFmtId="187" fontId="158" fillId="0" borderId="0" xfId="14653" applyNumberFormat="1" applyFont="1"/>
    <xf numFmtId="164" fontId="158" fillId="0" borderId="0" xfId="14654" applyNumberFormat="1" applyFont="1"/>
    <xf numFmtId="10" fontId="158" fillId="0" borderId="0" xfId="14655" applyNumberFormat="1" applyFont="1"/>
    <xf numFmtId="0" fontId="158" fillId="0" borderId="0" xfId="14652" applyFont="1"/>
    <xf numFmtId="187" fontId="158" fillId="0" borderId="0" xfId="14652" applyNumberFormat="1" applyFont="1"/>
    <xf numFmtId="0" fontId="170" fillId="87" borderId="0" xfId="14652" applyFont="1" applyFill="1" applyAlignment="1">
      <alignment horizontal="left" indent="1"/>
    </xf>
    <xf numFmtId="164" fontId="158" fillId="87" borderId="0" xfId="14654" applyNumberFormat="1" applyFont="1" applyFill="1"/>
    <xf numFmtId="10" fontId="158" fillId="87" borderId="0" xfId="14655" applyNumberFormat="1" applyFont="1" applyFill="1"/>
    <xf numFmtId="0" fontId="170" fillId="0" borderId="0" xfId="14652" applyFont="1" applyFill="1" applyAlignment="1">
      <alignment horizontal="left" indent="1"/>
    </xf>
    <xf numFmtId="164" fontId="158" fillId="0" borderId="0" xfId="14654" applyNumberFormat="1" applyFont="1" applyFill="1"/>
    <xf numFmtId="10" fontId="158" fillId="0" borderId="0" xfId="14655" applyNumberFormat="1" applyFont="1" applyFill="1"/>
    <xf numFmtId="0" fontId="158" fillId="0" borderId="0" xfId="14652" applyFont="1" applyFill="1"/>
    <xf numFmtId="164" fontId="158" fillId="88" borderId="0" xfId="14654" applyNumberFormat="1" applyFont="1" applyFill="1"/>
    <xf numFmtId="164" fontId="158" fillId="89" borderId="0" xfId="14654" applyNumberFormat="1" applyFont="1" applyFill="1"/>
    <xf numFmtId="164" fontId="171" fillId="0" borderId="0" xfId="14654" applyNumberFormat="1" applyFont="1"/>
    <xf numFmtId="0" fontId="170" fillId="0" borderId="0" xfId="14652" applyFont="1"/>
    <xf numFmtId="187" fontId="172" fillId="0" borderId="0" xfId="14653" applyNumberFormat="1" applyFont="1"/>
    <xf numFmtId="0" fontId="167" fillId="87" borderId="0" xfId="14652" applyFont="1" applyFill="1" applyAlignment="1">
      <alignment horizontal="center" wrapText="1"/>
    </xf>
    <xf numFmtId="9" fontId="158" fillId="0" borderId="0" xfId="14655" applyNumberFormat="1" applyFont="1"/>
    <xf numFmtId="9" fontId="158" fillId="87" borderId="0" xfId="14655" applyNumberFormat="1" applyFont="1" applyFill="1"/>
    <xf numFmtId="9" fontId="158" fillId="0" borderId="0" xfId="14655" applyNumberFormat="1" applyFont="1" applyFill="1"/>
    <xf numFmtId="0" fontId="4" fillId="0" borderId="0" xfId="14645" applyFill="1"/>
    <xf numFmtId="0" fontId="10" fillId="0" borderId="0" xfId="0" applyFont="1" applyFill="1"/>
    <xf numFmtId="43" fontId="1" fillId="0" borderId="0" xfId="4" applyFont="1" applyFill="1" applyAlignment="1">
      <alignment horizontal="left"/>
    </xf>
    <xf numFmtId="164" fontId="10" fillId="0" borderId="0" xfId="4" applyNumberFormat="1" applyFont="1" applyFill="1"/>
    <xf numFmtId="164" fontId="1" fillId="0" borderId="0" xfId="4" applyNumberFormat="1" applyFont="1" applyFill="1" applyBorder="1"/>
    <xf numFmtId="164" fontId="0" fillId="0" borderId="2" xfId="0" applyNumberFormat="1" applyBorder="1"/>
    <xf numFmtId="49" fontId="10" fillId="0" borderId="0" xfId="5126" applyNumberFormat="1" applyFont="1" applyFill="1" applyBorder="1" applyAlignment="1">
      <alignment horizontal="center"/>
    </xf>
    <xf numFmtId="0" fontId="163" fillId="0" borderId="0" xfId="5126" applyFont="1" applyFill="1" applyBorder="1" applyAlignment="1">
      <alignment horizontal="left" wrapText="1"/>
    </xf>
    <xf numFmtId="43" fontId="173" fillId="0" borderId="0" xfId="1" applyNumberFormat="1" applyFont="1" applyFill="1" applyBorder="1" applyAlignment="1">
      <alignment horizontal="right" wrapText="1"/>
    </xf>
    <xf numFmtId="164" fontId="173" fillId="0" borderId="0" xfId="3950" applyNumberFormat="1" applyFont="1" applyFill="1" applyBorder="1" applyAlignment="1">
      <alignment horizontal="right" wrapText="1"/>
    </xf>
    <xf numFmtId="191" fontId="174" fillId="0" borderId="0" xfId="3950" applyNumberFormat="1" applyFont="1" applyFill="1" applyBorder="1" applyAlignment="1">
      <alignment horizontal="right" wrapText="1"/>
    </xf>
    <xf numFmtId="0" fontId="0" fillId="0" borderId="0" xfId="0" applyBorder="1"/>
    <xf numFmtId="164" fontId="0" fillId="0" borderId="0" xfId="0" applyNumberFormat="1" applyBorder="1"/>
    <xf numFmtId="43" fontId="0" fillId="0" borderId="0" xfId="0" applyNumberFormat="1" applyBorder="1"/>
    <xf numFmtId="164" fontId="0" fillId="0" borderId="0" xfId="4" applyNumberFormat="1" applyFont="1" applyFill="1"/>
    <xf numFmtId="49" fontId="10" fillId="0" borderId="0" xfId="5126" applyNumberFormat="1" applyFont="1" applyFill="1" applyBorder="1" applyAlignment="1">
      <alignment horizontal="right"/>
    </xf>
    <xf numFmtId="182" fontId="78" fillId="0" borderId="0" xfId="12089" applyNumberFormat="1" applyFont="1" applyFill="1" applyBorder="1" applyAlignment="1">
      <alignment horizontal="right" wrapText="1"/>
    </xf>
    <xf numFmtId="182" fontId="78" fillId="0" borderId="2" xfId="12089" applyNumberFormat="1" applyFont="1" applyFill="1" applyBorder="1" applyAlignment="1">
      <alignment horizontal="right" wrapText="1"/>
    </xf>
    <xf numFmtId="193" fontId="78" fillId="0" borderId="0" xfId="12089" applyNumberFormat="1" applyFont="1" applyFill="1" applyBorder="1" applyAlignment="1">
      <alignment horizontal="left" vertical="top"/>
    </xf>
    <xf numFmtId="182" fontId="78" fillId="0" borderId="27" xfId="12089" applyNumberFormat="1" applyFont="1" applyFill="1" applyBorder="1" applyAlignment="1">
      <alignment horizontal="right" wrapText="1"/>
    </xf>
    <xf numFmtId="194" fontId="78" fillId="0" borderId="0" xfId="12089" applyNumberFormat="1" applyFont="1" applyFill="1" applyBorder="1" applyAlignment="1">
      <alignment horizontal="right" wrapText="1"/>
    </xf>
    <xf numFmtId="0" fontId="78" fillId="0" borderId="0" xfId="5126" quotePrefix="1" applyFont="1" applyFill="1" applyBorder="1" applyAlignment="1">
      <alignment horizontal="right"/>
    </xf>
    <xf numFmtId="49" fontId="10" fillId="0" borderId="0" xfId="5126" applyNumberFormat="1" applyFont="1" applyFill="1" applyBorder="1" applyAlignment="1">
      <alignment horizontal="center"/>
    </xf>
    <xf numFmtId="0" fontId="10" fillId="0" borderId="0" xfId="5126" applyFont="1" applyFill="1" applyBorder="1" applyAlignment="1">
      <alignment horizontal="center"/>
    </xf>
    <xf numFmtId="0" fontId="78" fillId="0" borderId="26" xfId="5126" applyFont="1" applyFill="1" applyBorder="1" applyAlignment="1">
      <alignment horizontal="center"/>
    </xf>
    <xf numFmtId="37" fontId="15" fillId="0" borderId="0" xfId="14643" applyFont="1" applyAlignment="1">
      <alignment horizontal="center"/>
    </xf>
    <xf numFmtId="37" fontId="152" fillId="0" borderId="0" xfId="14643" quotePrefix="1" applyFont="1" applyAlignment="1">
      <alignment horizontal="center"/>
    </xf>
    <xf numFmtId="0" fontId="154" fillId="85" borderId="0" xfId="14652" applyFont="1" applyFill="1" applyAlignment="1">
      <alignment horizontal="center"/>
    </xf>
    <xf numFmtId="0" fontId="167" fillId="87" borderId="0" xfId="14652" applyFont="1" applyFill="1" applyAlignment="1">
      <alignment horizontal="center" wrapText="1"/>
    </xf>
    <xf numFmtId="164" fontId="0" fillId="0" borderId="47" xfId="4" applyNumberFormat="1" applyFont="1" applyBorder="1" applyAlignment="1">
      <alignment horizontal="center"/>
    </xf>
    <xf numFmtId="164" fontId="0" fillId="0" borderId="48" xfId="4" applyNumberFormat="1" applyFont="1" applyBorder="1" applyAlignment="1">
      <alignment horizontal="center"/>
    </xf>
    <xf numFmtId="164" fontId="0" fillId="0" borderId="49" xfId="4" applyNumberFormat="1" applyFont="1" applyBorder="1" applyAlignment="1">
      <alignment horizontal="center"/>
    </xf>
    <xf numFmtId="164" fontId="0" fillId="0" borderId="55" xfId="4" applyNumberFormat="1" applyFont="1" applyBorder="1" applyAlignment="1">
      <alignment horizontal="center"/>
    </xf>
    <xf numFmtId="164" fontId="0" fillId="0" borderId="56" xfId="4" applyNumberFormat="1" applyFont="1" applyBorder="1" applyAlignment="1">
      <alignment horizontal="center"/>
    </xf>
    <xf numFmtId="164" fontId="0" fillId="0" borderId="57" xfId="4" applyNumberFormat="1" applyFont="1" applyBorder="1" applyAlignment="1">
      <alignment horizontal="center"/>
    </xf>
    <xf numFmtId="164" fontId="0" fillId="0" borderId="51" xfId="4" applyNumberFormat="1" applyFont="1" applyBorder="1" applyAlignment="1">
      <alignment horizontal="center"/>
    </xf>
    <xf numFmtId="164" fontId="0" fillId="0" borderId="52" xfId="4" applyNumberFormat="1" applyFont="1" applyBorder="1" applyAlignment="1">
      <alignment horizontal="center"/>
    </xf>
  </cellXfs>
  <cellStyles count="14656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6"/>
    <cellStyle name="Comma 118" xfId="14650"/>
    <cellStyle name="Comma 119" xfId="14654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7"/>
    <cellStyle name="Currency 177" xfId="14651"/>
    <cellStyle name="Currency 178" xfId="1465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5"/>
    <cellStyle name="Normal 85" xfId="14648"/>
    <cellStyle name="Normal 86" xfId="14652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Composite Tax Rates" xfId="14644"/>
    <cellStyle name="Normal_KU RR Exhibits 12mosAPR 2008 SETTLEMENT JAN09 (Working File)" xfId="14643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49"/>
    <cellStyle name="Percent 19" xfId="14655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82"/>
  <sheetViews>
    <sheetView tabSelected="1" zoomScale="85" zoomScaleNormal="85" workbookViewId="0">
      <selection activeCell="C11" sqref="C11"/>
    </sheetView>
  </sheetViews>
  <sheetFormatPr defaultColWidth="9.140625" defaultRowHeight="12.75" x14ac:dyDescent="0.2"/>
  <cols>
    <col min="1" max="1" width="6.85546875" style="3" customWidth="1"/>
    <col min="2" max="2" width="77.7109375" style="3" customWidth="1"/>
    <col min="3" max="5" width="16.7109375" style="3" customWidth="1"/>
    <col min="6" max="16384" width="9.140625" style="3"/>
  </cols>
  <sheetData>
    <row r="1" spans="1:5" ht="20.100000000000001" customHeight="1" x14ac:dyDescent="0.2">
      <c r="D1" s="2"/>
      <c r="E1" s="2" t="s">
        <v>152</v>
      </c>
    </row>
    <row r="2" spans="1:5" ht="20.100000000000001" customHeight="1" x14ac:dyDescent="0.2">
      <c r="D2" s="2"/>
      <c r="E2" s="2" t="s">
        <v>176</v>
      </c>
    </row>
    <row r="3" spans="1:5" s="1" customFormat="1" ht="20.100000000000001" customHeight="1" x14ac:dyDescent="0.2">
      <c r="A3" s="160" t="s">
        <v>0</v>
      </c>
      <c r="B3" s="160"/>
      <c r="C3" s="160"/>
      <c r="D3" s="160"/>
      <c r="E3" s="160"/>
    </row>
    <row r="4" spans="1:5" s="1" customFormat="1" ht="20.100000000000001" customHeight="1" x14ac:dyDescent="0.2">
      <c r="A4" s="160" t="s">
        <v>144</v>
      </c>
      <c r="B4" s="160"/>
      <c r="C4" s="160"/>
      <c r="D4" s="160"/>
      <c r="E4" s="160"/>
    </row>
    <row r="5" spans="1:5" s="1" customFormat="1" ht="20.100000000000001" customHeight="1" x14ac:dyDescent="0.2">
      <c r="A5" s="161" t="s">
        <v>153</v>
      </c>
      <c r="B5" s="161"/>
      <c r="C5" s="161"/>
      <c r="D5" s="161"/>
      <c r="E5" s="161"/>
    </row>
    <row r="6" spans="1:5" s="1" customFormat="1" ht="20.100000000000001" customHeight="1" x14ac:dyDescent="0.2">
      <c r="A6" s="161" t="s">
        <v>158</v>
      </c>
      <c r="B6" s="161"/>
      <c r="C6" s="161"/>
      <c r="D6" s="161"/>
      <c r="E6" s="161"/>
    </row>
    <row r="7" spans="1:5" s="1" customFormat="1" ht="29.25" customHeight="1" x14ac:dyDescent="0.2"/>
    <row r="8" spans="1:5" s="1" customFormat="1" ht="20.100000000000001" customHeight="1" x14ac:dyDescent="0.2">
      <c r="A8" s="13"/>
      <c r="B8" s="13"/>
      <c r="C8" s="13"/>
      <c r="D8" s="162" t="s">
        <v>155</v>
      </c>
      <c r="E8" s="162"/>
    </row>
    <row r="9" spans="1:5" ht="59.25" customHeight="1" x14ac:dyDescent="0.2">
      <c r="A9" s="14" t="s">
        <v>3</v>
      </c>
      <c r="B9" s="14" t="s">
        <v>1</v>
      </c>
      <c r="C9" s="14" t="s">
        <v>154</v>
      </c>
      <c r="D9" s="14" t="s">
        <v>141</v>
      </c>
      <c r="E9" s="14" t="s">
        <v>140</v>
      </c>
    </row>
    <row r="10" spans="1:5" ht="18.95" customHeight="1" x14ac:dyDescent="0.2">
      <c r="A10" s="4"/>
      <c r="B10" s="9"/>
      <c r="C10" s="10" t="s">
        <v>4</v>
      </c>
      <c r="D10" s="10" t="s">
        <v>4</v>
      </c>
      <c r="E10" s="10" t="s">
        <v>4</v>
      </c>
    </row>
    <row r="11" spans="1:5" ht="18.95" customHeight="1" x14ac:dyDescent="0.2">
      <c r="A11" s="4"/>
      <c r="B11" s="145" t="s">
        <v>159</v>
      </c>
      <c r="C11" s="6"/>
      <c r="D11" s="6"/>
      <c r="E11" s="6"/>
    </row>
    <row r="12" spans="1:5" ht="18.95" customHeight="1" x14ac:dyDescent="0.2">
      <c r="A12" s="7">
        <v>1</v>
      </c>
      <c r="B12" s="12" t="s">
        <v>88</v>
      </c>
      <c r="C12" s="6">
        <f>-'Excess DIT (Unprot 15yr)'!$D$36</f>
        <v>-850809.87865411106</v>
      </c>
      <c r="D12" s="6"/>
      <c r="E12" s="6"/>
    </row>
    <row r="13" spans="1:5" ht="18.95" customHeight="1" x14ac:dyDescent="0.2">
      <c r="B13" s="12"/>
    </row>
    <row r="14" spans="1:5" ht="18.95" customHeight="1" x14ac:dyDescent="0.35">
      <c r="A14" s="7">
        <v>2</v>
      </c>
      <c r="B14" s="12" t="str">
        <f>CONCATENATE("GROSS-UP FACTOR USING ",TEXT('Effective Tax Rate'!$F$23,"0.00%")," EFFECTIVE TAX RATE (1)")</f>
        <v>GROSS-UP FACTOR USING 25.74% EFFECTIVE TAX RATE (1)</v>
      </c>
      <c r="C14" s="146">
        <f>1/(1-'Effective Tax Rate'!$F$23)</f>
        <v>1.3466199838405604</v>
      </c>
      <c r="D14" s="16"/>
      <c r="E14" s="16"/>
    </row>
    <row r="15" spans="1:5" ht="18.95" customHeight="1" x14ac:dyDescent="0.2">
      <c r="B15" s="12"/>
      <c r="E15" s="90"/>
    </row>
    <row r="16" spans="1:5" ht="18.95" customHeight="1" x14ac:dyDescent="0.2">
      <c r="A16" s="73">
        <v>3</v>
      </c>
      <c r="B16" s="11" t="s">
        <v>156</v>
      </c>
      <c r="C16" s="74">
        <f>C12*C14</f>
        <v>-1145717.5850445882</v>
      </c>
      <c r="D16" s="74">
        <f>C16*'TY TARIFF BILLING'!K$7</f>
        <v>-446829.85816738941</v>
      </c>
      <c r="E16" s="74">
        <f>C16-D16</f>
        <v>-698887.72687719879</v>
      </c>
    </row>
    <row r="17" spans="1:5" ht="18.95" customHeight="1" x14ac:dyDescent="0.2"/>
    <row r="18" spans="1:5" ht="18.95" customHeight="1" x14ac:dyDescent="0.35">
      <c r="A18" s="7">
        <v>4</v>
      </c>
      <c r="B18" s="5" t="s">
        <v>87</v>
      </c>
      <c r="C18" s="6"/>
      <c r="D18" s="147">
        <f>'TY KWH-RS vs Non-RS'!B$5/12*13</f>
        <v>6599267393.0774231</v>
      </c>
      <c r="E18" s="147">
        <f>'TY KWH-RS vs Non-RS'!B$6/12*13</f>
        <v>13258143181.572523</v>
      </c>
    </row>
    <row r="19" spans="1:5" ht="18.95" customHeight="1" x14ac:dyDescent="0.2"/>
    <row r="20" spans="1:5" ht="18.95" customHeight="1" x14ac:dyDescent="0.35">
      <c r="A20" s="7">
        <v>5</v>
      </c>
      <c r="B20" s="5" t="s">
        <v>157</v>
      </c>
      <c r="C20" s="75"/>
      <c r="D20" s="148">
        <f t="shared" ref="D20:E20" si="0">D16/D18</f>
        <v>-6.7709009432791013E-5</v>
      </c>
      <c r="E20" s="148">
        <f t="shared" si="0"/>
        <v>-5.2713846675647759E-5</v>
      </c>
    </row>
    <row r="21" spans="1:5" ht="18.95" customHeight="1" x14ac:dyDescent="0.2">
      <c r="A21" s="7"/>
      <c r="B21" s="5"/>
      <c r="C21" s="75"/>
      <c r="D21" s="75"/>
      <c r="E21" s="75"/>
    </row>
    <row r="22" spans="1:5" ht="18.95" customHeight="1" x14ac:dyDescent="0.2">
      <c r="B22" s="5" t="s">
        <v>99</v>
      </c>
    </row>
    <row r="23" spans="1:5" ht="18.95" customHeight="1" x14ac:dyDescent="0.2">
      <c r="A23" s="73">
        <v>6</v>
      </c>
      <c r="B23" s="11" t="s">
        <v>161</v>
      </c>
      <c r="C23" s="74">
        <f>C16/16</f>
        <v>-71607.349065286762</v>
      </c>
      <c r="D23" s="74">
        <f>D16/16</f>
        <v>-27926.866135461838</v>
      </c>
      <c r="E23" s="74">
        <f>E16/16</f>
        <v>-43680.482929824924</v>
      </c>
    </row>
    <row r="24" spans="1:5" ht="18.95" customHeight="1" x14ac:dyDescent="0.2"/>
    <row r="25" spans="1:5" ht="18.95" customHeight="1" x14ac:dyDescent="0.35">
      <c r="A25" s="7">
        <v>7</v>
      </c>
      <c r="B25" s="5" t="s">
        <v>98</v>
      </c>
      <c r="C25" s="147">
        <f>'TY KWH-RS vs Non-RS'!B$7/12</f>
        <v>1527493121.1269188</v>
      </c>
      <c r="D25" s="147">
        <f>'TY KWH-RS vs Non-RS'!B$5/12</f>
        <v>507635953.31364793</v>
      </c>
      <c r="E25" s="147">
        <f>'TY KWH-RS vs Non-RS'!B$6/12</f>
        <v>1019857167.813271</v>
      </c>
    </row>
    <row r="26" spans="1:5" ht="18.95" customHeight="1" x14ac:dyDescent="0.2"/>
    <row r="27" spans="1:5" ht="18.95" customHeight="1" x14ac:dyDescent="0.35">
      <c r="A27" s="7">
        <v>8</v>
      </c>
      <c r="B27" s="5" t="s">
        <v>162</v>
      </c>
      <c r="C27" s="148">
        <f>C23/C25</f>
        <v>-4.6878999371504822E-5</v>
      </c>
      <c r="D27" s="148">
        <f t="shared" ref="D27:E27" si="1">D23/D25</f>
        <v>-5.5013570164142702E-5</v>
      </c>
      <c r="E27" s="148">
        <f t="shared" si="1"/>
        <v>-4.2830000423963803E-5</v>
      </c>
    </row>
    <row r="28" spans="1:5" ht="18.95" customHeight="1" x14ac:dyDescent="0.2">
      <c r="C28" s="8"/>
      <c r="D28" s="8"/>
      <c r="E28" s="8"/>
    </row>
    <row r="29" spans="1:5" ht="18.95" customHeight="1" x14ac:dyDescent="0.2">
      <c r="A29" s="4"/>
      <c r="B29" s="145" t="s">
        <v>160</v>
      </c>
      <c r="C29" s="6"/>
      <c r="D29" s="6"/>
      <c r="E29" s="6"/>
    </row>
    <row r="30" spans="1:5" ht="18.95" customHeight="1" x14ac:dyDescent="0.2">
      <c r="A30" s="7">
        <v>1</v>
      </c>
      <c r="B30" s="12" t="s">
        <v>163</v>
      </c>
      <c r="C30" s="6">
        <f>-'Excess DIT (Unprot 5yr)'!D$36</f>
        <v>-2552429.6359623331</v>
      </c>
      <c r="D30" s="6"/>
      <c r="E30" s="6"/>
    </row>
    <row r="31" spans="1:5" ht="18.95" customHeight="1" x14ac:dyDescent="0.2">
      <c r="B31" s="12"/>
    </row>
    <row r="32" spans="1:5" ht="18.95" customHeight="1" x14ac:dyDescent="0.35">
      <c r="A32" s="7">
        <v>2</v>
      </c>
      <c r="B32" s="12" t="str">
        <f>CONCATENATE("GROSS-UP FACTOR USING ",TEXT('Effective Tax Rate'!$F$23,"0.00%")," EFFECTIVE TAX RATE (1)")</f>
        <v>GROSS-UP FACTOR USING 25.74% EFFECTIVE TAX RATE (1)</v>
      </c>
      <c r="C32" s="146">
        <f>1/(1-'Effective Tax Rate'!$F$23)</f>
        <v>1.3466199838405604</v>
      </c>
      <c r="D32" s="16"/>
      <c r="E32" s="16"/>
    </row>
    <row r="33" spans="1:5" ht="18.95" customHeight="1" x14ac:dyDescent="0.2">
      <c r="B33" s="12"/>
      <c r="E33" s="90"/>
    </row>
    <row r="34" spans="1:5" ht="18.95" customHeight="1" x14ac:dyDescent="0.2">
      <c r="A34" s="73">
        <v>3</v>
      </c>
      <c r="B34" s="11" t="s">
        <v>156</v>
      </c>
      <c r="C34" s="74">
        <f>C30*C32</f>
        <v>-3437152.7551337644</v>
      </c>
      <c r="D34" s="74">
        <f>C34*'TY TARIFF BILLING'!K$7</f>
        <v>-1340489.5745021682</v>
      </c>
      <c r="E34" s="74">
        <f>C34-D34</f>
        <v>-2096663.1806315961</v>
      </c>
    </row>
    <row r="35" spans="1:5" ht="18.95" customHeight="1" x14ac:dyDescent="0.2"/>
    <row r="36" spans="1:5" ht="18.95" customHeight="1" x14ac:dyDescent="0.35">
      <c r="A36" s="7">
        <v>4</v>
      </c>
      <c r="B36" s="5" t="s">
        <v>87</v>
      </c>
      <c r="C36" s="6"/>
      <c r="D36" s="147">
        <f>'TY KWH-RS vs Non-RS'!B$5/12*13</f>
        <v>6599267393.0774231</v>
      </c>
      <c r="E36" s="147">
        <f>'TY KWH-RS vs Non-RS'!B$6/12*13</f>
        <v>13258143181.572523</v>
      </c>
    </row>
    <row r="37" spans="1:5" ht="18.95" customHeight="1" x14ac:dyDescent="0.2"/>
    <row r="38" spans="1:5" ht="18.95" customHeight="1" x14ac:dyDescent="0.35">
      <c r="A38" s="7">
        <v>5</v>
      </c>
      <c r="B38" s="5" t="s">
        <v>157</v>
      </c>
      <c r="C38" s="75"/>
      <c r="D38" s="148">
        <f t="shared" ref="D38:E38" si="2">D34/D36</f>
        <v>-2.0312702829837305E-4</v>
      </c>
      <c r="E38" s="148">
        <f t="shared" si="2"/>
        <v>-1.5814154002694326E-4</v>
      </c>
    </row>
    <row r="39" spans="1:5" ht="18.95" customHeight="1" x14ac:dyDescent="0.2">
      <c r="A39" s="7"/>
      <c r="B39" s="5"/>
      <c r="C39" s="75"/>
      <c r="D39" s="75"/>
      <c r="E39" s="75"/>
    </row>
    <row r="40" spans="1:5" ht="18.95" customHeight="1" x14ac:dyDescent="0.2">
      <c r="B40" s="5" t="s">
        <v>99</v>
      </c>
    </row>
    <row r="41" spans="1:5" ht="18.95" customHeight="1" x14ac:dyDescent="0.2">
      <c r="A41" s="73">
        <v>6</v>
      </c>
      <c r="B41" s="11" t="s">
        <v>97</v>
      </c>
      <c r="C41" s="74">
        <f>C34/16</f>
        <v>-214822.04719586027</v>
      </c>
      <c r="D41" s="74">
        <f>D34/16</f>
        <v>-83780.598406385514</v>
      </c>
      <c r="E41" s="74">
        <f>E34/16</f>
        <v>-131041.44878947476</v>
      </c>
    </row>
    <row r="42" spans="1:5" ht="18.95" customHeight="1" x14ac:dyDescent="0.2"/>
    <row r="43" spans="1:5" ht="18.95" customHeight="1" x14ac:dyDescent="0.35">
      <c r="A43" s="7">
        <v>7</v>
      </c>
      <c r="B43" s="5" t="s">
        <v>98</v>
      </c>
      <c r="C43" s="147">
        <f>'TY KWH-RS vs Non-RS'!B$7/12</f>
        <v>1527493121.1269188</v>
      </c>
      <c r="D43" s="147">
        <f>'TY KWH-RS vs Non-RS'!B$5/12</f>
        <v>507635953.31364793</v>
      </c>
      <c r="E43" s="147">
        <f>'TY KWH-RS vs Non-RS'!B$6/12</f>
        <v>1019857167.813271</v>
      </c>
    </row>
    <row r="44" spans="1:5" ht="18.95" customHeight="1" x14ac:dyDescent="0.2"/>
    <row r="45" spans="1:5" ht="18.95" customHeight="1" x14ac:dyDescent="0.35">
      <c r="A45" s="7">
        <v>8</v>
      </c>
      <c r="B45" s="5" t="s">
        <v>146</v>
      </c>
      <c r="C45" s="148">
        <f>C41/C43</f>
        <v>-1.4063699811451446E-4</v>
      </c>
      <c r="D45" s="148">
        <f t="shared" ref="D45:E45" si="3">D41/D43</f>
        <v>-1.6504071049242811E-4</v>
      </c>
      <c r="E45" s="148">
        <f t="shared" si="3"/>
        <v>-1.284900012718914E-4</v>
      </c>
    </row>
    <row r="46" spans="1:5" ht="18.95" customHeight="1" x14ac:dyDescent="0.2"/>
    <row r="47" spans="1:5" ht="18.95" customHeight="1" x14ac:dyDescent="0.2">
      <c r="A47" s="159" t="s">
        <v>172</v>
      </c>
      <c r="B47" s="12" t="s">
        <v>173</v>
      </c>
    </row>
    <row r="48" spans="1:5" ht="20.100000000000001" customHeight="1" x14ac:dyDescent="0.2">
      <c r="D48" s="2"/>
      <c r="E48" s="2" t="s">
        <v>152</v>
      </c>
    </row>
    <row r="49" spans="1:5" ht="20.100000000000001" customHeight="1" x14ac:dyDescent="0.2">
      <c r="D49" s="2"/>
      <c r="E49" s="2" t="s">
        <v>179</v>
      </c>
    </row>
    <row r="50" spans="1:5" s="1" customFormat="1" ht="20.100000000000001" customHeight="1" x14ac:dyDescent="0.2">
      <c r="A50" s="160" t="s">
        <v>0</v>
      </c>
      <c r="B50" s="160"/>
      <c r="C50" s="160"/>
      <c r="D50" s="160"/>
      <c r="E50" s="160"/>
    </row>
    <row r="51" spans="1:5" s="1" customFormat="1" ht="20.100000000000001" customHeight="1" x14ac:dyDescent="0.2">
      <c r="A51" s="160" t="s">
        <v>144</v>
      </c>
      <c r="B51" s="160"/>
      <c r="C51" s="160"/>
      <c r="D51" s="160"/>
      <c r="E51" s="160"/>
    </row>
    <row r="52" spans="1:5" s="1" customFormat="1" ht="20.100000000000001" customHeight="1" x14ac:dyDescent="0.2">
      <c r="A52" s="161" t="s">
        <v>153</v>
      </c>
      <c r="B52" s="161"/>
      <c r="C52" s="161"/>
      <c r="D52" s="161"/>
      <c r="E52" s="161"/>
    </row>
    <row r="53" spans="1:5" s="1" customFormat="1" ht="20.100000000000001" customHeight="1" x14ac:dyDescent="0.2">
      <c r="A53" s="161" t="s">
        <v>177</v>
      </c>
      <c r="B53" s="161"/>
      <c r="C53" s="161"/>
      <c r="D53" s="161"/>
      <c r="E53" s="161"/>
    </row>
    <row r="54" spans="1:5" s="1" customFormat="1" ht="29.25" customHeight="1" x14ac:dyDescent="0.2"/>
    <row r="55" spans="1:5" s="1" customFormat="1" ht="20.100000000000001" customHeight="1" x14ac:dyDescent="0.2">
      <c r="A55" s="13"/>
      <c r="B55" s="13"/>
      <c r="C55" s="13"/>
      <c r="D55" s="162" t="s">
        <v>155</v>
      </c>
      <c r="E55" s="162"/>
    </row>
    <row r="56" spans="1:5" ht="59.25" customHeight="1" x14ac:dyDescent="0.2">
      <c r="A56" s="14" t="s">
        <v>3</v>
      </c>
      <c r="B56" s="14" t="s">
        <v>1</v>
      </c>
      <c r="C56" s="14" t="s">
        <v>154</v>
      </c>
      <c r="D56" s="14" t="s">
        <v>141</v>
      </c>
      <c r="E56" s="14" t="s">
        <v>140</v>
      </c>
    </row>
    <row r="57" spans="1:5" ht="18.95" customHeight="1" x14ac:dyDescent="0.2">
      <c r="A57" s="4"/>
      <c r="B57" s="9"/>
      <c r="C57" s="10" t="s">
        <v>4</v>
      </c>
      <c r="D57" s="10" t="s">
        <v>4</v>
      </c>
      <c r="E57" s="10" t="s">
        <v>4</v>
      </c>
    </row>
    <row r="58" spans="1:5" ht="18.95" customHeight="1" x14ac:dyDescent="0.2">
      <c r="A58" s="4"/>
      <c r="B58" s="145" t="s">
        <v>159</v>
      </c>
      <c r="C58" s="6"/>
      <c r="D58" s="6"/>
      <c r="E58" s="6"/>
    </row>
    <row r="59" spans="1:5" ht="18.95" customHeight="1" x14ac:dyDescent="0.2">
      <c r="A59" s="7">
        <v>1</v>
      </c>
      <c r="B59" s="12" t="s">
        <v>88</v>
      </c>
      <c r="C59" s="6">
        <f>-'Excess DIT (Unprot 15yr)'!$D$36</f>
        <v>-850809.87865411106</v>
      </c>
      <c r="D59" s="6"/>
      <c r="E59" s="6"/>
    </row>
    <row r="60" spans="1:5" ht="18.95" customHeight="1" x14ac:dyDescent="0.2">
      <c r="B60" s="12"/>
    </row>
    <row r="61" spans="1:5" ht="18.95" customHeight="1" x14ac:dyDescent="0.35">
      <c r="A61" s="7">
        <v>2</v>
      </c>
      <c r="B61" s="12" t="s">
        <v>178</v>
      </c>
      <c r="C61" s="146">
        <f>16555354/12310807</f>
        <v>1.344782190152116</v>
      </c>
      <c r="D61" s="16"/>
      <c r="E61" s="16"/>
    </row>
    <row r="62" spans="1:5" ht="18.95" customHeight="1" x14ac:dyDescent="0.2">
      <c r="B62" s="12"/>
      <c r="E62" s="90"/>
    </row>
    <row r="63" spans="1:5" ht="18.95" customHeight="1" x14ac:dyDescent="0.2">
      <c r="A63" s="73">
        <v>3</v>
      </c>
      <c r="B63" s="11" t="s">
        <v>156</v>
      </c>
      <c r="C63" s="74">
        <f>C59*C61</f>
        <v>-1144153.9720195315</v>
      </c>
      <c r="D63" s="74">
        <f>C63*'TY TARIFF BILLING'!K$7</f>
        <v>-446220.04908761731</v>
      </c>
      <c r="E63" s="74">
        <f>C63-D63</f>
        <v>-697933.92293191422</v>
      </c>
    </row>
    <row r="64" spans="1:5" ht="18.95" customHeight="1" x14ac:dyDescent="0.2"/>
    <row r="65" spans="1:5" ht="18.95" customHeight="1" x14ac:dyDescent="0.35">
      <c r="A65" s="7">
        <v>4</v>
      </c>
      <c r="B65" s="5" t="s">
        <v>87</v>
      </c>
      <c r="C65" s="6"/>
      <c r="D65" s="147">
        <f>'TY KWH-RS vs Non-RS'!B$5/12*13</f>
        <v>6599267393.0774231</v>
      </c>
      <c r="E65" s="147">
        <f>'TY KWH-RS vs Non-RS'!B$6/12*13</f>
        <v>13258143181.572523</v>
      </c>
    </row>
    <row r="66" spans="1:5" ht="18.95" customHeight="1" x14ac:dyDescent="0.2"/>
    <row r="67" spans="1:5" ht="18.95" customHeight="1" x14ac:dyDescent="0.35">
      <c r="A67" s="7">
        <v>5</v>
      </c>
      <c r="B67" s="5" t="s">
        <v>157</v>
      </c>
      <c r="C67" s="75"/>
      <c r="D67" s="148">
        <f t="shared" ref="D67:E67" si="4">D63/D65</f>
        <v>-6.7616603860558587E-5</v>
      </c>
      <c r="E67" s="148">
        <f t="shared" si="4"/>
        <v>-5.2641905685705048E-5</v>
      </c>
    </row>
    <row r="68" spans="1:5" ht="18.95" customHeight="1" x14ac:dyDescent="0.2">
      <c r="A68" s="7"/>
      <c r="B68" s="5"/>
      <c r="C68" s="75"/>
      <c r="D68" s="75"/>
      <c r="E68" s="75"/>
    </row>
    <row r="69" spans="1:5" ht="18.95" customHeight="1" x14ac:dyDescent="0.2">
      <c r="B69" s="5" t="s">
        <v>99</v>
      </c>
    </row>
    <row r="70" spans="1:5" ht="18.95" customHeight="1" x14ac:dyDescent="0.2">
      <c r="A70" s="73">
        <v>6</v>
      </c>
      <c r="B70" s="11" t="s">
        <v>161</v>
      </c>
      <c r="C70" s="74">
        <f>C63/16</f>
        <v>-71509.623251220721</v>
      </c>
      <c r="D70" s="74">
        <f>D63/16</f>
        <v>-27888.753067976082</v>
      </c>
      <c r="E70" s="74">
        <f>E63/16</f>
        <v>-43620.870183244639</v>
      </c>
    </row>
    <row r="71" spans="1:5" ht="18.95" customHeight="1" x14ac:dyDescent="0.2"/>
    <row r="72" spans="1:5" ht="18.95" customHeight="1" x14ac:dyDescent="0.35">
      <c r="A72" s="7">
        <v>7</v>
      </c>
      <c r="B72" s="5" t="s">
        <v>98</v>
      </c>
      <c r="C72" s="147">
        <f>'TY KWH-RS vs Non-RS'!B$7/12</f>
        <v>1527493121.1269188</v>
      </c>
      <c r="D72" s="147">
        <f>'TY KWH-RS vs Non-RS'!B$5/12</f>
        <v>507635953.31364793</v>
      </c>
      <c r="E72" s="147">
        <f>'TY KWH-RS vs Non-RS'!B$6/12</f>
        <v>1019857167.813271</v>
      </c>
    </row>
    <row r="73" spans="1:5" ht="18.95" customHeight="1" x14ac:dyDescent="0.2"/>
    <row r="74" spans="1:5" ht="18.95" customHeight="1" x14ac:dyDescent="0.35">
      <c r="A74" s="7">
        <v>8</v>
      </c>
      <c r="B74" s="5" t="s">
        <v>162</v>
      </c>
      <c r="C74" s="148">
        <f>C70/C72</f>
        <v>-4.6815021463706488E-5</v>
      </c>
      <c r="D74" s="148">
        <f t="shared" ref="D74:E74" si="5">D70/D72</f>
        <v>-5.4938490636703853E-5</v>
      </c>
      <c r="E74" s="148">
        <f t="shared" si="5"/>
        <v>-4.2771548369635353E-5</v>
      </c>
    </row>
    <row r="75" spans="1:5" ht="18.95" customHeight="1" x14ac:dyDescent="0.2">
      <c r="C75" s="8"/>
      <c r="D75" s="8"/>
      <c r="E75" s="8"/>
    </row>
    <row r="76" spans="1:5" ht="18.95" customHeight="1" x14ac:dyDescent="0.2">
      <c r="A76" s="4"/>
      <c r="B76" s="145" t="s">
        <v>160</v>
      </c>
      <c r="C76" s="6"/>
      <c r="D76" s="6"/>
      <c r="E76" s="6"/>
    </row>
    <row r="77" spans="1:5" ht="18.95" customHeight="1" x14ac:dyDescent="0.2">
      <c r="A77" s="7">
        <v>1</v>
      </c>
      <c r="B77" s="12" t="s">
        <v>163</v>
      </c>
      <c r="C77" s="6">
        <f>-'Excess DIT (Unprot 5yr)'!D$36</f>
        <v>-2552429.6359623331</v>
      </c>
      <c r="D77" s="6"/>
      <c r="E77" s="6"/>
    </row>
    <row r="78" spans="1:5" ht="18.95" customHeight="1" x14ac:dyDescent="0.2">
      <c r="B78" s="12"/>
    </row>
    <row r="79" spans="1:5" ht="18.95" customHeight="1" x14ac:dyDescent="0.35">
      <c r="A79" s="7">
        <v>2</v>
      </c>
      <c r="B79" s="12" t="s">
        <v>178</v>
      </c>
      <c r="C79" s="146">
        <f>16555354/12310807</f>
        <v>1.344782190152116</v>
      </c>
      <c r="D79" s="16"/>
      <c r="E79" s="16"/>
    </row>
    <row r="80" spans="1:5" ht="18.95" customHeight="1" x14ac:dyDescent="0.2">
      <c r="B80" s="12"/>
      <c r="E80" s="90"/>
    </row>
    <row r="81" spans="1:5" ht="18.95" customHeight="1" x14ac:dyDescent="0.2">
      <c r="A81" s="73">
        <v>3</v>
      </c>
      <c r="B81" s="11" t="s">
        <v>156</v>
      </c>
      <c r="C81" s="74">
        <f>C77*C79</f>
        <v>-3432461.9160585944</v>
      </c>
      <c r="D81" s="74">
        <f>C81*'TY TARIFF BILLING'!K$7</f>
        <v>-1338660.1472628519</v>
      </c>
      <c r="E81" s="74">
        <f>C81-D81</f>
        <v>-2093801.7687957424</v>
      </c>
    </row>
    <row r="82" spans="1:5" ht="18.95" customHeight="1" x14ac:dyDescent="0.2"/>
    <row r="83" spans="1:5" ht="18.95" customHeight="1" x14ac:dyDescent="0.35">
      <c r="A83" s="7">
        <v>4</v>
      </c>
      <c r="B83" s="5" t="s">
        <v>87</v>
      </c>
      <c r="C83" s="6"/>
      <c r="D83" s="147">
        <f>'TY KWH-RS vs Non-RS'!B$5/12*13</f>
        <v>6599267393.0774231</v>
      </c>
      <c r="E83" s="147">
        <f>'TY KWH-RS vs Non-RS'!B$6/12*13</f>
        <v>13258143181.572523</v>
      </c>
    </row>
    <row r="84" spans="1:5" ht="18.95" customHeight="1" x14ac:dyDescent="0.2"/>
    <row r="85" spans="1:5" ht="18.95" customHeight="1" x14ac:dyDescent="0.35">
      <c r="A85" s="7">
        <v>5</v>
      </c>
      <c r="B85" s="5" t="s">
        <v>157</v>
      </c>
      <c r="C85" s="75"/>
      <c r="D85" s="148">
        <f t="shared" ref="D85:E85" si="6">D81/D83</f>
        <v>-2.0284981158167576E-4</v>
      </c>
      <c r="E85" s="148">
        <f t="shared" si="6"/>
        <v>-1.5792571705711513E-4</v>
      </c>
    </row>
    <row r="86" spans="1:5" ht="18.95" customHeight="1" x14ac:dyDescent="0.2">
      <c r="A86" s="7"/>
      <c r="B86" s="5"/>
      <c r="C86" s="75"/>
      <c r="D86" s="75"/>
      <c r="E86" s="75"/>
    </row>
    <row r="87" spans="1:5" ht="18.95" customHeight="1" x14ac:dyDescent="0.2">
      <c r="B87" s="5" t="s">
        <v>99</v>
      </c>
    </row>
    <row r="88" spans="1:5" ht="18.95" customHeight="1" x14ac:dyDescent="0.2">
      <c r="A88" s="73">
        <v>6</v>
      </c>
      <c r="B88" s="11" t="s">
        <v>97</v>
      </c>
      <c r="C88" s="74">
        <f>C81/16</f>
        <v>-214528.86975366215</v>
      </c>
      <c r="D88" s="74">
        <f>D81/16</f>
        <v>-83666.259203928246</v>
      </c>
      <c r="E88" s="74">
        <f>E81/16</f>
        <v>-130862.6105497339</v>
      </c>
    </row>
    <row r="89" spans="1:5" ht="18.95" customHeight="1" x14ac:dyDescent="0.2"/>
    <row r="90" spans="1:5" ht="18.95" customHeight="1" x14ac:dyDescent="0.35">
      <c r="A90" s="7">
        <v>7</v>
      </c>
      <c r="B90" s="5" t="s">
        <v>98</v>
      </c>
      <c r="C90" s="147">
        <f>'TY KWH-RS vs Non-RS'!B$7/12</f>
        <v>1527493121.1269188</v>
      </c>
      <c r="D90" s="147">
        <f>'TY KWH-RS vs Non-RS'!B$5/12</f>
        <v>507635953.31364793</v>
      </c>
      <c r="E90" s="147">
        <f>'TY KWH-RS vs Non-RS'!B$6/12</f>
        <v>1019857167.813271</v>
      </c>
    </row>
    <row r="91" spans="1:5" ht="18.95" customHeight="1" x14ac:dyDescent="0.2"/>
    <row r="92" spans="1:5" ht="18.95" customHeight="1" x14ac:dyDescent="0.35">
      <c r="A92" s="7">
        <v>8</v>
      </c>
      <c r="B92" s="5" t="s">
        <v>146</v>
      </c>
      <c r="C92" s="148">
        <f>C88/C90</f>
        <v>-1.4044506439111947E-4</v>
      </c>
      <c r="D92" s="148">
        <f t="shared" ref="D92:E92" si="7">D88/D90</f>
        <v>-1.6481547191011156E-4</v>
      </c>
      <c r="E92" s="148">
        <f t="shared" si="7"/>
        <v>-1.2831464510890602E-4</v>
      </c>
    </row>
    <row r="93" spans="1:5" ht="18.95" customHeight="1" x14ac:dyDescent="0.2"/>
    <row r="94" spans="1:5" ht="18.95" customHeight="1" x14ac:dyDescent="0.2">
      <c r="A94" s="159" t="s">
        <v>172</v>
      </c>
      <c r="B94" s="12" t="s">
        <v>181</v>
      </c>
    </row>
    <row r="95" spans="1:5" ht="20.100000000000001" customHeight="1" x14ac:dyDescent="0.2">
      <c r="D95" s="2"/>
      <c r="E95" s="2" t="s">
        <v>152</v>
      </c>
    </row>
    <row r="96" spans="1:5" ht="20.100000000000001" customHeight="1" x14ac:dyDescent="0.2">
      <c r="D96" s="2"/>
      <c r="E96" s="2" t="s">
        <v>180</v>
      </c>
    </row>
    <row r="97" spans="1:5" s="1" customFormat="1" ht="20.100000000000001" customHeight="1" x14ac:dyDescent="0.2">
      <c r="A97" s="160" t="s">
        <v>0</v>
      </c>
      <c r="B97" s="160"/>
      <c r="C97" s="160"/>
      <c r="D97" s="160"/>
      <c r="E97" s="160"/>
    </row>
    <row r="98" spans="1:5" s="1" customFormat="1" ht="20.100000000000001" customHeight="1" x14ac:dyDescent="0.2">
      <c r="A98" s="160" t="s">
        <v>144</v>
      </c>
      <c r="B98" s="160"/>
      <c r="C98" s="160"/>
      <c r="D98" s="160"/>
      <c r="E98" s="160"/>
    </row>
    <row r="99" spans="1:5" s="1" customFormat="1" ht="20.100000000000001" customHeight="1" x14ac:dyDescent="0.2">
      <c r="A99" s="161" t="s">
        <v>153</v>
      </c>
      <c r="B99" s="161"/>
      <c r="C99" s="161"/>
      <c r="D99" s="161"/>
      <c r="E99" s="161"/>
    </row>
    <row r="100" spans="1:5" s="1" customFormat="1" ht="20.100000000000001" customHeight="1" x14ac:dyDescent="0.2">
      <c r="A100" s="161" t="s">
        <v>175</v>
      </c>
      <c r="B100" s="161"/>
      <c r="C100" s="161"/>
      <c r="D100" s="161"/>
      <c r="E100" s="161"/>
    </row>
    <row r="101" spans="1:5" s="1" customFormat="1" ht="29.25" customHeight="1" x14ac:dyDescent="0.2"/>
    <row r="102" spans="1:5" s="1" customFormat="1" ht="20.100000000000001" customHeight="1" x14ac:dyDescent="0.2">
      <c r="A102" s="13"/>
      <c r="B102" s="13"/>
      <c r="C102" s="13"/>
      <c r="D102" s="162" t="s">
        <v>155</v>
      </c>
      <c r="E102" s="162"/>
    </row>
    <row r="103" spans="1:5" ht="59.25" customHeight="1" x14ac:dyDescent="0.2">
      <c r="A103" s="14" t="s">
        <v>3</v>
      </c>
      <c r="B103" s="14" t="s">
        <v>1</v>
      </c>
      <c r="C103" s="14" t="s">
        <v>154</v>
      </c>
      <c r="D103" s="14" t="s">
        <v>141</v>
      </c>
      <c r="E103" s="14" t="s">
        <v>140</v>
      </c>
    </row>
    <row r="104" spans="1:5" ht="18.95" customHeight="1" x14ac:dyDescent="0.2">
      <c r="A104" s="4"/>
      <c r="B104" s="9"/>
      <c r="C104" s="10" t="s">
        <v>4</v>
      </c>
      <c r="D104" s="10" t="s">
        <v>4</v>
      </c>
      <c r="E104" s="10" t="s">
        <v>4</v>
      </c>
    </row>
    <row r="105" spans="1:5" ht="18.95" customHeight="1" x14ac:dyDescent="0.2">
      <c r="A105" s="4"/>
      <c r="B105" s="145" t="s">
        <v>159</v>
      </c>
      <c r="C105" s="6"/>
      <c r="D105" s="6"/>
      <c r="E105" s="6"/>
    </row>
    <row r="106" spans="1:5" ht="18.95" customHeight="1" x14ac:dyDescent="0.2">
      <c r="A106" s="7">
        <v>1</v>
      </c>
      <c r="B106" s="12" t="s">
        <v>88</v>
      </c>
      <c r="C106" s="6">
        <f>-'Excess DIT (Unprot 15yr)'!$D$36</f>
        <v>-850809.87865411106</v>
      </c>
      <c r="D106" s="6"/>
      <c r="E106" s="6"/>
    </row>
    <row r="107" spans="1:5" ht="18.95" customHeight="1" x14ac:dyDescent="0.2">
      <c r="B107" s="12"/>
    </row>
    <row r="108" spans="1:5" ht="18.95" customHeight="1" x14ac:dyDescent="0.35">
      <c r="A108" s="7">
        <v>2</v>
      </c>
      <c r="B108" s="12" t="str">
        <f>CONCATENATE("GROSS-UP FACTOR USING ",TEXT('Composite Tax Rate'!E$26,"0.00%")," EFFECTIVE TAX RATE (1)")</f>
        <v>GROSS-UP FACTOR USING 25.61% EFFECTIVE TAX RATE (1)</v>
      </c>
      <c r="C108" s="146">
        <f>1/(1-'Composite Tax Rate'!E$26)</f>
        <v>1.3442246114241649</v>
      </c>
      <c r="D108" s="16"/>
      <c r="E108" s="16"/>
    </row>
    <row r="109" spans="1:5" ht="18.95" customHeight="1" x14ac:dyDescent="0.2">
      <c r="B109" s="12"/>
      <c r="E109" s="90"/>
    </row>
    <row r="110" spans="1:5" ht="18.95" customHeight="1" x14ac:dyDescent="0.2">
      <c r="A110" s="73">
        <v>3</v>
      </c>
      <c r="B110" s="11" t="s">
        <v>156</v>
      </c>
      <c r="C110" s="74">
        <f>C106*C108</f>
        <v>-1143679.5785296634</v>
      </c>
      <c r="D110" s="74">
        <f>C110*'TY TARIFF BILLING'!K$7</f>
        <v>-446035.03562656872</v>
      </c>
      <c r="E110" s="74">
        <f>C110-D110</f>
        <v>-697644.54290309467</v>
      </c>
    </row>
    <row r="111" spans="1:5" ht="18.95" customHeight="1" x14ac:dyDescent="0.2"/>
    <row r="112" spans="1:5" ht="18.95" customHeight="1" x14ac:dyDescent="0.35">
      <c r="A112" s="7">
        <v>4</v>
      </c>
      <c r="B112" s="5" t="s">
        <v>87</v>
      </c>
      <c r="C112" s="6"/>
      <c r="D112" s="147">
        <f>'TY KWH-RS vs Non-RS'!B$5/12*13</f>
        <v>6599267393.0774231</v>
      </c>
      <c r="E112" s="147">
        <f>'TY KWH-RS vs Non-RS'!B$6/12*13</f>
        <v>13258143181.572523</v>
      </c>
    </row>
    <row r="113" spans="1:5" ht="18.95" customHeight="1" x14ac:dyDescent="0.2"/>
    <row r="114" spans="1:5" ht="18.95" customHeight="1" x14ac:dyDescent="0.35">
      <c r="A114" s="7">
        <v>5</v>
      </c>
      <c r="B114" s="5" t="s">
        <v>157</v>
      </c>
      <c r="C114" s="75"/>
      <c r="D114" s="148">
        <f t="shared" ref="D114:E114" si="8">D110/D112</f>
        <v>-6.7588568406010604E-5</v>
      </c>
      <c r="E114" s="148">
        <f t="shared" si="8"/>
        <v>-5.2620079097708792E-5</v>
      </c>
    </row>
    <row r="115" spans="1:5" ht="18.95" customHeight="1" x14ac:dyDescent="0.2">
      <c r="A115" s="7"/>
      <c r="B115" s="5"/>
      <c r="C115" s="75"/>
      <c r="D115" s="75"/>
      <c r="E115" s="75"/>
    </row>
    <row r="116" spans="1:5" ht="18.95" customHeight="1" x14ac:dyDescent="0.2">
      <c r="B116" s="5" t="s">
        <v>99</v>
      </c>
    </row>
    <row r="117" spans="1:5" ht="18.95" customHeight="1" x14ac:dyDescent="0.2">
      <c r="A117" s="73">
        <v>6</v>
      </c>
      <c r="B117" s="11" t="s">
        <v>161</v>
      </c>
      <c r="C117" s="74">
        <f>C110/16</f>
        <v>-71479.973658103961</v>
      </c>
      <c r="D117" s="74">
        <f>D110/16</f>
        <v>-27877.189726660545</v>
      </c>
      <c r="E117" s="74">
        <f>E110/16</f>
        <v>-43602.783931443417</v>
      </c>
    </row>
    <row r="118" spans="1:5" ht="18.95" customHeight="1" x14ac:dyDescent="0.2"/>
    <row r="119" spans="1:5" ht="18.95" customHeight="1" x14ac:dyDescent="0.35">
      <c r="A119" s="7">
        <v>7</v>
      </c>
      <c r="B119" s="5" t="s">
        <v>98</v>
      </c>
      <c r="C119" s="147">
        <f>'TY KWH-RS vs Non-RS'!B$7/12</f>
        <v>1527493121.1269188</v>
      </c>
      <c r="D119" s="147">
        <f>'TY KWH-RS vs Non-RS'!B$5/12</f>
        <v>507635953.31364793</v>
      </c>
      <c r="E119" s="147">
        <f>'TY KWH-RS vs Non-RS'!B$6/12</f>
        <v>1019857167.813271</v>
      </c>
    </row>
    <row r="120" spans="1:5" ht="18.95" customHeight="1" x14ac:dyDescent="0.2"/>
    <row r="121" spans="1:5" ht="18.95" customHeight="1" x14ac:dyDescent="0.35">
      <c r="A121" s="7">
        <v>8</v>
      </c>
      <c r="B121" s="5" t="s">
        <v>162</v>
      </c>
      <c r="C121" s="148">
        <f>C117/C119</f>
        <v>-4.6795610840701597E-5</v>
      </c>
      <c r="D121" s="148">
        <f t="shared" ref="D121:E121" si="9">D117/D119</f>
        <v>-5.4915711829883624E-5</v>
      </c>
      <c r="E121" s="148">
        <f t="shared" si="9"/>
        <v>-4.2753814266888395E-5</v>
      </c>
    </row>
    <row r="122" spans="1:5" ht="18.95" customHeight="1" x14ac:dyDescent="0.2">
      <c r="C122" s="8"/>
      <c r="D122" s="8"/>
      <c r="E122" s="8"/>
    </row>
    <row r="123" spans="1:5" ht="18.95" customHeight="1" x14ac:dyDescent="0.2">
      <c r="A123" s="4"/>
      <c r="B123" s="145" t="s">
        <v>160</v>
      </c>
      <c r="C123" s="6"/>
      <c r="D123" s="6"/>
      <c r="E123" s="6"/>
    </row>
    <row r="124" spans="1:5" ht="18.95" customHeight="1" x14ac:dyDescent="0.2">
      <c r="A124" s="7">
        <v>1</v>
      </c>
      <c r="B124" s="12" t="s">
        <v>163</v>
      </c>
      <c r="C124" s="6">
        <f>-'Excess DIT (Unprot 5yr)'!D$36</f>
        <v>-2552429.6359623331</v>
      </c>
      <c r="D124" s="6"/>
      <c r="E124" s="6"/>
    </row>
    <row r="125" spans="1:5" ht="18.95" customHeight="1" x14ac:dyDescent="0.2">
      <c r="B125" s="12"/>
    </row>
    <row r="126" spans="1:5" ht="18.95" customHeight="1" x14ac:dyDescent="0.35">
      <c r="A126" s="7">
        <v>2</v>
      </c>
      <c r="B126" s="12" t="str">
        <f>CONCATENATE("GROSS-UP FACTOR USING ",TEXT('Composite Tax Rate'!E$26,"0.00%")," EFFECTIVE TAX RATE (1)")</f>
        <v>GROSS-UP FACTOR USING 25.61% EFFECTIVE TAX RATE (1)</v>
      </c>
      <c r="C126" s="146">
        <f>1/(1-'Composite Tax Rate'!E$26)</f>
        <v>1.3442246114241649</v>
      </c>
      <c r="D126" s="16"/>
      <c r="E126" s="16"/>
    </row>
    <row r="127" spans="1:5" ht="18.95" customHeight="1" x14ac:dyDescent="0.2">
      <c r="B127" s="12"/>
      <c r="E127" s="90"/>
    </row>
    <row r="128" spans="1:5" ht="18.95" customHeight="1" x14ac:dyDescent="0.2">
      <c r="A128" s="73">
        <v>3</v>
      </c>
      <c r="B128" s="11" t="s">
        <v>156</v>
      </c>
      <c r="C128" s="74">
        <f>C124*C126</f>
        <v>-3431038.7355889902</v>
      </c>
      <c r="D128" s="74">
        <f>C128*'TY TARIFF BILLING'!K$7</f>
        <v>-1338105.1068797063</v>
      </c>
      <c r="E128" s="74">
        <f>C128-D128</f>
        <v>-2092933.6287092839</v>
      </c>
    </row>
    <row r="129" spans="1:5" ht="18.95" customHeight="1" x14ac:dyDescent="0.2"/>
    <row r="130" spans="1:5" ht="18.95" customHeight="1" x14ac:dyDescent="0.35">
      <c r="A130" s="7">
        <v>4</v>
      </c>
      <c r="B130" s="5" t="s">
        <v>87</v>
      </c>
      <c r="C130" s="6"/>
      <c r="D130" s="147">
        <f>'TY KWH-RS vs Non-RS'!B$5/12*13</f>
        <v>6599267393.0774231</v>
      </c>
      <c r="E130" s="147">
        <f>'TY KWH-RS vs Non-RS'!B$6/12*13</f>
        <v>13258143181.572523</v>
      </c>
    </row>
    <row r="131" spans="1:5" ht="18.95" customHeight="1" x14ac:dyDescent="0.2"/>
    <row r="132" spans="1:5" ht="18.95" customHeight="1" x14ac:dyDescent="0.35">
      <c r="A132" s="7">
        <v>5</v>
      </c>
      <c r="B132" s="5" t="s">
        <v>157</v>
      </c>
      <c r="C132" s="75"/>
      <c r="D132" s="148">
        <f t="shared" ref="D132:E132" si="10">D128/D130</f>
        <v>-2.0276570521803185E-4</v>
      </c>
      <c r="E132" s="148">
        <f t="shared" si="10"/>
        <v>-1.5786023729312637E-4</v>
      </c>
    </row>
    <row r="133" spans="1:5" ht="18.95" customHeight="1" x14ac:dyDescent="0.2">
      <c r="A133" s="7"/>
      <c r="B133" s="5"/>
      <c r="C133" s="75"/>
      <c r="D133" s="75"/>
      <c r="E133" s="75"/>
    </row>
    <row r="134" spans="1:5" ht="18.95" customHeight="1" x14ac:dyDescent="0.2">
      <c r="B134" s="5" t="s">
        <v>99</v>
      </c>
    </row>
    <row r="135" spans="1:5" ht="18.95" customHeight="1" x14ac:dyDescent="0.2">
      <c r="A135" s="73">
        <v>6</v>
      </c>
      <c r="B135" s="11" t="s">
        <v>97</v>
      </c>
      <c r="C135" s="74">
        <f>C128/16</f>
        <v>-214439.92097431188</v>
      </c>
      <c r="D135" s="74">
        <f>D128/16</f>
        <v>-83631.569179981641</v>
      </c>
      <c r="E135" s="74">
        <f>E128/16</f>
        <v>-130808.35179433024</v>
      </c>
    </row>
    <row r="136" spans="1:5" ht="18.95" customHeight="1" x14ac:dyDescent="0.2"/>
    <row r="137" spans="1:5" ht="18.95" customHeight="1" x14ac:dyDescent="0.35">
      <c r="A137" s="7">
        <v>7</v>
      </c>
      <c r="B137" s="5" t="s">
        <v>98</v>
      </c>
      <c r="C137" s="147">
        <f>'TY KWH-RS vs Non-RS'!B$7/12</f>
        <v>1527493121.1269188</v>
      </c>
      <c r="D137" s="147">
        <f>'TY KWH-RS vs Non-RS'!B$5/12</f>
        <v>507635953.31364793</v>
      </c>
      <c r="E137" s="147">
        <f>'TY KWH-RS vs Non-RS'!B$6/12</f>
        <v>1019857167.813271</v>
      </c>
    </row>
    <row r="138" spans="1:5" ht="18.95" customHeight="1" x14ac:dyDescent="0.2"/>
    <row r="139" spans="1:5" ht="18.95" customHeight="1" x14ac:dyDescent="0.35">
      <c r="A139" s="7">
        <v>8</v>
      </c>
      <c r="B139" s="5" t="s">
        <v>146</v>
      </c>
      <c r="C139" s="148">
        <f>C135/C137</f>
        <v>-1.403868325221048E-4</v>
      </c>
      <c r="D139" s="148">
        <f t="shared" ref="D139:E139" si="11">D135/D137</f>
        <v>-1.6474713548965088E-4</v>
      </c>
      <c r="E139" s="148">
        <f t="shared" si="11"/>
        <v>-1.2826144280066518E-4</v>
      </c>
    </row>
    <row r="140" spans="1:5" ht="18.95" customHeight="1" x14ac:dyDescent="0.2"/>
    <row r="141" spans="1:5" ht="18.95" customHeight="1" x14ac:dyDescent="0.2">
      <c r="A141" s="159" t="s">
        <v>172</v>
      </c>
      <c r="B141" s="12" t="s">
        <v>174</v>
      </c>
    </row>
    <row r="142" spans="1:5" ht="18.95" customHeight="1" x14ac:dyDescent="0.2"/>
    <row r="143" spans="1:5" ht="18.95" customHeight="1" x14ac:dyDescent="0.2"/>
    <row r="144" spans="1:5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  <row r="219" ht="18.95" customHeight="1" x14ac:dyDescent="0.2"/>
    <row r="220" ht="18.95" customHeight="1" x14ac:dyDescent="0.2"/>
    <row r="221" ht="18.95" customHeight="1" x14ac:dyDescent="0.2"/>
    <row r="222" ht="18.95" customHeight="1" x14ac:dyDescent="0.2"/>
    <row r="223" ht="18.95" customHeight="1" x14ac:dyDescent="0.2"/>
    <row r="224" ht="18.95" customHeight="1" x14ac:dyDescent="0.2"/>
    <row r="225" ht="18.95" customHeight="1" x14ac:dyDescent="0.2"/>
    <row r="226" ht="18.95" customHeight="1" x14ac:dyDescent="0.2"/>
    <row r="227" ht="18.95" customHeight="1" x14ac:dyDescent="0.2"/>
    <row r="228" ht="18.95" customHeight="1" x14ac:dyDescent="0.2"/>
    <row r="229" ht="18.95" customHeight="1" x14ac:dyDescent="0.2"/>
    <row r="230" ht="18.95" customHeight="1" x14ac:dyDescent="0.2"/>
    <row r="231" ht="18.95" customHeight="1" x14ac:dyDescent="0.2"/>
    <row r="232" ht="18.95" customHeight="1" x14ac:dyDescent="0.2"/>
    <row r="233" ht="18.95" customHeight="1" x14ac:dyDescent="0.2"/>
    <row r="234" ht="18.95" customHeight="1" x14ac:dyDescent="0.2"/>
    <row r="235" ht="18.95" customHeight="1" x14ac:dyDescent="0.2"/>
    <row r="236" ht="18.95" customHeight="1" x14ac:dyDescent="0.2"/>
    <row r="237" ht="18.95" customHeight="1" x14ac:dyDescent="0.2"/>
    <row r="238" ht="18.95" customHeight="1" x14ac:dyDescent="0.2"/>
    <row r="239" ht="18.95" customHeight="1" x14ac:dyDescent="0.2"/>
    <row r="240" ht="18.95" customHeight="1" x14ac:dyDescent="0.2"/>
    <row r="241" ht="18.95" customHeight="1" x14ac:dyDescent="0.2"/>
    <row r="242" ht="18.95" customHeight="1" x14ac:dyDescent="0.2"/>
    <row r="243" ht="18.95" customHeight="1" x14ac:dyDescent="0.2"/>
    <row r="244" ht="18.95" customHeight="1" x14ac:dyDescent="0.2"/>
    <row r="245" ht="18.95" customHeight="1" x14ac:dyDescent="0.2"/>
    <row r="246" ht="18.95" customHeight="1" x14ac:dyDescent="0.2"/>
    <row r="247" ht="18.95" customHeight="1" x14ac:dyDescent="0.2"/>
    <row r="248" ht="18.95" customHeight="1" x14ac:dyDescent="0.2"/>
    <row r="249" ht="18.95" customHeight="1" x14ac:dyDescent="0.2"/>
    <row r="250" ht="18.95" customHeight="1" x14ac:dyDescent="0.2"/>
    <row r="251" ht="18.95" customHeight="1" x14ac:dyDescent="0.2"/>
    <row r="252" ht="18.95" customHeight="1" x14ac:dyDescent="0.2"/>
    <row r="253" ht="18.95" customHeight="1" x14ac:dyDescent="0.2"/>
    <row r="254" ht="18.95" customHeight="1" x14ac:dyDescent="0.2"/>
    <row r="255" ht="18.95" customHeight="1" x14ac:dyDescent="0.2"/>
    <row r="256" ht="18.95" customHeight="1" x14ac:dyDescent="0.2"/>
    <row r="257" ht="18.95" customHeight="1" x14ac:dyDescent="0.2"/>
    <row r="258" ht="18.95" customHeight="1" x14ac:dyDescent="0.2"/>
    <row r="259" ht="18.95" customHeight="1" x14ac:dyDescent="0.2"/>
    <row r="260" ht="18.95" customHeight="1" x14ac:dyDescent="0.2"/>
    <row r="261" ht="18.95" customHeight="1" x14ac:dyDescent="0.2"/>
    <row r="262" ht="18.95" customHeight="1" x14ac:dyDescent="0.2"/>
    <row r="263" ht="18.95" customHeight="1" x14ac:dyDescent="0.2"/>
    <row r="264" ht="18.95" customHeight="1" x14ac:dyDescent="0.2"/>
    <row r="265" ht="18.95" customHeight="1" x14ac:dyDescent="0.2"/>
    <row r="266" ht="18.95" customHeight="1" x14ac:dyDescent="0.2"/>
    <row r="267" ht="18.95" customHeight="1" x14ac:dyDescent="0.2"/>
    <row r="268" ht="18.95" customHeight="1" x14ac:dyDescent="0.2"/>
    <row r="269" ht="18.95" customHeight="1" x14ac:dyDescent="0.2"/>
    <row r="270" ht="18.95" customHeight="1" x14ac:dyDescent="0.2"/>
    <row r="271" ht="18.95" customHeight="1" x14ac:dyDescent="0.2"/>
    <row r="272" ht="18.95" customHeight="1" x14ac:dyDescent="0.2"/>
    <row r="273" ht="18.95" customHeight="1" x14ac:dyDescent="0.2"/>
    <row r="274" ht="18.95" customHeight="1" x14ac:dyDescent="0.2"/>
    <row r="275" ht="18.95" customHeight="1" x14ac:dyDescent="0.2"/>
    <row r="276" ht="18.95" customHeight="1" x14ac:dyDescent="0.2"/>
    <row r="277" ht="18.95" customHeight="1" x14ac:dyDescent="0.2"/>
    <row r="278" ht="18.95" customHeight="1" x14ac:dyDescent="0.2"/>
    <row r="279" ht="18.95" customHeight="1" x14ac:dyDescent="0.2"/>
    <row r="280" ht="18.95" customHeight="1" x14ac:dyDescent="0.2"/>
    <row r="281" ht="18.95" customHeight="1" x14ac:dyDescent="0.2"/>
    <row r="282" ht="18.95" customHeight="1" x14ac:dyDescent="0.2"/>
  </sheetData>
  <mergeCells count="15">
    <mergeCell ref="A98:E98"/>
    <mergeCell ref="A99:E99"/>
    <mergeCell ref="A100:E100"/>
    <mergeCell ref="D102:E102"/>
    <mergeCell ref="A97:E97"/>
    <mergeCell ref="A3:E3"/>
    <mergeCell ref="A4:E4"/>
    <mergeCell ref="A5:E5"/>
    <mergeCell ref="D8:E8"/>
    <mergeCell ref="A6:E6"/>
    <mergeCell ref="A50:E50"/>
    <mergeCell ref="A51:E51"/>
    <mergeCell ref="A52:E52"/>
    <mergeCell ref="A53:E53"/>
    <mergeCell ref="D55:E55"/>
  </mergeCells>
  <printOptions horizontalCentered="1"/>
  <pageMargins left="0.75" right="0.75" top="0.75" bottom="0.75" header="0.3" footer="0.3"/>
  <pageSetup scale="67" orientation="portrait" r:id="rId1"/>
  <rowBreaks count="2" manualBreakCount="2">
    <brk id="47" max="4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G40"/>
  <sheetViews>
    <sheetView showGridLines="0" zoomScaleNormal="100" workbookViewId="0">
      <selection activeCell="B33" sqref="B33"/>
    </sheetView>
  </sheetViews>
  <sheetFormatPr defaultColWidth="12.42578125" defaultRowHeight="12.75" x14ac:dyDescent="0.2"/>
  <cols>
    <col min="1" max="1" width="16.42578125" style="20" customWidth="1"/>
    <col min="2" max="2" width="36.7109375" style="20" customWidth="1"/>
    <col min="3" max="3" width="16.42578125" style="20" customWidth="1"/>
    <col min="4" max="4" width="6.5703125" style="20" customWidth="1"/>
    <col min="5" max="5" width="15.7109375" style="20" customWidth="1"/>
    <col min="6" max="6" width="15.7109375" style="44" customWidth="1"/>
    <col min="7" max="7" width="16.42578125" style="20" customWidth="1"/>
    <col min="8" max="16384" width="12.42578125" style="20"/>
  </cols>
  <sheetData>
    <row r="1" spans="1:7" ht="20.100000000000001" customHeight="1" x14ac:dyDescent="0.2">
      <c r="F1" s="2" t="s">
        <v>145</v>
      </c>
    </row>
    <row r="2" spans="1:7" ht="20.100000000000001" customHeight="1" x14ac:dyDescent="0.2">
      <c r="F2" s="2" t="s">
        <v>105</v>
      </c>
    </row>
    <row r="3" spans="1:7" ht="15.75" x14ac:dyDescent="0.25">
      <c r="A3" s="17"/>
      <c r="B3" s="163" t="s">
        <v>0</v>
      </c>
      <c r="C3" s="163"/>
      <c r="D3" s="163"/>
      <c r="E3" s="163"/>
      <c r="F3" s="18"/>
      <c r="G3" s="19"/>
    </row>
    <row r="4" spans="1:7" ht="15.75" x14ac:dyDescent="0.25">
      <c r="A4" s="17"/>
      <c r="B4" s="163" t="s">
        <v>9</v>
      </c>
      <c r="C4" s="163"/>
      <c r="D4" s="163"/>
      <c r="E4" s="163"/>
      <c r="F4" s="21"/>
      <c r="G4" s="19"/>
    </row>
    <row r="5" spans="1:7" ht="15.75" x14ac:dyDescent="0.25">
      <c r="A5" s="17"/>
      <c r="B5" s="163" t="s">
        <v>10</v>
      </c>
      <c r="C5" s="163"/>
      <c r="D5" s="163"/>
      <c r="E5" s="163"/>
      <c r="F5" s="22"/>
      <c r="G5" s="23"/>
    </row>
    <row r="6" spans="1:7" ht="15.75" x14ac:dyDescent="0.25">
      <c r="A6" s="17"/>
      <c r="B6" s="164" t="s">
        <v>11</v>
      </c>
      <c r="C6" s="164"/>
      <c r="D6" s="164"/>
      <c r="E6" s="164"/>
      <c r="F6" s="21"/>
    </row>
    <row r="7" spans="1:7" ht="15.75" x14ac:dyDescent="0.25">
      <c r="B7" s="24"/>
      <c r="C7" s="24"/>
      <c r="D7" s="24"/>
      <c r="E7" s="24"/>
      <c r="F7" s="20"/>
    </row>
    <row r="8" spans="1:7" ht="15" x14ac:dyDescent="0.2">
      <c r="A8" s="25"/>
      <c r="B8" s="25"/>
      <c r="C8" s="26"/>
      <c r="D8" s="27"/>
      <c r="E8" s="28"/>
      <c r="F8" s="29"/>
    </row>
    <row r="9" spans="1:7" ht="15" x14ac:dyDescent="0.2">
      <c r="A9" s="25" t="s">
        <v>12</v>
      </c>
      <c r="B9" s="25"/>
      <c r="C9" s="30"/>
      <c r="D9" s="31"/>
      <c r="E9" s="32"/>
      <c r="F9" s="33">
        <v>1</v>
      </c>
    </row>
    <row r="10" spans="1:7" ht="15" x14ac:dyDescent="0.2">
      <c r="A10" s="34"/>
      <c r="B10" s="25"/>
      <c r="C10" s="28"/>
      <c r="D10" s="35"/>
      <c r="E10" s="28"/>
      <c r="F10" s="36"/>
    </row>
    <row r="11" spans="1:7" ht="15" x14ac:dyDescent="0.2">
      <c r="A11" s="34" t="s">
        <v>13</v>
      </c>
      <c r="B11" s="25"/>
      <c r="C11" s="28"/>
      <c r="D11" s="28"/>
      <c r="E11" s="28"/>
      <c r="F11" s="37">
        <f>F35</f>
        <v>0.06</v>
      </c>
    </row>
    <row r="12" spans="1:7" ht="15" x14ac:dyDescent="0.2">
      <c r="A12" s="34"/>
      <c r="B12" s="25"/>
      <c r="C12" s="28"/>
      <c r="D12" s="28"/>
      <c r="E12" s="28"/>
      <c r="F12" s="38"/>
    </row>
    <row r="13" spans="1:7" ht="15" x14ac:dyDescent="0.2">
      <c r="A13" s="39" t="s">
        <v>14</v>
      </c>
      <c r="B13" s="25"/>
      <c r="C13" s="40"/>
      <c r="D13" s="32"/>
      <c r="E13" s="40"/>
      <c r="F13" s="41">
        <f>+F9-F11</f>
        <v>0.94</v>
      </c>
    </row>
    <row r="14" spans="1:7" ht="15" x14ac:dyDescent="0.2">
      <c r="A14" s="42" t="s">
        <v>15</v>
      </c>
      <c r="B14" s="25"/>
      <c r="C14" s="40"/>
      <c r="D14" s="32"/>
      <c r="E14" s="43">
        <v>0.09</v>
      </c>
    </row>
    <row r="15" spans="1:7" ht="15" x14ac:dyDescent="0.2">
      <c r="A15" s="42" t="s">
        <v>16</v>
      </c>
      <c r="B15" s="25"/>
      <c r="C15" s="40"/>
      <c r="D15" s="32"/>
      <c r="E15" s="45">
        <v>0.66869999999999996</v>
      </c>
    </row>
    <row r="16" spans="1:7" ht="15" x14ac:dyDescent="0.2">
      <c r="A16" s="46" t="s">
        <v>17</v>
      </c>
      <c r="B16" s="25"/>
      <c r="C16" s="40"/>
      <c r="D16" s="32"/>
      <c r="E16" s="47">
        <v>0</v>
      </c>
    </row>
    <row r="17" spans="1:7" ht="15" x14ac:dyDescent="0.2">
      <c r="A17" s="46" t="str">
        <f xml:space="preserve"> CONCATENATE("4.  Less: Production tax deduction (",TEXT($E$16,"0.0000%")," of Line 3)")</f>
        <v>4.  Less: Production tax deduction (0.0000% of Line 3)</v>
      </c>
      <c r="B17" s="25"/>
      <c r="C17" s="40"/>
      <c r="D17" s="32"/>
      <c r="E17" s="40"/>
      <c r="F17" s="37">
        <f>E16*F13</f>
        <v>0</v>
      </c>
      <c r="G17" s="48"/>
    </row>
    <row r="18" spans="1:7" ht="15" x14ac:dyDescent="0.2">
      <c r="A18" s="46"/>
      <c r="B18" s="25"/>
      <c r="C18" s="40"/>
      <c r="D18" s="32"/>
      <c r="E18" s="40"/>
      <c r="F18" s="48"/>
    </row>
    <row r="19" spans="1:7" ht="15" x14ac:dyDescent="0.2">
      <c r="A19" s="46" t="s">
        <v>18</v>
      </c>
      <c r="B19" s="25"/>
      <c r="C19" s="40"/>
      <c r="D19" s="32"/>
      <c r="E19" s="40"/>
      <c r="F19" s="41">
        <f>F13-F17</f>
        <v>0.94</v>
      </c>
    </row>
    <row r="20" spans="1:7" ht="15" x14ac:dyDescent="0.2">
      <c r="A20" s="39"/>
      <c r="B20" s="25"/>
      <c r="C20" s="35"/>
      <c r="D20" s="28"/>
      <c r="E20" s="28"/>
      <c r="F20" s="38"/>
    </row>
    <row r="21" spans="1:7" ht="15" x14ac:dyDescent="0.2">
      <c r="A21" s="39" t="s">
        <v>19</v>
      </c>
      <c r="B21" s="25"/>
      <c r="C21" s="35"/>
      <c r="D21" s="28"/>
      <c r="E21" s="28"/>
      <c r="F21" s="37">
        <f>ROUND(+F19*0.21,10)</f>
        <v>0.19739999999999999</v>
      </c>
    </row>
    <row r="22" spans="1:7" ht="15" x14ac:dyDescent="0.2">
      <c r="A22" s="39"/>
      <c r="B22" s="25"/>
      <c r="C22" s="35"/>
      <c r="D22" s="28"/>
      <c r="E22" s="28"/>
      <c r="F22" s="36"/>
    </row>
    <row r="23" spans="1:7" ht="15.75" thickBot="1" x14ac:dyDescent="0.25">
      <c r="A23" s="39" t="s">
        <v>20</v>
      </c>
      <c r="B23" s="25"/>
      <c r="C23" s="35"/>
      <c r="D23" s="28"/>
      <c r="E23" s="28"/>
      <c r="F23" s="49">
        <f>ROUND(+F11+F21,10)</f>
        <v>0.25740000000000002</v>
      </c>
    </row>
    <row r="24" spans="1:7" ht="15.75" thickTop="1" x14ac:dyDescent="0.2">
      <c r="A24" s="39"/>
      <c r="B24" s="25"/>
      <c r="C24" s="50"/>
      <c r="D24" s="28"/>
      <c r="E24" s="28"/>
      <c r="F24" s="51"/>
    </row>
    <row r="26" spans="1:7" ht="15" x14ac:dyDescent="0.2">
      <c r="A26" s="52" t="s">
        <v>21</v>
      </c>
    </row>
    <row r="27" spans="1:7" ht="15" x14ac:dyDescent="0.2">
      <c r="A27" s="25" t="s">
        <v>12</v>
      </c>
      <c r="F27" s="33">
        <v>1</v>
      </c>
    </row>
    <row r="28" spans="1:7" ht="15" x14ac:dyDescent="0.2">
      <c r="A28" s="53"/>
      <c r="F28" s="54"/>
    </row>
    <row r="29" spans="1:7" ht="15" x14ac:dyDescent="0.2">
      <c r="A29" s="46" t="str">
        <f xml:space="preserve"> CONCATENATE("2.  Less: Production activities deduction @ 0% X ",TEXT($E$15,"0.00%")," (1)")</f>
        <v>2.  Less: Production activities deduction @ 0% X 66.87% (1)</v>
      </c>
      <c r="F29" s="37">
        <f>E15*0</f>
        <v>0</v>
      </c>
    </row>
    <row r="30" spans="1:7" ht="15" x14ac:dyDescent="0.2">
      <c r="A30" s="53"/>
      <c r="F30" s="38"/>
    </row>
    <row r="31" spans="1:7" ht="15" x14ac:dyDescent="0.2">
      <c r="A31" s="55" t="s">
        <v>22</v>
      </c>
      <c r="F31" s="41">
        <f>+F27-F29</f>
        <v>1</v>
      </c>
    </row>
    <row r="32" spans="1:7" ht="15" x14ac:dyDescent="0.2">
      <c r="A32" s="55"/>
      <c r="F32" s="48"/>
    </row>
    <row r="33" spans="1:6" ht="15" x14ac:dyDescent="0.2">
      <c r="A33" s="55" t="s">
        <v>23</v>
      </c>
      <c r="F33" s="37">
        <v>0.06</v>
      </c>
    </row>
    <row r="34" spans="1:6" ht="15" x14ac:dyDescent="0.2">
      <c r="A34" s="46"/>
      <c r="F34" s="38"/>
    </row>
    <row r="35" spans="1:6" ht="15.75" thickBot="1" x14ac:dyDescent="0.25">
      <c r="A35" s="53" t="s">
        <v>24</v>
      </c>
      <c r="F35" s="56">
        <f>ROUND(+F31*F33,10)</f>
        <v>0.06</v>
      </c>
    </row>
    <row r="36" spans="1:6" ht="13.5" thickTop="1" x14ac:dyDescent="0.2"/>
    <row r="38" spans="1:6" ht="14.25" x14ac:dyDescent="0.2">
      <c r="A38" s="57"/>
    </row>
    <row r="39" spans="1:6" ht="14.25" x14ac:dyDescent="0.2">
      <c r="A39" s="57"/>
    </row>
    <row r="40" spans="1:6" ht="14.25" x14ac:dyDescent="0.2">
      <c r="A40" s="57"/>
    </row>
  </sheetData>
  <mergeCells count="4">
    <mergeCell ref="B3:E3"/>
    <mergeCell ref="B4:E4"/>
    <mergeCell ref="B5:E5"/>
    <mergeCell ref="B6:E6"/>
  </mergeCells>
  <printOptions horizontalCentered="1" gridLinesSet="0"/>
  <pageMargins left="1" right="1" top="1" bottom="1" header="0.5" footer="0.5"/>
  <pageSetup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191"/>
  <sheetViews>
    <sheetView zoomScaleNormal="100" workbookViewId="0">
      <selection activeCell="B8" sqref="B8"/>
    </sheetView>
  </sheetViews>
  <sheetFormatPr defaultRowHeight="12.75" x14ac:dyDescent="0.2"/>
  <cols>
    <col min="1" max="1" width="6.85546875" style="3" customWidth="1"/>
    <col min="2" max="2" width="59.42578125" style="3" customWidth="1"/>
    <col min="3" max="3" width="14.42578125" style="3" customWidth="1"/>
    <col min="4" max="4" width="18.85546875" style="3" customWidth="1"/>
    <col min="5" max="5" width="15.7109375" style="3" customWidth="1"/>
    <col min="6" max="6" width="1.85546875" style="3" customWidth="1"/>
    <col min="7" max="7" width="9.140625" style="3" customWidth="1"/>
    <col min="8" max="16384" width="9.140625" style="3"/>
  </cols>
  <sheetData>
    <row r="1" spans="1:5" s="1" customFormat="1" ht="20.100000000000001" customHeight="1" x14ac:dyDescent="0.2">
      <c r="A1" s="144"/>
      <c r="B1" s="144"/>
      <c r="C1" s="144"/>
      <c r="D1" s="144"/>
      <c r="E1" s="153" t="s">
        <v>164</v>
      </c>
    </row>
    <row r="2" spans="1:5" s="1" customFormat="1" ht="20.100000000000001" customHeight="1" x14ac:dyDescent="0.2">
      <c r="A2" s="144"/>
      <c r="B2" s="144"/>
      <c r="C2" s="144"/>
      <c r="D2" s="144"/>
      <c r="E2" s="153" t="s">
        <v>165</v>
      </c>
    </row>
    <row r="3" spans="1:5" s="1" customFormat="1" ht="20.100000000000001" customHeight="1" x14ac:dyDescent="0.2">
      <c r="A3" s="160" t="s">
        <v>0</v>
      </c>
      <c r="B3" s="161"/>
      <c r="C3" s="161"/>
      <c r="D3" s="161"/>
      <c r="E3" s="161"/>
    </row>
    <row r="4" spans="1:5" s="1" customFormat="1" ht="20.100000000000001" customHeight="1" x14ac:dyDescent="0.2">
      <c r="A4" s="160" t="s">
        <v>144</v>
      </c>
      <c r="B4" s="161"/>
      <c r="C4" s="161"/>
      <c r="D4" s="161"/>
      <c r="E4" s="161"/>
    </row>
    <row r="5" spans="1:5" s="1" customFormat="1" ht="20.100000000000001" customHeight="1" x14ac:dyDescent="0.2">
      <c r="A5" s="161" t="s">
        <v>166</v>
      </c>
      <c r="B5" s="161"/>
      <c r="C5" s="161"/>
      <c r="D5" s="161"/>
      <c r="E5" s="161"/>
    </row>
    <row r="6" spans="1:5" s="1" customFormat="1" ht="20.100000000000001" customHeight="1" x14ac:dyDescent="0.2">
      <c r="A6" s="160" t="s">
        <v>182</v>
      </c>
      <c r="B6" s="161"/>
      <c r="C6" s="161"/>
      <c r="D6" s="161"/>
      <c r="E6" s="161"/>
    </row>
    <row r="7" spans="1:5" s="1" customFormat="1" ht="20.100000000000001" customHeight="1" x14ac:dyDescent="0.2">
      <c r="A7" s="144"/>
      <c r="B7" s="144"/>
      <c r="C7" s="144"/>
      <c r="D7" s="144"/>
      <c r="E7" s="144"/>
    </row>
    <row r="8" spans="1:5" s="1" customFormat="1" ht="18.75" customHeight="1" x14ac:dyDescent="0.2"/>
    <row r="9" spans="1:5" s="1" customFormat="1" ht="7.5" customHeight="1" x14ac:dyDescent="0.2">
      <c r="A9" s="13"/>
      <c r="B9" s="13"/>
      <c r="C9" s="13"/>
      <c r="D9" s="13"/>
      <c r="E9" s="13"/>
    </row>
    <row r="10" spans="1:5" ht="24" customHeight="1" x14ac:dyDescent="0.2">
      <c r="A10" s="14" t="s">
        <v>3</v>
      </c>
      <c r="B10" s="14" t="s">
        <v>1</v>
      </c>
      <c r="C10" s="14"/>
      <c r="D10" s="14" t="s">
        <v>2</v>
      </c>
      <c r="E10" s="14" t="s">
        <v>5</v>
      </c>
    </row>
    <row r="11" spans="1:5" ht="18.95" customHeight="1" x14ac:dyDescent="0.2">
      <c r="A11" s="4"/>
      <c r="B11" s="9"/>
      <c r="C11" s="10"/>
      <c r="D11" s="10"/>
      <c r="E11" s="10"/>
    </row>
    <row r="12" spans="1:5" ht="18.95" customHeight="1" x14ac:dyDescent="0.2">
      <c r="A12" s="4">
        <v>1</v>
      </c>
      <c r="B12" s="5" t="s">
        <v>6</v>
      </c>
      <c r="C12" s="6"/>
      <c r="D12" s="154">
        <v>1</v>
      </c>
      <c r="E12" s="154">
        <v>1</v>
      </c>
    </row>
    <row r="13" spans="1:5" ht="18.95" customHeight="1" x14ac:dyDescent="0.2">
      <c r="A13" s="7"/>
      <c r="B13" s="5"/>
      <c r="C13" s="6"/>
      <c r="D13" s="154"/>
      <c r="E13" s="154"/>
    </row>
    <row r="14" spans="1:5" ht="18.95" customHeight="1" x14ac:dyDescent="0.2">
      <c r="A14" s="7">
        <v>2</v>
      </c>
      <c r="B14" s="5" t="s">
        <v>7</v>
      </c>
      <c r="C14" s="154"/>
      <c r="D14" s="154">
        <v>3.2000000000000002E-3</v>
      </c>
      <c r="E14" s="154">
        <f>D14</f>
        <v>3.2000000000000002E-3</v>
      </c>
    </row>
    <row r="15" spans="1:5" ht="18.95" customHeight="1" x14ac:dyDescent="0.2">
      <c r="A15" s="7"/>
      <c r="B15" s="5"/>
      <c r="C15" s="6"/>
      <c r="D15" s="154"/>
      <c r="E15" s="154"/>
    </row>
    <row r="16" spans="1:5" ht="18.95" customHeight="1" x14ac:dyDescent="0.2">
      <c r="A16" s="7">
        <v>3</v>
      </c>
      <c r="B16" s="5" t="s">
        <v>8</v>
      </c>
      <c r="D16" s="155">
        <v>1.941E-3</v>
      </c>
      <c r="E16" s="155">
        <f>D16</f>
        <v>1.941E-3</v>
      </c>
    </row>
    <row r="17" spans="1:5" ht="18.95" customHeight="1" x14ac:dyDescent="0.2">
      <c r="A17" s="7"/>
      <c r="B17" s="11"/>
      <c r="C17" s="6"/>
      <c r="D17" s="154"/>
      <c r="E17" s="154"/>
    </row>
    <row r="18" spans="1:5" ht="18.95" customHeight="1" x14ac:dyDescent="0.2">
      <c r="A18" s="7">
        <v>4</v>
      </c>
      <c r="B18" s="5" t="s">
        <v>167</v>
      </c>
      <c r="C18" s="6"/>
      <c r="D18" s="154">
        <f>D12-D14-D16</f>
        <v>0.99485900000000005</v>
      </c>
      <c r="E18" s="154">
        <f>E12-E14-E16</f>
        <v>0.99485900000000005</v>
      </c>
    </row>
    <row r="19" spans="1:5" ht="18.95" customHeight="1" x14ac:dyDescent="0.2">
      <c r="A19" s="7"/>
      <c r="B19" s="58"/>
      <c r="C19" s="6"/>
      <c r="D19" s="154"/>
      <c r="E19" s="154"/>
    </row>
    <row r="20" spans="1:5" ht="18.95" customHeight="1" x14ac:dyDescent="0.2">
      <c r="A20" s="7">
        <v>5</v>
      </c>
      <c r="B20" s="58" t="s">
        <v>168</v>
      </c>
      <c r="C20" s="15">
        <v>0.06</v>
      </c>
      <c r="D20" s="154">
        <f>D18*C20</f>
        <v>5.9691540000000001E-2</v>
      </c>
      <c r="E20" s="155">
        <f>D20</f>
        <v>5.9691540000000001E-2</v>
      </c>
    </row>
    <row r="21" spans="1:5" ht="18.95" customHeight="1" x14ac:dyDescent="0.2">
      <c r="A21" s="7"/>
      <c r="B21" s="58"/>
      <c r="C21" s="6"/>
      <c r="D21" s="154"/>
      <c r="E21" s="154"/>
    </row>
    <row r="22" spans="1:5" ht="18.95" customHeight="1" x14ac:dyDescent="0.2">
      <c r="A22" s="7">
        <v>6</v>
      </c>
      <c r="B22" s="5" t="s">
        <v>169</v>
      </c>
      <c r="D22" s="154"/>
      <c r="E22" s="154">
        <f>E18-E20</f>
        <v>0.93516746000000006</v>
      </c>
    </row>
    <row r="23" spans="1:5" ht="18.95" customHeight="1" x14ac:dyDescent="0.2">
      <c r="A23" s="7"/>
      <c r="B23" s="59"/>
      <c r="C23" s="6"/>
      <c r="D23" s="154"/>
      <c r="E23" s="154"/>
    </row>
    <row r="24" spans="1:5" ht="18.95" customHeight="1" x14ac:dyDescent="0.2">
      <c r="A24" s="7">
        <v>7</v>
      </c>
      <c r="B24" s="58" t="s">
        <v>170</v>
      </c>
      <c r="C24" s="15">
        <v>0.21</v>
      </c>
      <c r="D24" s="156"/>
      <c r="E24" s="155">
        <f>E22*C24</f>
        <v>0.19638516659999999</v>
      </c>
    </row>
    <row r="25" spans="1:5" ht="18.95" customHeight="1" x14ac:dyDescent="0.2">
      <c r="A25" s="7"/>
      <c r="B25" s="59"/>
      <c r="C25" s="6"/>
      <c r="D25" s="154"/>
      <c r="E25" s="154"/>
    </row>
    <row r="26" spans="1:5" ht="18.95" customHeight="1" thickBot="1" x14ac:dyDescent="0.25">
      <c r="A26" s="7">
        <v>8</v>
      </c>
      <c r="B26" s="58" t="s">
        <v>171</v>
      </c>
      <c r="E26" s="157">
        <f>E20+E24</f>
        <v>0.25607670659999998</v>
      </c>
    </row>
    <row r="27" spans="1:5" ht="18.95" customHeight="1" thickTop="1" x14ac:dyDescent="0.2"/>
    <row r="28" spans="1:5" ht="18.95" customHeight="1" x14ac:dyDescent="0.2">
      <c r="E28" s="158"/>
    </row>
    <row r="29" spans="1:5" ht="18.95" customHeight="1" x14ac:dyDescent="0.2">
      <c r="E29" s="158"/>
    </row>
    <row r="30" spans="1:5" ht="18.95" customHeight="1" x14ac:dyDescent="0.2">
      <c r="E30" s="154"/>
    </row>
    <row r="31" spans="1:5" ht="18.95" customHeight="1" x14ac:dyDescent="0.2">
      <c r="E31" s="154"/>
    </row>
    <row r="32" spans="1:5" ht="18.95" customHeight="1" x14ac:dyDescent="0.2">
      <c r="E32" s="154"/>
    </row>
    <row r="33" spans="5:5" ht="18.95" customHeight="1" x14ac:dyDescent="0.2">
      <c r="E33" s="154"/>
    </row>
    <row r="34" spans="5:5" ht="18.95" customHeight="1" x14ac:dyDescent="0.2"/>
    <row r="35" spans="5:5" ht="18.95" customHeight="1" x14ac:dyDescent="0.2"/>
    <row r="36" spans="5:5" ht="18.95" customHeight="1" x14ac:dyDescent="0.2"/>
    <row r="37" spans="5:5" ht="18.95" customHeight="1" x14ac:dyDescent="0.2"/>
    <row r="38" spans="5:5" ht="18.95" customHeight="1" x14ac:dyDescent="0.2"/>
    <row r="39" spans="5:5" ht="18.95" customHeight="1" x14ac:dyDescent="0.2"/>
    <row r="40" spans="5:5" ht="18.95" customHeight="1" x14ac:dyDescent="0.2"/>
    <row r="41" spans="5:5" ht="18.95" customHeight="1" x14ac:dyDescent="0.2"/>
    <row r="42" spans="5:5" ht="18.95" customHeight="1" x14ac:dyDescent="0.2"/>
    <row r="43" spans="5:5" ht="18.95" customHeight="1" x14ac:dyDescent="0.2"/>
    <row r="44" spans="5:5" ht="18.95" customHeight="1" x14ac:dyDescent="0.2"/>
    <row r="45" spans="5:5" ht="18.95" customHeight="1" x14ac:dyDescent="0.2"/>
    <row r="46" spans="5:5" ht="18.95" customHeight="1" x14ac:dyDescent="0.2"/>
    <row r="47" spans="5:5" ht="18.95" customHeight="1" x14ac:dyDescent="0.2"/>
    <row r="48" spans="5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</sheetData>
  <mergeCells count="4">
    <mergeCell ref="A3:E3"/>
    <mergeCell ref="A4:E4"/>
    <mergeCell ref="A5:E5"/>
    <mergeCell ref="A6:E6"/>
  </mergeCells>
  <pageMargins left="0.95" right="0.5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K3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24" sqref="G24"/>
    </sheetView>
  </sheetViews>
  <sheetFormatPr defaultColWidth="9.140625" defaultRowHeight="15" outlineLevelRow="1" x14ac:dyDescent="0.25"/>
  <cols>
    <col min="1" max="1" width="48.7109375" style="120" customWidth="1"/>
    <col min="2" max="2" width="15.7109375" style="120" customWidth="1"/>
    <col min="3" max="3" width="2.7109375" style="120" customWidth="1"/>
    <col min="4" max="5" width="13.7109375" style="120" customWidth="1"/>
    <col min="6" max="6" width="2.7109375" style="120" customWidth="1"/>
    <col min="7" max="7" width="15.7109375" style="120" customWidth="1"/>
    <col min="8" max="8" width="13.7109375" style="120" customWidth="1"/>
    <col min="9" max="9" width="3.5703125" style="120" customWidth="1"/>
    <col min="10" max="10" width="15.28515625" style="120" bestFit="1" customWidth="1"/>
    <col min="11" max="11" width="10.140625" style="120" bestFit="1" customWidth="1"/>
    <col min="12" max="16384" width="9.140625" style="120"/>
  </cols>
  <sheetData>
    <row r="1" spans="1:11" s="108" customFormat="1" ht="18.75" x14ac:dyDescent="0.3">
      <c r="B1" s="165" t="s">
        <v>25</v>
      </c>
      <c r="C1" s="165"/>
      <c r="D1" s="165"/>
      <c r="E1" s="165"/>
      <c r="F1" s="165"/>
      <c r="G1" s="165"/>
      <c r="H1" s="165"/>
    </row>
    <row r="2" spans="1:11" s="109" customFormat="1" ht="39" customHeight="1" x14ac:dyDescent="0.45">
      <c r="D2" s="166" t="s">
        <v>106</v>
      </c>
      <c r="E2" s="166"/>
      <c r="F2" s="110"/>
      <c r="H2" s="134"/>
    </row>
    <row r="3" spans="1:11" s="111" customFormat="1" ht="51.75" x14ac:dyDescent="0.4">
      <c r="B3" s="112" t="s">
        <v>107</v>
      </c>
      <c r="C3" s="113"/>
      <c r="D3" s="114" t="s">
        <v>108</v>
      </c>
      <c r="E3" s="112" t="s">
        <v>109</v>
      </c>
      <c r="F3" s="113"/>
      <c r="G3" s="112" t="s">
        <v>142</v>
      </c>
      <c r="H3" s="114" t="s">
        <v>138</v>
      </c>
    </row>
    <row r="4" spans="1:11" s="111" customFormat="1" ht="17.25" x14ac:dyDescent="0.4">
      <c r="A4" s="115" t="s">
        <v>110</v>
      </c>
      <c r="B4" s="112"/>
      <c r="C4" s="113"/>
      <c r="D4" s="112"/>
      <c r="E4" s="112"/>
      <c r="F4" s="113"/>
      <c r="G4" s="112"/>
      <c r="H4" s="112"/>
    </row>
    <row r="5" spans="1:11" x14ac:dyDescent="0.25">
      <c r="A5" s="116" t="s">
        <v>111</v>
      </c>
      <c r="B5" s="117">
        <v>622779410.78847742</v>
      </c>
      <c r="C5" s="118"/>
      <c r="D5" s="117">
        <v>20421226</v>
      </c>
      <c r="E5" s="119">
        <f t="shared" ref="E5:E25" si="0">IF(B5=0,0,D5/B5)</f>
        <v>3.2790464241817918E-2</v>
      </c>
      <c r="F5" s="118"/>
      <c r="G5" s="117">
        <f>B5+D5</f>
        <v>643200636.78847742</v>
      </c>
      <c r="H5" s="135">
        <f>G5/G$25</f>
        <v>0.38981153219094655</v>
      </c>
      <c r="J5" s="121">
        <f>D5+B5</f>
        <v>643200636.78847742</v>
      </c>
    </row>
    <row r="6" spans="1:11" x14ac:dyDescent="0.25">
      <c r="A6" s="116" t="s">
        <v>112</v>
      </c>
      <c r="B6" s="118">
        <v>30441.377400766949</v>
      </c>
      <c r="C6" s="118"/>
      <c r="D6" s="118">
        <v>1000</v>
      </c>
      <c r="E6" s="119">
        <f t="shared" si="0"/>
        <v>3.285002471585946E-2</v>
      </c>
      <c r="F6" s="118"/>
      <c r="G6" s="118">
        <f t="shared" ref="G6:G15" si="1">B6+D6</f>
        <v>31441.377400766949</v>
      </c>
      <c r="H6" s="135">
        <f t="shared" ref="H6:H25" si="2">G6/G$25</f>
        <v>1.9055036325807206E-5</v>
      </c>
      <c r="J6" s="121">
        <f>D6+B6</f>
        <v>31441.377400766949</v>
      </c>
    </row>
    <row r="7" spans="1:11" x14ac:dyDescent="0.25">
      <c r="A7" s="116" t="s">
        <v>113</v>
      </c>
      <c r="B7" s="118">
        <v>239171376.68404651</v>
      </c>
      <c r="C7" s="118"/>
      <c r="D7" s="118">
        <v>7618843</v>
      </c>
      <c r="E7" s="119">
        <f t="shared" si="0"/>
        <v>3.1855162208915787E-2</v>
      </c>
      <c r="F7" s="118"/>
      <c r="G7" s="118">
        <f t="shared" si="1"/>
        <v>246790219.68404651</v>
      </c>
      <c r="H7" s="135">
        <f t="shared" si="2"/>
        <v>0.14956713063145691</v>
      </c>
      <c r="J7" s="121">
        <f>SUM(J5:J6)</f>
        <v>643232078.16587818</v>
      </c>
      <c r="K7" s="119">
        <f>ROUND(J7/J25,2)</f>
        <v>0.39</v>
      </c>
    </row>
    <row r="8" spans="1:11" x14ac:dyDescent="0.25">
      <c r="A8" s="116" t="s">
        <v>114</v>
      </c>
      <c r="B8" s="118">
        <v>14562100.123204114</v>
      </c>
      <c r="C8" s="118"/>
      <c r="D8" s="118">
        <v>464318</v>
      </c>
      <c r="E8" s="119">
        <f t="shared" si="0"/>
        <v>3.1885373405730687E-2</v>
      </c>
      <c r="F8" s="118"/>
      <c r="G8" s="118">
        <f t="shared" si="1"/>
        <v>15026418.123204114</v>
      </c>
      <c r="H8" s="135">
        <f t="shared" si="2"/>
        <v>9.1067557103092344E-3</v>
      </c>
    </row>
    <row r="9" spans="1:11" outlineLevel="1" x14ac:dyDescent="0.25">
      <c r="A9" s="122" t="s">
        <v>115</v>
      </c>
      <c r="B9" s="123">
        <v>179716172</v>
      </c>
      <c r="C9" s="123"/>
      <c r="D9" s="123">
        <v>5730358</v>
      </c>
      <c r="E9" s="124">
        <f t="shared" si="0"/>
        <v>3.1885600145099911E-2</v>
      </c>
      <c r="F9" s="123"/>
      <c r="G9" s="123">
        <f t="shared" si="1"/>
        <v>185446530</v>
      </c>
      <c r="H9" s="136">
        <f t="shared" si="2"/>
        <v>0.11238980788286644</v>
      </c>
    </row>
    <row r="10" spans="1:11" outlineLevel="1" x14ac:dyDescent="0.25">
      <c r="A10" s="122" t="s">
        <v>116</v>
      </c>
      <c r="B10" s="123">
        <v>14972312.428139996</v>
      </c>
      <c r="C10" s="123"/>
      <c r="D10" s="123">
        <v>479112</v>
      </c>
      <c r="E10" s="124">
        <f t="shared" si="0"/>
        <v>3.1999866573684629E-2</v>
      </c>
      <c r="F10" s="123"/>
      <c r="G10" s="123">
        <f t="shared" si="1"/>
        <v>15451424.428139996</v>
      </c>
      <c r="H10" s="136">
        <f t="shared" si="2"/>
        <v>9.3643306401866005E-3</v>
      </c>
    </row>
    <row r="11" spans="1:11" s="128" customFormat="1" x14ac:dyDescent="0.25">
      <c r="A11" s="125" t="s">
        <v>117</v>
      </c>
      <c r="B11" s="126">
        <f>SUM(B9:B10)</f>
        <v>194688484.42813998</v>
      </c>
      <c r="C11" s="126"/>
      <c r="D11" s="126">
        <f>SUM(D9:D10)</f>
        <v>6209470</v>
      </c>
      <c r="E11" s="127">
        <f t="shared" si="0"/>
        <v>3.1894387684197785E-2</v>
      </c>
      <c r="F11" s="126"/>
      <c r="G11" s="126">
        <f t="shared" si="1"/>
        <v>200897954.42813998</v>
      </c>
      <c r="H11" s="137">
        <f t="shared" si="2"/>
        <v>0.12175413852305303</v>
      </c>
    </row>
    <row r="12" spans="1:11" x14ac:dyDescent="0.25">
      <c r="A12" s="116" t="s">
        <v>118</v>
      </c>
      <c r="B12" s="118">
        <v>111361703.46595718</v>
      </c>
      <c r="C12" s="118"/>
      <c r="D12" s="118">
        <v>3534112</v>
      </c>
      <c r="E12" s="119">
        <f t="shared" si="0"/>
        <v>3.1735434085563924E-2</v>
      </c>
      <c r="F12" s="118"/>
      <c r="G12" s="118">
        <f t="shared" si="1"/>
        <v>114895815.46595718</v>
      </c>
      <c r="H12" s="135">
        <f t="shared" si="2"/>
        <v>6.9632570783417738E-2</v>
      </c>
    </row>
    <row r="13" spans="1:11" x14ac:dyDescent="0.25">
      <c r="A13" s="116" t="s">
        <v>119</v>
      </c>
      <c r="B13" s="118">
        <v>262428533.3952243</v>
      </c>
      <c r="C13" s="118"/>
      <c r="D13" s="118">
        <v>8489773</v>
      </c>
      <c r="E13" s="119">
        <f t="shared" si="0"/>
        <v>3.2350800007002967E-2</v>
      </c>
      <c r="F13" s="118"/>
      <c r="G13" s="118">
        <f t="shared" si="1"/>
        <v>270918306.39522433</v>
      </c>
      <c r="H13" s="135">
        <f t="shared" si="2"/>
        <v>0.16418994956503533</v>
      </c>
    </row>
    <row r="14" spans="1:11" x14ac:dyDescent="0.25">
      <c r="A14" s="116" t="s">
        <v>120</v>
      </c>
      <c r="B14" s="118">
        <v>89717941.026858285</v>
      </c>
      <c r="C14" s="118"/>
      <c r="D14" s="118">
        <v>2880507</v>
      </c>
      <c r="E14" s="119">
        <f t="shared" si="0"/>
        <v>3.2106253966948273E-2</v>
      </c>
      <c r="F14" s="118"/>
      <c r="G14" s="118">
        <f t="shared" si="1"/>
        <v>92598448.026858285</v>
      </c>
      <c r="H14" s="135">
        <f t="shared" si="2"/>
        <v>5.6119258656337198E-2</v>
      </c>
    </row>
    <row r="15" spans="1:11" x14ac:dyDescent="0.25">
      <c r="A15" s="116" t="s">
        <v>121</v>
      </c>
      <c r="B15" s="118">
        <v>30814610.295082595</v>
      </c>
      <c r="C15" s="118"/>
      <c r="D15" s="118">
        <v>980351</v>
      </c>
      <c r="E15" s="119">
        <f t="shared" si="0"/>
        <v>3.1814486394995713E-2</v>
      </c>
      <c r="F15" s="118"/>
      <c r="G15" s="118">
        <f t="shared" si="1"/>
        <v>31794961.295082595</v>
      </c>
      <c r="H15" s="135">
        <f t="shared" si="2"/>
        <v>1.9269325727461751E-2</v>
      </c>
    </row>
    <row r="16" spans="1:11" outlineLevel="1" x14ac:dyDescent="0.25">
      <c r="A16" s="122" t="s">
        <v>122</v>
      </c>
      <c r="B16" s="129"/>
      <c r="C16" s="123"/>
      <c r="D16" s="129"/>
      <c r="E16" s="124">
        <f t="shared" si="0"/>
        <v>0</v>
      </c>
      <c r="F16" s="123"/>
      <c r="G16" s="129"/>
      <c r="H16" s="136">
        <f t="shared" si="2"/>
        <v>0</v>
      </c>
    </row>
    <row r="17" spans="1:10" outlineLevel="1" x14ac:dyDescent="0.25">
      <c r="A17" s="122" t="s">
        <v>123</v>
      </c>
      <c r="B17" s="129"/>
      <c r="C17" s="123"/>
      <c r="D17" s="129"/>
      <c r="E17" s="124">
        <f t="shared" si="0"/>
        <v>0</v>
      </c>
      <c r="F17" s="123"/>
      <c r="G17" s="129"/>
      <c r="H17" s="136">
        <f t="shared" si="2"/>
        <v>0</v>
      </c>
    </row>
    <row r="18" spans="1:10" s="128" customFormat="1" x14ac:dyDescent="0.25">
      <c r="A18" s="125" t="s">
        <v>124</v>
      </c>
      <c r="B18" s="126">
        <v>-17395776</v>
      </c>
      <c r="C18" s="126"/>
      <c r="D18" s="126">
        <v>1357806</v>
      </c>
      <c r="E18" s="127">
        <f t="shared" si="0"/>
        <v>-7.8053775813162918E-2</v>
      </c>
      <c r="F18" s="126"/>
      <c r="G18" s="126">
        <f t="shared" ref="G18:G24" si="3">B18+D18</f>
        <v>-16037970</v>
      </c>
      <c r="H18" s="137">
        <f t="shared" si="2"/>
        <v>-9.7198063891040468E-3</v>
      </c>
    </row>
    <row r="19" spans="1:10" x14ac:dyDescent="0.25">
      <c r="A19" s="116" t="s">
        <v>125</v>
      </c>
      <c r="B19" s="118">
        <v>35467.485174180503</v>
      </c>
      <c r="C19" s="118"/>
      <c r="D19" s="118">
        <v>0</v>
      </c>
      <c r="E19" s="119">
        <f t="shared" si="0"/>
        <v>0</v>
      </c>
      <c r="F19" s="118"/>
      <c r="G19" s="118">
        <f t="shared" si="3"/>
        <v>35467.485174180503</v>
      </c>
      <c r="H19" s="135">
        <f t="shared" si="2"/>
        <v>2.1495057604014271E-5</v>
      </c>
    </row>
    <row r="20" spans="1:10" x14ac:dyDescent="0.25">
      <c r="A20" s="116" t="s">
        <v>126</v>
      </c>
      <c r="B20" s="118">
        <v>173457.22905495041</v>
      </c>
      <c r="C20" s="118"/>
      <c r="D20" s="118">
        <v>4155</v>
      </c>
      <c r="E20" s="119">
        <f t="shared" si="0"/>
        <v>2.3954031911138832E-2</v>
      </c>
      <c r="F20" s="118"/>
      <c r="G20" s="118">
        <f t="shared" si="3"/>
        <v>177612.22905495041</v>
      </c>
      <c r="H20" s="135">
        <f t="shared" si="2"/>
        <v>1.0764183239844685E-4</v>
      </c>
    </row>
    <row r="21" spans="1:10" outlineLevel="1" x14ac:dyDescent="0.25">
      <c r="A21" s="122" t="s">
        <v>127</v>
      </c>
      <c r="B21" s="123">
        <v>26150821.489857558</v>
      </c>
      <c r="C21" s="123"/>
      <c r="D21" s="130"/>
      <c r="E21" s="124">
        <f t="shared" si="0"/>
        <v>0</v>
      </c>
      <c r="F21" s="123"/>
      <c r="G21" s="123">
        <f t="shared" si="3"/>
        <v>26150821.489857558</v>
      </c>
      <c r="H21" s="136">
        <f t="shared" si="2"/>
        <v>1.5848696674045214E-2</v>
      </c>
    </row>
    <row r="22" spans="1:10" outlineLevel="1" x14ac:dyDescent="0.25">
      <c r="A22" s="122" t="s">
        <v>128</v>
      </c>
      <c r="B22" s="123">
        <v>4238872.2721082512</v>
      </c>
      <c r="C22" s="123"/>
      <c r="D22" s="130"/>
      <c r="E22" s="124">
        <f t="shared" si="0"/>
        <v>0</v>
      </c>
      <c r="F22" s="123"/>
      <c r="G22" s="123">
        <f t="shared" si="3"/>
        <v>4238872.2721082512</v>
      </c>
      <c r="H22" s="136">
        <f t="shared" si="2"/>
        <v>2.5689671319396265E-3</v>
      </c>
    </row>
    <row r="23" spans="1:10" s="128" customFormat="1" x14ac:dyDescent="0.25">
      <c r="A23" s="125" t="s">
        <v>129</v>
      </c>
      <c r="B23" s="126">
        <f>SUM(B21:B22)</f>
        <v>30389693.761965811</v>
      </c>
      <c r="C23" s="126"/>
      <c r="D23" s="126">
        <v>344445</v>
      </c>
      <c r="E23" s="127">
        <f t="shared" si="0"/>
        <v>1.1334270187055646E-2</v>
      </c>
      <c r="F23" s="126"/>
      <c r="G23" s="126">
        <f t="shared" si="3"/>
        <v>30734138.761965811</v>
      </c>
      <c r="H23" s="137">
        <f t="shared" si="2"/>
        <v>1.862641458377623E-2</v>
      </c>
    </row>
    <row r="24" spans="1:10" ht="17.25" x14ac:dyDescent="0.4">
      <c r="A24" s="116" t="s">
        <v>130</v>
      </c>
      <c r="B24" s="131">
        <v>19714166</v>
      </c>
      <c r="C24" s="118"/>
      <c r="D24" s="131">
        <v>-747835.83999999613</v>
      </c>
      <c r="E24" s="119">
        <f t="shared" si="0"/>
        <v>-3.7933932381415278E-2</v>
      </c>
      <c r="F24" s="118"/>
      <c r="G24" s="131">
        <f t="shared" si="3"/>
        <v>18966330.160000004</v>
      </c>
      <c r="H24" s="135">
        <f t="shared" si="2"/>
        <v>1.1494538090981891E-2</v>
      </c>
    </row>
    <row r="25" spans="1:10" ht="17.25" x14ac:dyDescent="0.4">
      <c r="A25" s="132" t="s">
        <v>131</v>
      </c>
      <c r="B25" s="133">
        <f>SUM(B5:B8,B11:B15,B18:B20,B23:B24)</f>
        <v>1598471610.060586</v>
      </c>
      <c r="D25" s="133">
        <f>SUM(D5:D8,D11:D15,D18:D20,D23:D24)</f>
        <v>51558170.160000004</v>
      </c>
      <c r="E25" s="119">
        <f t="shared" si="0"/>
        <v>3.2254667418238243E-2</v>
      </c>
      <c r="G25" s="133">
        <f>SUM(G5:G8,G11:G15,G18:G20,G23:G24)</f>
        <v>1650029780.2205861</v>
      </c>
      <c r="H25" s="137">
        <f t="shared" si="2"/>
        <v>1</v>
      </c>
      <c r="J25" s="121">
        <f>D25+B25</f>
        <v>1650029780.2205861</v>
      </c>
    </row>
    <row r="27" spans="1:10" x14ac:dyDescent="0.25">
      <c r="A27" s="132" t="s">
        <v>132</v>
      </c>
    </row>
    <row r="28" spans="1:10" x14ac:dyDescent="0.25">
      <c r="A28" s="116" t="s">
        <v>133</v>
      </c>
      <c r="B28" s="117">
        <v>3857505.2961587054</v>
      </c>
      <c r="D28" s="117">
        <v>0</v>
      </c>
      <c r="E28" s="119">
        <f>IF(B28=0,0,D28/B28)</f>
        <v>0</v>
      </c>
      <c r="G28" s="117">
        <f t="shared" ref="G28:G31" si="4">B28+D28</f>
        <v>3857505.2961587054</v>
      </c>
      <c r="H28" s="119"/>
    </row>
    <row r="29" spans="1:10" x14ac:dyDescent="0.25">
      <c r="A29" s="116" t="s">
        <v>134</v>
      </c>
      <c r="B29" s="118">
        <v>2108281.586779655</v>
      </c>
      <c r="D29" s="118">
        <v>0</v>
      </c>
      <c r="E29" s="119">
        <f>IF(B29=0,0,D29/B29)</f>
        <v>0</v>
      </c>
      <c r="G29" s="118">
        <f t="shared" si="4"/>
        <v>2108281.586779655</v>
      </c>
      <c r="H29" s="119"/>
    </row>
    <row r="30" spans="1:10" x14ac:dyDescent="0.25">
      <c r="A30" s="116" t="s">
        <v>135</v>
      </c>
      <c r="B30" s="118">
        <v>3142644.6954118521</v>
      </c>
      <c r="D30" s="118">
        <v>19720</v>
      </c>
      <c r="E30" s="119">
        <f>IF(B30=0,0,D30/B30)</f>
        <v>6.274969623129999E-3</v>
      </c>
      <c r="G30" s="118">
        <f t="shared" si="4"/>
        <v>3162364.6954118521</v>
      </c>
      <c r="H30" s="119"/>
    </row>
    <row r="31" spans="1:10" ht="17.25" x14ac:dyDescent="0.4">
      <c r="A31" s="116" t="s">
        <v>136</v>
      </c>
      <c r="B31" s="131">
        <v>22338060.122524951</v>
      </c>
      <c r="D31" s="131">
        <v>0</v>
      </c>
      <c r="E31" s="119">
        <f>IF(B31=0,0,D31/B31)</f>
        <v>0</v>
      </c>
      <c r="G31" s="131">
        <f t="shared" si="4"/>
        <v>22338060.122524951</v>
      </c>
      <c r="H31" s="119"/>
    </row>
    <row r="32" spans="1:10" ht="17.25" x14ac:dyDescent="0.4">
      <c r="A32" s="132" t="s">
        <v>137</v>
      </c>
      <c r="B32" s="133">
        <f>SUM(B25:B31)</f>
        <v>1629918101.7614613</v>
      </c>
      <c r="D32" s="133">
        <f>SUM(D25:D31)</f>
        <v>51577890.160000004</v>
      </c>
      <c r="E32" s="119">
        <f>IF(B32=0,0,D32/B32)</f>
        <v>3.1644467353457516E-2</v>
      </c>
      <c r="G32" s="133">
        <f>SUM(G25:G31)</f>
        <v>1681495991.9214613</v>
      </c>
      <c r="H32" s="127"/>
    </row>
  </sheetData>
  <mergeCells count="2">
    <mergeCell ref="B1:H1"/>
    <mergeCell ref="D2:E2"/>
  </mergeCells>
  <printOptions horizontalCentered="1"/>
  <pageMargins left="1" right="1" top="1" bottom="1" header="0.3" footer="0.3"/>
  <pageSetup scale="8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7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D20" sqref="D20"/>
    </sheetView>
  </sheetViews>
  <sheetFormatPr defaultColWidth="9.140625" defaultRowHeight="15" x14ac:dyDescent="0.25"/>
  <cols>
    <col min="1" max="1" width="28.7109375" style="91" bestFit="1" customWidth="1"/>
    <col min="2" max="2" width="15.7109375" style="91" customWidth="1"/>
    <col min="3" max="3" width="7.85546875" style="91" customWidth="1"/>
    <col min="4" max="13" width="15.7109375" style="91" customWidth="1"/>
    <col min="14" max="16384" width="9.140625" style="91"/>
  </cols>
  <sheetData>
    <row r="1" spans="1:14" s="95" customFormat="1" ht="18.75" x14ac:dyDescent="0.3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94"/>
      <c r="N1" s="94"/>
    </row>
    <row r="2" spans="1:14" s="97" customFormat="1" x14ac:dyDescent="0.25">
      <c r="A2" s="96" t="s">
        <v>139</v>
      </c>
      <c r="B2" s="96"/>
      <c r="C2" s="96"/>
      <c r="D2" s="96"/>
      <c r="E2" s="96"/>
      <c r="F2" s="96"/>
    </row>
    <row r="3" spans="1:14" s="97" customFormat="1" x14ac:dyDescent="0.25">
      <c r="A3" s="96"/>
      <c r="B3" s="96"/>
      <c r="C3" s="96"/>
      <c r="D3" s="96"/>
      <c r="E3" s="96"/>
      <c r="F3" s="96"/>
    </row>
    <row r="4" spans="1:14" ht="51.75" x14ac:dyDescent="0.4">
      <c r="A4" s="98" t="s">
        <v>44</v>
      </c>
      <c r="B4" s="99" t="s">
        <v>101</v>
      </c>
      <c r="C4" s="99" t="s">
        <v>100</v>
      </c>
      <c r="D4" s="99" t="s">
        <v>45</v>
      </c>
      <c r="E4" s="99" t="s">
        <v>46</v>
      </c>
    </row>
    <row r="5" spans="1:14" x14ac:dyDescent="0.25">
      <c r="A5" s="91" t="s">
        <v>102</v>
      </c>
      <c r="B5" s="105">
        <v>6091631439.7637749</v>
      </c>
      <c r="C5" s="100">
        <f>B5/B$7</f>
        <v>0.33233272627711469</v>
      </c>
    </row>
    <row r="6" spans="1:14" ht="17.25" x14ac:dyDescent="0.4">
      <c r="A6" s="101" t="s">
        <v>103</v>
      </c>
      <c r="B6" s="106">
        <v>12238286013.759253</v>
      </c>
      <c r="C6" s="102">
        <f>B6/B$7</f>
        <v>0.66766727372288537</v>
      </c>
    </row>
    <row r="7" spans="1:14" ht="17.25" x14ac:dyDescent="0.4">
      <c r="A7" s="103" t="s">
        <v>104</v>
      </c>
      <c r="B7" s="107">
        <f>SUM(B5:B6)</f>
        <v>18329917453.523026</v>
      </c>
      <c r="C7" s="104">
        <f>SUM(C5:C6)</f>
        <v>1</v>
      </c>
      <c r="D7" s="107">
        <v>18329917453.522999</v>
      </c>
      <c r="E7" s="107">
        <f>B7-D7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79"/>
  <sheetViews>
    <sheetView workbookViewId="0">
      <selection activeCell="D23" sqref="D23"/>
    </sheetView>
  </sheetViews>
  <sheetFormatPr defaultRowHeight="12.75" x14ac:dyDescent="0.2"/>
  <cols>
    <col min="1" max="1" width="9.7109375" customWidth="1"/>
    <col min="2" max="2" width="27.7109375" customWidth="1"/>
    <col min="3" max="7" width="16.28515625" customWidth="1"/>
  </cols>
  <sheetData>
    <row r="1" spans="1:7" ht="15" x14ac:dyDescent="0.25">
      <c r="A1" s="76" t="s">
        <v>25</v>
      </c>
      <c r="C1" s="60"/>
      <c r="D1" s="60"/>
      <c r="E1" s="60"/>
      <c r="F1" s="60"/>
      <c r="G1" s="60"/>
    </row>
    <row r="2" spans="1:7" x14ac:dyDescent="0.2">
      <c r="A2" t="s">
        <v>26</v>
      </c>
      <c r="C2" s="60"/>
      <c r="D2" s="60"/>
      <c r="E2" s="60"/>
      <c r="F2" s="60"/>
      <c r="G2" s="60"/>
    </row>
    <row r="3" spans="1:7" ht="13.5" thickBot="1" x14ac:dyDescent="0.25">
      <c r="C3" s="60"/>
      <c r="D3" s="60"/>
      <c r="E3" s="60"/>
      <c r="F3" s="60"/>
      <c r="G3" s="60"/>
    </row>
    <row r="4" spans="1:7" ht="13.5" thickBot="1" x14ac:dyDescent="0.25">
      <c r="C4" s="167" t="s">
        <v>27</v>
      </c>
      <c r="D4" s="168"/>
      <c r="E4" s="168"/>
      <c r="F4" s="168"/>
      <c r="G4" s="169"/>
    </row>
    <row r="5" spans="1:7" x14ac:dyDescent="0.2">
      <c r="C5" s="62"/>
      <c r="D5" s="173" t="s">
        <v>89</v>
      </c>
      <c r="E5" s="174"/>
      <c r="F5" s="173" t="s">
        <v>90</v>
      </c>
      <c r="G5" s="174"/>
    </row>
    <row r="6" spans="1:7" ht="15" x14ac:dyDescent="0.25">
      <c r="A6" s="63"/>
      <c r="B6" s="63"/>
      <c r="C6" s="64" t="s">
        <v>29</v>
      </c>
      <c r="D6" s="77" t="s">
        <v>30</v>
      </c>
      <c r="E6" s="64" t="s">
        <v>31</v>
      </c>
      <c r="F6" s="77" t="s">
        <v>32</v>
      </c>
      <c r="G6" s="64" t="s">
        <v>91</v>
      </c>
    </row>
    <row r="7" spans="1:7" x14ac:dyDescent="0.2">
      <c r="B7" s="78" t="s">
        <v>33</v>
      </c>
      <c r="C7" s="60">
        <f>SUM(D7:G7)</f>
        <v>-454519875</v>
      </c>
      <c r="D7" s="79">
        <f>-463117331-G7-F7</f>
        <v>-354831907.27999997</v>
      </c>
      <c r="E7" s="60">
        <v>8597456</v>
      </c>
      <c r="F7" s="79">
        <v>-107594802</v>
      </c>
      <c r="G7" s="60">
        <v>-690621.72</v>
      </c>
    </row>
    <row r="8" spans="1:7" x14ac:dyDescent="0.2">
      <c r="B8" s="78" t="s">
        <v>34</v>
      </c>
      <c r="C8" s="60">
        <f t="shared" ref="C8:G9" si="0">+C7+C14</f>
        <v>-445124392.93718392</v>
      </c>
      <c r="D8" s="79">
        <f t="shared" si="0"/>
        <v>-345424733.89168793</v>
      </c>
      <c r="E8" s="60">
        <f t="shared" si="0"/>
        <v>8419736.0628160648</v>
      </c>
      <c r="F8" s="79">
        <f t="shared" si="0"/>
        <v>-107428773.38831204</v>
      </c>
      <c r="G8" s="60">
        <f t="shared" si="0"/>
        <v>-690621.72</v>
      </c>
    </row>
    <row r="9" spans="1:7" x14ac:dyDescent="0.2">
      <c r="B9" s="78" t="s">
        <v>36</v>
      </c>
      <c r="C9" s="60">
        <f t="shared" si="0"/>
        <v>-441463901.83821523</v>
      </c>
      <c r="D9" s="79">
        <f t="shared" si="0"/>
        <v>-341757848.34069574</v>
      </c>
      <c r="E9" s="60">
        <f t="shared" si="0"/>
        <v>8350496.1617847299</v>
      </c>
      <c r="F9" s="79">
        <f t="shared" si="0"/>
        <v>-107365927.93930426</v>
      </c>
      <c r="G9" s="60">
        <f t="shared" si="0"/>
        <v>-690621.72</v>
      </c>
    </row>
    <row r="10" spans="1:7" ht="13.5" thickBot="1" x14ac:dyDescent="0.25"/>
    <row r="11" spans="1:7" ht="13.5" thickBot="1" x14ac:dyDescent="0.25">
      <c r="B11" s="62"/>
      <c r="C11" s="167" t="s">
        <v>28</v>
      </c>
      <c r="D11" s="168"/>
      <c r="E11" s="168"/>
      <c r="F11" s="168"/>
      <c r="G11" s="169"/>
    </row>
    <row r="12" spans="1:7" x14ac:dyDescent="0.2">
      <c r="B12" s="62"/>
      <c r="C12" s="62"/>
      <c r="D12" s="170" t="s">
        <v>89</v>
      </c>
      <c r="E12" s="171"/>
      <c r="F12" s="170" t="s">
        <v>90</v>
      </c>
      <c r="G12" s="172"/>
    </row>
    <row r="13" spans="1:7" ht="15" x14ac:dyDescent="0.25">
      <c r="B13" s="65"/>
      <c r="C13" s="64" t="s">
        <v>29</v>
      </c>
      <c r="D13" s="80" t="s">
        <v>30</v>
      </c>
      <c r="E13" s="65" t="s">
        <v>31</v>
      </c>
      <c r="F13" s="80" t="s">
        <v>32</v>
      </c>
      <c r="G13" s="65" t="s">
        <v>91</v>
      </c>
    </row>
    <row r="14" spans="1:7" x14ac:dyDescent="0.2">
      <c r="B14" s="66" t="s">
        <v>35</v>
      </c>
      <c r="C14" s="60">
        <f>SUM(D14:G14)</f>
        <v>9395482.0628160648</v>
      </c>
      <c r="D14" s="79">
        <f>9573202-F14</f>
        <v>9407173.3883120418</v>
      </c>
      <c r="E14" s="61">
        <f>SUM(D14,F14,G14)/SUM($D$7,$F$7,$G$7)*$E$7</f>
        <v>-177719.93718393578</v>
      </c>
      <c r="F14" s="79">
        <v>166028.61168795824</v>
      </c>
      <c r="G14" s="61">
        <v>0</v>
      </c>
    </row>
    <row r="15" spans="1:7" x14ac:dyDescent="0.2">
      <c r="B15" s="66" t="s">
        <v>92</v>
      </c>
      <c r="C15" s="60">
        <f>SUM(D15:G15)</f>
        <v>3660491.0989686651</v>
      </c>
      <c r="D15" s="79">
        <f>11189193/12*4-F15</f>
        <v>3666885.5509922155</v>
      </c>
      <c r="E15" s="61">
        <f>SUM(D15,F15,G15)/SUM($D$7,$F$7,$G$7)*$E$7</f>
        <v>-69239.901031334972</v>
      </c>
      <c r="F15" s="79">
        <f>188536.347023353/12*4</f>
        <v>62845.449007784337</v>
      </c>
      <c r="G15" s="61">
        <v>0</v>
      </c>
    </row>
    <row r="16" spans="1:7" ht="13.5" thickBot="1" x14ac:dyDescent="0.25">
      <c r="B16" s="81" t="s">
        <v>93</v>
      </c>
      <c r="C16" s="82">
        <f>SUM(C14:C15)</f>
        <v>13055973.161784731</v>
      </c>
      <c r="D16" s="83">
        <f t="shared" ref="D16:G16" si="1">SUM(D14:D15)</f>
        <v>13074058.939304257</v>
      </c>
      <c r="E16" s="82">
        <f t="shared" si="1"/>
        <v>-246959.83821527075</v>
      </c>
      <c r="F16" s="83">
        <f t="shared" si="1"/>
        <v>228874.06069574258</v>
      </c>
      <c r="G16" s="82">
        <f t="shared" si="1"/>
        <v>0</v>
      </c>
    </row>
    <row r="17" spans="2:5" x14ac:dyDescent="0.2">
      <c r="C17" s="84">
        <f>+C16-C22</f>
        <v>0</v>
      </c>
    </row>
    <row r="18" spans="2:5" x14ac:dyDescent="0.2">
      <c r="C18" s="84"/>
    </row>
    <row r="19" spans="2:5" ht="15" x14ac:dyDescent="0.25">
      <c r="B19" s="85" t="s">
        <v>143</v>
      </c>
    </row>
    <row r="20" spans="2:5" ht="15" x14ac:dyDescent="0.25">
      <c r="B20" s="86" t="s">
        <v>37</v>
      </c>
    </row>
    <row r="21" spans="2:5" ht="15" x14ac:dyDescent="0.25">
      <c r="C21" s="64" t="s">
        <v>29</v>
      </c>
      <c r="D21" s="64" t="s">
        <v>30</v>
      </c>
      <c r="E21" s="64" t="s">
        <v>32</v>
      </c>
    </row>
    <row r="22" spans="2:5" x14ac:dyDescent="0.2">
      <c r="B22" t="s">
        <v>38</v>
      </c>
      <c r="C22" s="60">
        <f>SUM(D22:E22)</f>
        <v>13055973.161784729</v>
      </c>
      <c r="D22" s="60">
        <f>SUM(D$14:E$15)</f>
        <v>12827099.101088986</v>
      </c>
      <c r="E22" s="60">
        <f>SUM(F$14:F$15)</f>
        <v>228874.06069574258</v>
      </c>
    </row>
    <row r="23" spans="2:5" x14ac:dyDescent="0.2">
      <c r="B23" t="s">
        <v>39</v>
      </c>
      <c r="C23" s="60">
        <f>SUM(D23:E23)</f>
        <v>1160096.9137777782</v>
      </c>
      <c r="D23" s="60">
        <v>952305.91377777816</v>
      </c>
      <c r="E23" s="60">
        <v>207791</v>
      </c>
    </row>
    <row r="24" spans="2:5" ht="13.5" thickBot="1" x14ac:dyDescent="0.25">
      <c r="B24" t="s">
        <v>40</v>
      </c>
      <c r="C24" s="67">
        <f>SUM(C22:C23)</f>
        <v>14216070.075562507</v>
      </c>
      <c r="D24" s="67">
        <f t="shared" ref="D24:E24" si="2">SUM(D22:D23)</f>
        <v>13779405.014866764</v>
      </c>
      <c r="E24" s="67">
        <f t="shared" si="2"/>
        <v>436665.06069574261</v>
      </c>
    </row>
    <row r="27" spans="2:5" ht="17.25" x14ac:dyDescent="0.4">
      <c r="B27" s="87" t="s">
        <v>94</v>
      </c>
    </row>
    <row r="28" spans="2:5" x14ac:dyDescent="0.2">
      <c r="B28" s="88" t="s">
        <v>95</v>
      </c>
      <c r="C28" s="84">
        <f>+SUM(D7:E7)</f>
        <v>-346234451.27999997</v>
      </c>
      <c r="D28">
        <f>D33</f>
        <v>0.89342076568543571</v>
      </c>
      <c r="E28" s="84">
        <f>C28*D28</f>
        <v>-309333048.56925428</v>
      </c>
    </row>
    <row r="29" spans="2:5" x14ac:dyDescent="0.2">
      <c r="B29" s="88" t="s">
        <v>96</v>
      </c>
      <c r="C29" s="84">
        <f>+SUM(F7:G7)</f>
        <v>-108285423.72</v>
      </c>
    </row>
    <row r="30" spans="2:5" ht="13.5" thickBot="1" x14ac:dyDescent="0.25">
      <c r="B30" s="88"/>
      <c r="C30" s="67">
        <f>SUM(C28:C29)</f>
        <v>-454519875</v>
      </c>
    </row>
    <row r="31" spans="2:5" x14ac:dyDescent="0.2">
      <c r="C31" s="84">
        <f>+C30-C7</f>
        <v>0</v>
      </c>
    </row>
    <row r="33" spans="1:6" ht="15" x14ac:dyDescent="0.25">
      <c r="A33" s="138"/>
      <c r="B33" s="88" t="s">
        <v>42</v>
      </c>
      <c r="C33" s="138"/>
      <c r="D33">
        <v>0.89342076568543571</v>
      </c>
    </row>
    <row r="34" spans="1:6" ht="15" x14ac:dyDescent="0.25">
      <c r="A34" s="138"/>
      <c r="B34" s="88"/>
      <c r="C34" s="138"/>
      <c r="D34" s="138"/>
    </row>
    <row r="35" spans="1:6" ht="15" x14ac:dyDescent="0.25">
      <c r="A35" s="88" t="s">
        <v>41</v>
      </c>
      <c r="B35" s="88" t="s">
        <v>38</v>
      </c>
      <c r="C35" s="138"/>
      <c r="D35" s="60">
        <f>D22*D33</f>
        <v>11459996.700417886</v>
      </c>
    </row>
    <row r="36" spans="1:6" ht="15" x14ac:dyDescent="0.25">
      <c r="A36" s="88" t="s">
        <v>41</v>
      </c>
      <c r="B36" s="88" t="s">
        <v>39</v>
      </c>
      <c r="C36" s="138"/>
      <c r="D36" s="60">
        <f>D23*D33</f>
        <v>850809.87865411106</v>
      </c>
      <c r="E36" s="89"/>
    </row>
    <row r="37" spans="1:6" ht="15.75" thickBot="1" x14ac:dyDescent="0.3">
      <c r="A37" s="88" t="s">
        <v>41</v>
      </c>
      <c r="B37" s="88" t="s">
        <v>40</v>
      </c>
      <c r="C37" s="138"/>
      <c r="D37" s="67">
        <f>SUM(D35:D36)</f>
        <v>12310806.579071997</v>
      </c>
    </row>
    <row r="40" spans="1:6" ht="15" x14ac:dyDescent="0.25">
      <c r="B40" s="68" t="s">
        <v>25</v>
      </c>
      <c r="C40" s="60"/>
      <c r="D40" s="60"/>
      <c r="E40" s="60"/>
      <c r="F40" s="60"/>
    </row>
    <row r="41" spans="1:6" x14ac:dyDescent="0.2">
      <c r="B41" s="69" t="s">
        <v>47</v>
      </c>
      <c r="C41" s="60"/>
      <c r="D41" s="60"/>
      <c r="E41" s="60"/>
      <c r="F41" s="60"/>
    </row>
    <row r="42" spans="1:6" x14ac:dyDescent="0.2">
      <c r="B42" s="69"/>
      <c r="C42" s="60"/>
      <c r="D42" s="60"/>
      <c r="E42" s="60"/>
      <c r="F42" s="60"/>
    </row>
    <row r="43" spans="1:6" ht="51.75" x14ac:dyDescent="0.4">
      <c r="B43" s="70" t="s">
        <v>48</v>
      </c>
      <c r="C43" s="71" t="s">
        <v>49</v>
      </c>
      <c r="D43" s="71" t="s">
        <v>50</v>
      </c>
      <c r="E43" s="71" t="s">
        <v>51</v>
      </c>
      <c r="F43" s="71" t="s">
        <v>52</v>
      </c>
    </row>
    <row r="44" spans="1:6" x14ac:dyDescent="0.2">
      <c r="B44" s="69"/>
      <c r="C44" s="60"/>
      <c r="D44" s="60"/>
      <c r="E44" s="60"/>
      <c r="F44" s="60"/>
    </row>
    <row r="45" spans="1:6" x14ac:dyDescent="0.2">
      <c r="B45" s="69" t="s">
        <v>53</v>
      </c>
      <c r="C45" s="60">
        <v>-567175.02</v>
      </c>
      <c r="D45" s="60">
        <v>-220631.07</v>
      </c>
      <c r="E45" s="60">
        <v>-145990.82999999999</v>
      </c>
      <c r="F45" s="61">
        <f>+E45-D45</f>
        <v>74640.24000000002</v>
      </c>
    </row>
    <row r="46" spans="1:6" x14ac:dyDescent="0.2">
      <c r="B46" s="69" t="s">
        <v>54</v>
      </c>
      <c r="C46" s="60">
        <v>-14786163.199999999</v>
      </c>
      <c r="D46" s="60">
        <v>-5751817.4800000004</v>
      </c>
      <c r="E46" s="60">
        <v>-3805958.4</v>
      </c>
      <c r="F46" s="61">
        <f t="shared" ref="F46:F78" si="3">+E46-D46</f>
        <v>1945859.0800000005</v>
      </c>
    </row>
    <row r="47" spans="1:6" x14ac:dyDescent="0.2">
      <c r="B47" s="69" t="s">
        <v>55</v>
      </c>
      <c r="C47" s="60">
        <v>-8826062.7799999993</v>
      </c>
      <c r="D47" s="60">
        <v>-3433338.42</v>
      </c>
      <c r="E47" s="60">
        <v>-2271828.56</v>
      </c>
      <c r="F47" s="61">
        <f t="shared" si="3"/>
        <v>1161509.8599999999</v>
      </c>
    </row>
    <row r="48" spans="1:6" x14ac:dyDescent="0.2">
      <c r="B48" s="69" t="s">
        <v>56</v>
      </c>
      <c r="C48" s="60">
        <v>1478120.07</v>
      </c>
      <c r="D48" s="60">
        <v>574988.68000000005</v>
      </c>
      <c r="E48" s="60">
        <v>380468.1</v>
      </c>
      <c r="F48" s="61">
        <f t="shared" si="3"/>
        <v>-194520.58000000007</v>
      </c>
    </row>
    <row r="49" spans="2:6" x14ac:dyDescent="0.2">
      <c r="B49" s="69" t="s">
        <v>57</v>
      </c>
      <c r="C49" s="60">
        <v>842194.15</v>
      </c>
      <c r="D49" s="60">
        <v>327613.65000000002</v>
      </c>
      <c r="E49" s="60">
        <v>216780.79</v>
      </c>
      <c r="F49" s="61">
        <f t="shared" si="3"/>
        <v>-110832.86000000002</v>
      </c>
    </row>
    <row r="50" spans="2:6" x14ac:dyDescent="0.2">
      <c r="B50" s="69" t="s">
        <v>58</v>
      </c>
      <c r="C50" s="60">
        <v>-28421223.169999987</v>
      </c>
      <c r="D50" s="60">
        <v>-11055855.82</v>
      </c>
      <c r="E50" s="60">
        <v>-7315622.8600000069</v>
      </c>
      <c r="F50" s="61">
        <f t="shared" si="3"/>
        <v>3740232.9599999934</v>
      </c>
    </row>
    <row r="51" spans="2:6" x14ac:dyDescent="0.2">
      <c r="B51" s="69" t="s">
        <v>59</v>
      </c>
      <c r="C51" s="60">
        <v>-162196.49</v>
      </c>
      <c r="D51" s="60">
        <v>-63094.42</v>
      </c>
      <c r="E51" s="60">
        <v>-41749.370000000003</v>
      </c>
      <c r="F51" s="61">
        <f t="shared" si="3"/>
        <v>21345.049999999996</v>
      </c>
    </row>
    <row r="52" spans="2:6" x14ac:dyDescent="0.2">
      <c r="B52" s="69" t="s">
        <v>60</v>
      </c>
      <c r="C52" s="60">
        <v>2433539.0299999998</v>
      </c>
      <c r="D52" s="60">
        <v>946646.67</v>
      </c>
      <c r="E52" s="60">
        <v>626392.94999999995</v>
      </c>
      <c r="F52" s="61">
        <f t="shared" si="3"/>
        <v>-320253.72000000009</v>
      </c>
    </row>
    <row r="53" spans="2:6" x14ac:dyDescent="0.2">
      <c r="B53" s="69" t="s">
        <v>61</v>
      </c>
      <c r="C53" s="60">
        <v>29150.37</v>
      </c>
      <c r="D53" s="60">
        <v>11339.49</v>
      </c>
      <c r="E53" s="60">
        <v>7503.31</v>
      </c>
      <c r="F53" s="61">
        <f t="shared" si="3"/>
        <v>-3836.1799999999994</v>
      </c>
    </row>
    <row r="54" spans="2:6" x14ac:dyDescent="0.2">
      <c r="B54" s="69" t="s">
        <v>62</v>
      </c>
      <c r="C54" s="60">
        <v>-482956.7</v>
      </c>
      <c r="D54" s="60">
        <v>-187870.16999999998</v>
      </c>
      <c r="E54" s="60">
        <v>-124313.06</v>
      </c>
      <c r="F54" s="61">
        <f t="shared" si="3"/>
        <v>63557.109999999986</v>
      </c>
    </row>
    <row r="55" spans="2:6" x14ac:dyDescent="0.2">
      <c r="B55" s="69" t="s">
        <v>63</v>
      </c>
      <c r="C55" s="60">
        <v>-131236.79999999999</v>
      </c>
      <c r="D55" s="60">
        <v>-51051.13</v>
      </c>
      <c r="E55" s="60">
        <v>-33780.36</v>
      </c>
      <c r="F55" s="61">
        <f t="shared" si="3"/>
        <v>17270.769999999997</v>
      </c>
    </row>
    <row r="56" spans="2:6" x14ac:dyDescent="0.2">
      <c r="B56" s="69" t="s">
        <v>64</v>
      </c>
      <c r="C56" s="60">
        <v>1118000</v>
      </c>
      <c r="D56" s="60">
        <v>434902</v>
      </c>
      <c r="E56" s="60">
        <v>287773.2</v>
      </c>
      <c r="F56" s="61">
        <f t="shared" si="3"/>
        <v>-147128.79999999999</v>
      </c>
    </row>
    <row r="57" spans="2:6" x14ac:dyDescent="0.2">
      <c r="B57" s="69" t="s">
        <v>65</v>
      </c>
      <c r="C57" s="60">
        <v>2965000</v>
      </c>
      <c r="D57" s="60">
        <v>1153385</v>
      </c>
      <c r="E57" s="60">
        <v>763191</v>
      </c>
      <c r="F57" s="61">
        <f t="shared" si="3"/>
        <v>-390194</v>
      </c>
    </row>
    <row r="58" spans="2:6" x14ac:dyDescent="0.2">
      <c r="B58" s="69" t="s">
        <v>66</v>
      </c>
      <c r="C58" s="60">
        <v>48306251.609999999</v>
      </c>
      <c r="D58" s="60">
        <v>18791131.879999999</v>
      </c>
      <c r="E58" s="60">
        <v>12434029.17</v>
      </c>
      <c r="F58" s="61">
        <f t="shared" si="3"/>
        <v>-6357102.709999999</v>
      </c>
    </row>
    <row r="59" spans="2:6" x14ac:dyDescent="0.2">
      <c r="B59" s="69" t="s">
        <v>67</v>
      </c>
      <c r="C59" s="60">
        <v>6891417</v>
      </c>
      <c r="D59" s="60">
        <v>2680761.21</v>
      </c>
      <c r="E59" s="60">
        <v>1773850.74</v>
      </c>
      <c r="F59" s="61">
        <f t="shared" si="3"/>
        <v>-906910.47</v>
      </c>
    </row>
    <row r="60" spans="2:6" s="139" customFormat="1" ht="15" x14ac:dyDescent="0.25">
      <c r="B60" s="140" t="s">
        <v>68</v>
      </c>
      <c r="C60" s="141">
        <v>-121135645.58</v>
      </c>
      <c r="D60" s="141">
        <v>-47121766.140000001</v>
      </c>
      <c r="E60" s="141">
        <v>-31180315.169999998</v>
      </c>
      <c r="F60" s="142">
        <f t="shared" si="3"/>
        <v>15941450.970000003</v>
      </c>
    </row>
    <row r="61" spans="2:6" x14ac:dyDescent="0.2">
      <c r="B61" s="69" t="s">
        <v>69</v>
      </c>
      <c r="C61" s="60">
        <v>-1878580.87</v>
      </c>
      <c r="D61" s="60">
        <v>-730767.93</v>
      </c>
      <c r="E61" s="60">
        <v>-483546.71</v>
      </c>
      <c r="F61" s="61">
        <f t="shared" si="3"/>
        <v>247221.22000000003</v>
      </c>
    </row>
    <row r="62" spans="2:6" x14ac:dyDescent="0.2">
      <c r="B62" s="69" t="s">
        <v>70</v>
      </c>
      <c r="C62" s="60">
        <v>-1166592.1499999985</v>
      </c>
      <c r="D62" s="60">
        <v>-453804.31000000052</v>
      </c>
      <c r="E62" s="60">
        <v>-300280.8200000003</v>
      </c>
      <c r="F62" s="61">
        <f t="shared" si="3"/>
        <v>153523.49000000022</v>
      </c>
    </row>
    <row r="63" spans="2:6" x14ac:dyDescent="0.2">
      <c r="B63" s="69" t="s">
        <v>71</v>
      </c>
      <c r="C63" s="60">
        <v>-5673388.5300000003</v>
      </c>
      <c r="D63" s="60">
        <v>-2206948.15</v>
      </c>
      <c r="E63" s="60">
        <v>-1460330.2</v>
      </c>
      <c r="F63" s="61">
        <f t="shared" si="3"/>
        <v>746617.95</v>
      </c>
    </row>
    <row r="64" spans="2:6" x14ac:dyDescent="0.2">
      <c r="B64" s="69" t="s">
        <v>72</v>
      </c>
      <c r="C64" s="60">
        <v>6219</v>
      </c>
      <c r="D64" s="60">
        <v>2419.19</v>
      </c>
      <c r="E64" s="60">
        <v>1600.77</v>
      </c>
      <c r="F64" s="61">
        <f t="shared" si="3"/>
        <v>-818.42000000000007</v>
      </c>
    </row>
    <row r="65" spans="2:6" x14ac:dyDescent="0.2">
      <c r="B65" s="69" t="s">
        <v>73</v>
      </c>
      <c r="C65" s="60">
        <v>634533.49</v>
      </c>
      <c r="D65" s="60">
        <v>246833.53</v>
      </c>
      <c r="E65" s="60">
        <v>163328.92000000001</v>
      </c>
      <c r="F65" s="61">
        <f t="shared" si="3"/>
        <v>-83504.609999999986</v>
      </c>
    </row>
    <row r="66" spans="2:6" x14ac:dyDescent="0.2">
      <c r="B66" s="69" t="s">
        <v>74</v>
      </c>
      <c r="C66" s="60">
        <v>-1642701.19</v>
      </c>
      <c r="D66" s="60">
        <v>-639010.78</v>
      </c>
      <c r="E66" s="60">
        <v>-422831.29</v>
      </c>
      <c r="F66" s="61">
        <f t="shared" si="3"/>
        <v>216179.49000000005</v>
      </c>
    </row>
    <row r="67" spans="2:6" x14ac:dyDescent="0.2">
      <c r="B67" s="69" t="s">
        <v>75</v>
      </c>
      <c r="C67" s="60">
        <v>8338.02</v>
      </c>
      <c r="D67" s="60">
        <v>3243.5</v>
      </c>
      <c r="E67" s="60">
        <v>2146.1999999999998</v>
      </c>
      <c r="F67" s="61">
        <f t="shared" si="3"/>
        <v>-1097.3000000000002</v>
      </c>
    </row>
    <row r="68" spans="2:6" x14ac:dyDescent="0.2">
      <c r="B68" s="69" t="s">
        <v>76</v>
      </c>
      <c r="C68" s="60">
        <v>148278</v>
      </c>
      <c r="D68" s="60">
        <v>57680.13</v>
      </c>
      <c r="E68" s="60">
        <v>38166.76</v>
      </c>
      <c r="F68" s="61">
        <f t="shared" si="3"/>
        <v>-19513.369999999995</v>
      </c>
    </row>
    <row r="69" spans="2:6" x14ac:dyDescent="0.2">
      <c r="B69" s="69" t="s">
        <v>77</v>
      </c>
      <c r="C69" s="60">
        <v>1220137.8400000001</v>
      </c>
      <c r="D69" s="60">
        <v>474633.62</v>
      </c>
      <c r="E69" s="60">
        <v>314063.48</v>
      </c>
      <c r="F69" s="61">
        <f t="shared" si="3"/>
        <v>-160570.14000000001</v>
      </c>
    </row>
    <row r="70" spans="2:6" x14ac:dyDescent="0.2">
      <c r="B70" s="69" t="s">
        <v>78</v>
      </c>
      <c r="C70" s="60">
        <v>2882884.51</v>
      </c>
      <c r="D70" s="60">
        <v>1121442.08</v>
      </c>
      <c r="E70" s="60">
        <v>742054.48</v>
      </c>
      <c r="F70" s="61">
        <f t="shared" si="3"/>
        <v>-379387.60000000009</v>
      </c>
    </row>
    <row r="71" spans="2:6" x14ac:dyDescent="0.2">
      <c r="B71" s="69" t="s">
        <v>79</v>
      </c>
      <c r="C71" s="60">
        <v>313709.26</v>
      </c>
      <c r="D71" s="60">
        <v>122032.92</v>
      </c>
      <c r="E71" s="60">
        <v>80748.759999999995</v>
      </c>
      <c r="F71" s="61">
        <f t="shared" si="3"/>
        <v>-41284.160000000003</v>
      </c>
    </row>
    <row r="72" spans="2:6" x14ac:dyDescent="0.2">
      <c r="B72" s="69" t="s">
        <v>80</v>
      </c>
      <c r="C72" s="60">
        <v>-3111003.08</v>
      </c>
      <c r="D72" s="60">
        <v>-1210180.19</v>
      </c>
      <c r="E72" s="60">
        <v>-800772.19</v>
      </c>
      <c r="F72" s="61">
        <f t="shared" si="3"/>
        <v>409408</v>
      </c>
    </row>
    <row r="73" spans="2:6" x14ac:dyDescent="0.2">
      <c r="B73" s="69" t="s">
        <v>81</v>
      </c>
      <c r="C73" s="60">
        <v>-1286608.99</v>
      </c>
      <c r="D73" s="60">
        <v>-500490.9</v>
      </c>
      <c r="E73" s="60">
        <v>-331173.15999999997</v>
      </c>
      <c r="F73" s="61">
        <f t="shared" si="3"/>
        <v>169317.74000000005</v>
      </c>
    </row>
    <row r="74" spans="2:6" x14ac:dyDescent="0.2">
      <c r="B74" s="69" t="s">
        <v>82</v>
      </c>
      <c r="C74" s="60">
        <v>1760599</v>
      </c>
      <c r="D74" s="60">
        <v>616209.65</v>
      </c>
      <c r="E74" s="60">
        <v>369725.79</v>
      </c>
      <c r="F74" s="61">
        <f t="shared" si="3"/>
        <v>-246483.86000000004</v>
      </c>
    </row>
    <row r="75" spans="2:6" x14ac:dyDescent="0.2">
      <c r="B75" s="69" t="s">
        <v>83</v>
      </c>
      <c r="C75" s="60">
        <v>-940337</v>
      </c>
      <c r="D75" s="60">
        <v>-365791.08</v>
      </c>
      <c r="E75" s="60">
        <v>-242042.74</v>
      </c>
      <c r="F75" s="61">
        <f t="shared" si="3"/>
        <v>123748.34000000003</v>
      </c>
    </row>
    <row r="76" spans="2:6" x14ac:dyDescent="0.2">
      <c r="B76" s="69" t="s">
        <v>84</v>
      </c>
      <c r="C76" s="60">
        <v>856000</v>
      </c>
      <c r="D76" s="60">
        <v>332984</v>
      </c>
      <c r="E76" s="60">
        <v>220334.4</v>
      </c>
      <c r="F76" s="61">
        <f t="shared" si="3"/>
        <v>-112649.60000000001</v>
      </c>
    </row>
    <row r="77" spans="2:6" x14ac:dyDescent="0.2">
      <c r="B77" s="69" t="s">
        <v>85</v>
      </c>
      <c r="C77" s="60">
        <v>4953372.97</v>
      </c>
      <c r="D77" s="60">
        <v>1926862.09</v>
      </c>
      <c r="E77" s="60">
        <v>1274998.2</v>
      </c>
      <c r="F77" s="61">
        <f t="shared" si="3"/>
        <v>-651863.89000000013</v>
      </c>
    </row>
    <row r="78" spans="2:6" x14ac:dyDescent="0.2">
      <c r="B78" s="69" t="s">
        <v>86</v>
      </c>
      <c r="C78" s="72">
        <v>3421394.34</v>
      </c>
      <c r="D78" s="72">
        <v>1330922.4099999999</v>
      </c>
      <c r="E78" s="72">
        <v>880666.9</v>
      </c>
      <c r="F78" s="72">
        <f t="shared" si="3"/>
        <v>-450255.50999999989</v>
      </c>
    </row>
    <row r="79" spans="2:6" x14ac:dyDescent="0.2">
      <c r="B79" s="69"/>
      <c r="C79" s="60">
        <f>SUM(C45:C78)</f>
        <v>-109942732.88999999</v>
      </c>
      <c r="D79" s="60">
        <f>SUM(D45:D78)</f>
        <v>-42836386.290000007</v>
      </c>
      <c r="E79" s="60">
        <f>SUM(E45:E78)</f>
        <v>-28382711.800000004</v>
      </c>
      <c r="F79" s="60">
        <f>SUM(F45:F78)</f>
        <v>14453674.489999998</v>
      </c>
    </row>
  </sheetData>
  <mergeCells count="6">
    <mergeCell ref="C11:G11"/>
    <mergeCell ref="D12:E12"/>
    <mergeCell ref="F12:G12"/>
    <mergeCell ref="C4:G4"/>
    <mergeCell ref="D5:E5"/>
    <mergeCell ref="F5:G5"/>
  </mergeCells>
  <pageMargins left="0.7" right="0.7" top="0.75" bottom="0.75" header="0.3" footer="0.3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84"/>
  <sheetViews>
    <sheetView workbookViewId="0">
      <selection activeCell="F36" sqref="F36"/>
    </sheetView>
  </sheetViews>
  <sheetFormatPr defaultRowHeight="12.75" x14ac:dyDescent="0.2"/>
  <cols>
    <col min="1" max="1" width="9.7109375" customWidth="1"/>
    <col min="2" max="2" width="27.7109375" customWidth="1"/>
    <col min="3" max="7" width="16.28515625" customWidth="1"/>
  </cols>
  <sheetData>
    <row r="1" spans="1:7" ht="15" x14ac:dyDescent="0.25">
      <c r="A1" s="76" t="s">
        <v>25</v>
      </c>
      <c r="C1" s="60"/>
      <c r="D1" s="60"/>
      <c r="E1" s="60"/>
      <c r="F1" s="60"/>
      <c r="G1" s="60"/>
    </row>
    <row r="2" spans="1:7" x14ac:dyDescent="0.2">
      <c r="A2" t="s">
        <v>26</v>
      </c>
      <c r="C2" s="60"/>
      <c r="D2" s="60"/>
      <c r="E2" s="60"/>
      <c r="F2" s="60"/>
      <c r="G2" s="60"/>
    </row>
    <row r="3" spans="1:7" ht="13.5" thickBot="1" x14ac:dyDescent="0.25">
      <c r="C3" s="60"/>
      <c r="D3" s="60"/>
      <c r="E3" s="60"/>
      <c r="F3" s="60"/>
      <c r="G3" s="60"/>
    </row>
    <row r="4" spans="1:7" ht="13.5" thickBot="1" x14ac:dyDescent="0.25">
      <c r="C4" s="167" t="s">
        <v>27</v>
      </c>
      <c r="D4" s="168"/>
      <c r="E4" s="168"/>
      <c r="F4" s="168"/>
      <c r="G4" s="169"/>
    </row>
    <row r="5" spans="1:7" x14ac:dyDescent="0.2">
      <c r="C5" s="62"/>
      <c r="D5" s="173" t="s">
        <v>89</v>
      </c>
      <c r="E5" s="174"/>
      <c r="F5" s="173" t="s">
        <v>90</v>
      </c>
      <c r="G5" s="174"/>
    </row>
    <row r="6" spans="1:7" ht="15" x14ac:dyDescent="0.25">
      <c r="A6" s="63"/>
      <c r="B6" s="63"/>
      <c r="C6" s="64" t="s">
        <v>29</v>
      </c>
      <c r="D6" s="77" t="s">
        <v>30</v>
      </c>
      <c r="E6" s="64" t="s">
        <v>31</v>
      </c>
      <c r="F6" s="77" t="s">
        <v>32</v>
      </c>
      <c r="G6" s="64" t="s">
        <v>91</v>
      </c>
    </row>
    <row r="7" spans="1:7" x14ac:dyDescent="0.2">
      <c r="B7" s="78" t="s">
        <v>33</v>
      </c>
      <c r="C7" s="60">
        <f>SUM(D7:G7)</f>
        <v>-454519875</v>
      </c>
      <c r="D7" s="79">
        <f>-463117331-G7-F7</f>
        <v>-354831907.27999997</v>
      </c>
      <c r="E7" s="60">
        <v>8597456</v>
      </c>
      <c r="F7" s="79">
        <v>-107594802</v>
      </c>
      <c r="G7" s="60">
        <v>-690621.72</v>
      </c>
    </row>
    <row r="8" spans="1:7" x14ac:dyDescent="0.2">
      <c r="B8" s="78" t="s">
        <v>34</v>
      </c>
      <c r="C8" s="60">
        <f t="shared" ref="C8:G9" si="0">+C7+C14</f>
        <v>-445124392.93718392</v>
      </c>
      <c r="D8" s="79">
        <f t="shared" si="0"/>
        <v>-345424733.89168793</v>
      </c>
      <c r="E8" s="60">
        <f t="shared" si="0"/>
        <v>8419736.0628160648</v>
      </c>
      <c r="F8" s="79">
        <f t="shared" si="0"/>
        <v>-107428773.38831204</v>
      </c>
      <c r="G8" s="60">
        <f t="shared" si="0"/>
        <v>-690621.72</v>
      </c>
    </row>
    <row r="9" spans="1:7" x14ac:dyDescent="0.2">
      <c r="B9" s="78" t="s">
        <v>36</v>
      </c>
      <c r="C9" s="60">
        <f t="shared" si="0"/>
        <v>-441463901.83821523</v>
      </c>
      <c r="D9" s="79">
        <f t="shared" si="0"/>
        <v>-341757848.34069574</v>
      </c>
      <c r="E9" s="60">
        <f t="shared" si="0"/>
        <v>8350496.1617847299</v>
      </c>
      <c r="F9" s="79">
        <f t="shared" si="0"/>
        <v>-107365927.93930426</v>
      </c>
      <c r="G9" s="60">
        <f t="shared" si="0"/>
        <v>-690621.72</v>
      </c>
    </row>
    <row r="10" spans="1:7" ht="13.5" thickBot="1" x14ac:dyDescent="0.25"/>
    <row r="11" spans="1:7" ht="13.5" thickBot="1" x14ac:dyDescent="0.25">
      <c r="B11" s="62"/>
      <c r="C11" s="167" t="s">
        <v>28</v>
      </c>
      <c r="D11" s="168"/>
      <c r="E11" s="168"/>
      <c r="F11" s="168"/>
      <c r="G11" s="169"/>
    </row>
    <row r="12" spans="1:7" x14ac:dyDescent="0.2">
      <c r="B12" s="62"/>
      <c r="C12" s="62"/>
      <c r="D12" s="170" t="s">
        <v>89</v>
      </c>
      <c r="E12" s="171"/>
      <c r="F12" s="170" t="s">
        <v>90</v>
      </c>
      <c r="G12" s="172"/>
    </row>
    <row r="13" spans="1:7" ht="15" x14ac:dyDescent="0.25">
      <c r="B13" s="65"/>
      <c r="C13" s="64" t="s">
        <v>29</v>
      </c>
      <c r="D13" s="80" t="s">
        <v>30</v>
      </c>
      <c r="E13" s="65" t="s">
        <v>31</v>
      </c>
      <c r="F13" s="80" t="s">
        <v>32</v>
      </c>
      <c r="G13" s="65" t="s">
        <v>91</v>
      </c>
    </row>
    <row r="14" spans="1:7" x14ac:dyDescent="0.2">
      <c r="B14" s="66" t="s">
        <v>35</v>
      </c>
      <c r="C14" s="60">
        <f>SUM(D14:G14)</f>
        <v>9395482.0628160648</v>
      </c>
      <c r="D14" s="79">
        <f>9573202-F14</f>
        <v>9407173.3883120418</v>
      </c>
      <c r="E14" s="61">
        <f>SUM(D14,F14,G14)/SUM($D$7,$F$7,$G$7)*$E$7</f>
        <v>-177719.93718393578</v>
      </c>
      <c r="F14" s="79">
        <v>166028.61168795824</v>
      </c>
      <c r="G14" s="61">
        <v>0</v>
      </c>
    </row>
    <row r="15" spans="1:7" x14ac:dyDescent="0.2">
      <c r="B15" s="66" t="s">
        <v>92</v>
      </c>
      <c r="C15" s="60">
        <f>SUM(D15:G15)</f>
        <v>3660491.0989686651</v>
      </c>
      <c r="D15" s="79">
        <f>11189193/12*4-F15</f>
        <v>3666885.5509922155</v>
      </c>
      <c r="E15" s="61">
        <f>SUM(D15,F15,G15)/SUM($D$7,$F$7,$G$7)*$E$7</f>
        <v>-69239.901031334972</v>
      </c>
      <c r="F15" s="79">
        <f>188536.347023353/12*4</f>
        <v>62845.449007784337</v>
      </c>
      <c r="G15" s="61">
        <v>0</v>
      </c>
    </row>
    <row r="16" spans="1:7" ht="13.5" thickBot="1" x14ac:dyDescent="0.25">
      <c r="B16" s="81" t="s">
        <v>93</v>
      </c>
      <c r="C16" s="82">
        <f>SUM(C14:C15)</f>
        <v>13055973.161784731</v>
      </c>
      <c r="D16" s="83">
        <f t="shared" ref="D16:G16" si="1">SUM(D14:D15)</f>
        <v>13074058.939304257</v>
      </c>
      <c r="E16" s="82">
        <f t="shared" si="1"/>
        <v>-246959.83821527075</v>
      </c>
      <c r="F16" s="83">
        <f t="shared" si="1"/>
        <v>228874.06069574258</v>
      </c>
      <c r="G16" s="82">
        <f t="shared" si="1"/>
        <v>0</v>
      </c>
    </row>
    <row r="17" spans="2:5" x14ac:dyDescent="0.2">
      <c r="C17" s="84">
        <f>+C16-C22</f>
        <v>0</v>
      </c>
    </row>
    <row r="18" spans="2:5" x14ac:dyDescent="0.2">
      <c r="C18" s="84"/>
    </row>
    <row r="19" spans="2:5" ht="15" x14ac:dyDescent="0.25">
      <c r="B19" s="85" t="s">
        <v>143</v>
      </c>
    </row>
    <row r="20" spans="2:5" ht="15" x14ac:dyDescent="0.25">
      <c r="B20" s="86" t="s">
        <v>37</v>
      </c>
    </row>
    <row r="21" spans="2:5" ht="15" x14ac:dyDescent="0.25">
      <c r="C21" s="64" t="s">
        <v>29</v>
      </c>
      <c r="D21" s="64" t="s">
        <v>30</v>
      </c>
      <c r="E21" s="64" t="s">
        <v>32</v>
      </c>
    </row>
    <row r="22" spans="2:5" x14ac:dyDescent="0.2">
      <c r="B22" t="s">
        <v>38</v>
      </c>
      <c r="C22" s="60">
        <f>SUM(D22:E22)</f>
        <v>13055973.161784729</v>
      </c>
      <c r="D22" s="60">
        <f>SUM(D$14:E$15)</f>
        <v>12827099.101088986</v>
      </c>
      <c r="E22" s="60">
        <f>SUM(F$14:F$15)</f>
        <v>228874.06069574258</v>
      </c>
    </row>
    <row r="23" spans="2:5" x14ac:dyDescent="0.2">
      <c r="B23" t="s">
        <v>39</v>
      </c>
      <c r="C23" s="60">
        <f>SUM(D23:E23)</f>
        <v>3064708.7413333342</v>
      </c>
      <c r="D23" s="152">
        <f>(952305.913777778/16*12*15)/5/12*16</f>
        <v>2856917.7413333342</v>
      </c>
      <c r="E23" s="60">
        <v>207791</v>
      </c>
    </row>
    <row r="24" spans="2:5" ht="13.5" thickBot="1" x14ac:dyDescent="0.25">
      <c r="B24" t="s">
        <v>40</v>
      </c>
      <c r="C24" s="67">
        <f>SUM(C22:C23)</f>
        <v>16120681.903118063</v>
      </c>
      <c r="D24" s="67">
        <f t="shared" ref="D24:E24" si="2">SUM(D22:D23)</f>
        <v>15684016.84242232</v>
      </c>
      <c r="E24" s="67">
        <f t="shared" si="2"/>
        <v>436665.06069574261</v>
      </c>
    </row>
    <row r="27" spans="2:5" ht="17.25" x14ac:dyDescent="0.4">
      <c r="B27" s="87" t="s">
        <v>94</v>
      </c>
    </row>
    <row r="28" spans="2:5" x14ac:dyDescent="0.2">
      <c r="B28" s="88" t="s">
        <v>95</v>
      </c>
      <c r="C28" s="84">
        <f>+SUM(D7:E7)</f>
        <v>-346234451.27999997</v>
      </c>
      <c r="D28">
        <f>D33</f>
        <v>0.89342076568543571</v>
      </c>
      <c r="E28" s="84">
        <f>C28*D28</f>
        <v>-309333048.56925428</v>
      </c>
    </row>
    <row r="29" spans="2:5" x14ac:dyDescent="0.2">
      <c r="B29" s="88" t="s">
        <v>96</v>
      </c>
      <c r="C29" s="84">
        <f>+SUM(F7:G7)</f>
        <v>-108285423.72</v>
      </c>
    </row>
    <row r="30" spans="2:5" ht="13.5" thickBot="1" x14ac:dyDescent="0.25">
      <c r="B30" s="88"/>
      <c r="C30" s="67">
        <f>SUM(C28:C29)</f>
        <v>-454519875</v>
      </c>
    </row>
    <row r="31" spans="2:5" x14ac:dyDescent="0.2">
      <c r="C31" s="84">
        <f>+C30-C7</f>
        <v>0</v>
      </c>
    </row>
    <row r="33" spans="1:7" ht="15" x14ac:dyDescent="0.25">
      <c r="A33" s="138"/>
      <c r="B33" s="88" t="s">
        <v>42</v>
      </c>
      <c r="C33" s="138"/>
      <c r="D33">
        <v>0.89342076568543571</v>
      </c>
    </row>
    <row r="34" spans="1:7" ht="15" x14ac:dyDescent="0.25">
      <c r="A34" s="138"/>
      <c r="B34" s="88"/>
      <c r="C34" s="138"/>
      <c r="D34" s="138"/>
      <c r="F34" s="149"/>
      <c r="G34" s="149"/>
    </row>
    <row r="35" spans="1:7" ht="15" x14ac:dyDescent="0.25">
      <c r="A35" s="88" t="s">
        <v>41</v>
      </c>
      <c r="B35" s="88" t="s">
        <v>38</v>
      </c>
      <c r="C35" s="138"/>
      <c r="D35" s="60">
        <f>D22*D33</f>
        <v>11459996.700417886</v>
      </c>
      <c r="F35" s="149"/>
      <c r="G35" s="149"/>
    </row>
    <row r="36" spans="1:7" ht="15" x14ac:dyDescent="0.25">
      <c r="A36" s="88" t="s">
        <v>41</v>
      </c>
      <c r="B36" s="88" t="s">
        <v>39</v>
      </c>
      <c r="C36" s="138"/>
      <c r="D36" s="60">
        <f>D23*D33</f>
        <v>2552429.6359623331</v>
      </c>
      <c r="E36" s="89"/>
      <c r="F36" s="150"/>
      <c r="G36" s="149"/>
    </row>
    <row r="37" spans="1:7" ht="15.75" thickBot="1" x14ac:dyDescent="0.3">
      <c r="A37" s="88" t="s">
        <v>41</v>
      </c>
      <c r="B37" s="88" t="s">
        <v>40</v>
      </c>
      <c r="C37" s="138"/>
      <c r="D37" s="67">
        <f>SUM(D35:D36)</f>
        <v>14012426.336380219</v>
      </c>
      <c r="F37" s="150"/>
      <c r="G37" s="149"/>
    </row>
    <row r="38" spans="1:7" x14ac:dyDescent="0.2">
      <c r="F38" s="151"/>
      <c r="G38" s="149"/>
    </row>
    <row r="39" spans="1:7" x14ac:dyDescent="0.2">
      <c r="F39" s="61"/>
      <c r="G39" s="149"/>
    </row>
    <row r="40" spans="1:7" ht="15" x14ac:dyDescent="0.25">
      <c r="B40" s="68" t="s">
        <v>25</v>
      </c>
      <c r="C40" s="60"/>
      <c r="D40" s="60"/>
      <c r="E40" s="60"/>
      <c r="F40" s="60"/>
    </row>
    <row r="41" spans="1:7" x14ac:dyDescent="0.2">
      <c r="B41" s="69" t="s">
        <v>47</v>
      </c>
      <c r="C41" s="60"/>
      <c r="D41" s="60"/>
      <c r="E41" s="60"/>
      <c r="F41" s="60"/>
    </row>
    <row r="42" spans="1:7" x14ac:dyDescent="0.2">
      <c r="B42" s="69"/>
      <c r="C42" s="60"/>
      <c r="D42" s="60"/>
      <c r="E42" s="60"/>
      <c r="F42" s="60"/>
    </row>
    <row r="43" spans="1:7" ht="51.75" x14ac:dyDescent="0.4">
      <c r="B43" s="70" t="s">
        <v>48</v>
      </c>
      <c r="C43" s="71" t="s">
        <v>49</v>
      </c>
      <c r="D43" s="71" t="s">
        <v>50</v>
      </c>
      <c r="E43" s="71" t="s">
        <v>51</v>
      </c>
      <c r="F43" s="71" t="s">
        <v>52</v>
      </c>
    </row>
    <row r="44" spans="1:7" x14ac:dyDescent="0.2">
      <c r="B44" s="69"/>
      <c r="C44" s="60"/>
      <c r="D44" s="60"/>
      <c r="E44" s="60"/>
      <c r="F44" s="60"/>
    </row>
    <row r="45" spans="1:7" x14ac:dyDescent="0.2">
      <c r="B45" s="69" t="s">
        <v>53</v>
      </c>
      <c r="C45" s="60">
        <v>-567175.02</v>
      </c>
      <c r="D45" s="60">
        <v>-220631.07</v>
      </c>
      <c r="E45" s="60">
        <v>-145990.82999999999</v>
      </c>
      <c r="F45" s="61">
        <f>+E45-D45</f>
        <v>74640.24000000002</v>
      </c>
    </row>
    <row r="46" spans="1:7" x14ac:dyDescent="0.2">
      <c r="B46" s="69" t="s">
        <v>54</v>
      </c>
      <c r="C46" s="60">
        <v>-14786163.199999999</v>
      </c>
      <c r="D46" s="60">
        <v>-5751817.4800000004</v>
      </c>
      <c r="E46" s="60">
        <v>-3805958.4</v>
      </c>
      <c r="F46" s="61">
        <f t="shared" ref="F46:F78" si="3">+E46-D46</f>
        <v>1945859.0800000005</v>
      </c>
    </row>
    <row r="47" spans="1:7" x14ac:dyDescent="0.2">
      <c r="B47" s="69" t="s">
        <v>55</v>
      </c>
      <c r="C47" s="60">
        <v>-8826062.7799999993</v>
      </c>
      <c r="D47" s="60">
        <v>-3433338.42</v>
      </c>
      <c r="E47" s="60">
        <v>-2271828.56</v>
      </c>
      <c r="F47" s="61">
        <f t="shared" si="3"/>
        <v>1161509.8599999999</v>
      </c>
    </row>
    <row r="48" spans="1:7" x14ac:dyDescent="0.2">
      <c r="B48" s="69" t="s">
        <v>56</v>
      </c>
      <c r="C48" s="60">
        <v>1478120.07</v>
      </c>
      <c r="D48" s="60">
        <v>574988.68000000005</v>
      </c>
      <c r="E48" s="60">
        <v>380468.1</v>
      </c>
      <c r="F48" s="61">
        <f t="shared" si="3"/>
        <v>-194520.58000000007</v>
      </c>
    </row>
    <row r="49" spans="2:6" x14ac:dyDescent="0.2">
      <c r="B49" s="69" t="s">
        <v>57</v>
      </c>
      <c r="C49" s="60">
        <v>842194.15</v>
      </c>
      <c r="D49" s="60">
        <v>327613.65000000002</v>
      </c>
      <c r="E49" s="60">
        <v>216780.79</v>
      </c>
      <c r="F49" s="61">
        <f t="shared" si="3"/>
        <v>-110832.86000000002</v>
      </c>
    </row>
    <row r="50" spans="2:6" x14ac:dyDescent="0.2">
      <c r="B50" s="69" t="s">
        <v>58</v>
      </c>
      <c r="C50" s="60">
        <v>-28421223.169999987</v>
      </c>
      <c r="D50" s="60">
        <v>-11055855.82</v>
      </c>
      <c r="E50" s="60">
        <v>-7315622.8600000069</v>
      </c>
      <c r="F50" s="61">
        <f t="shared" si="3"/>
        <v>3740232.9599999934</v>
      </c>
    </row>
    <row r="51" spans="2:6" x14ac:dyDescent="0.2">
      <c r="B51" s="69" t="s">
        <v>59</v>
      </c>
      <c r="C51" s="60">
        <v>-162196.49</v>
      </c>
      <c r="D51" s="60">
        <v>-63094.42</v>
      </c>
      <c r="E51" s="60">
        <v>-41749.370000000003</v>
      </c>
      <c r="F51" s="61">
        <f t="shared" si="3"/>
        <v>21345.049999999996</v>
      </c>
    </row>
    <row r="52" spans="2:6" x14ac:dyDescent="0.2">
      <c r="B52" s="69" t="s">
        <v>60</v>
      </c>
      <c r="C52" s="60">
        <v>2433539.0299999998</v>
      </c>
      <c r="D52" s="60">
        <v>946646.67</v>
      </c>
      <c r="E52" s="60">
        <v>626392.94999999995</v>
      </c>
      <c r="F52" s="61">
        <f t="shared" si="3"/>
        <v>-320253.72000000009</v>
      </c>
    </row>
    <row r="53" spans="2:6" x14ac:dyDescent="0.2">
      <c r="B53" s="69" t="s">
        <v>61</v>
      </c>
      <c r="C53" s="60">
        <v>29150.37</v>
      </c>
      <c r="D53" s="60">
        <v>11339.49</v>
      </c>
      <c r="E53" s="60">
        <v>7503.31</v>
      </c>
      <c r="F53" s="61">
        <f t="shared" si="3"/>
        <v>-3836.1799999999994</v>
      </c>
    </row>
    <row r="54" spans="2:6" x14ac:dyDescent="0.2">
      <c r="B54" s="69" t="s">
        <v>62</v>
      </c>
      <c r="C54" s="60">
        <v>-482956.7</v>
      </c>
      <c r="D54" s="60">
        <v>-187870.16999999998</v>
      </c>
      <c r="E54" s="60">
        <v>-124313.06</v>
      </c>
      <c r="F54" s="61">
        <f t="shared" si="3"/>
        <v>63557.109999999986</v>
      </c>
    </row>
    <row r="55" spans="2:6" x14ac:dyDescent="0.2">
      <c r="B55" s="69" t="s">
        <v>63</v>
      </c>
      <c r="C55" s="60">
        <v>-131236.79999999999</v>
      </c>
      <c r="D55" s="60">
        <v>-51051.13</v>
      </c>
      <c r="E55" s="60">
        <v>-33780.36</v>
      </c>
      <c r="F55" s="61">
        <f t="shared" si="3"/>
        <v>17270.769999999997</v>
      </c>
    </row>
    <row r="56" spans="2:6" x14ac:dyDescent="0.2">
      <c r="B56" s="69" t="s">
        <v>64</v>
      </c>
      <c r="C56" s="60">
        <v>1118000</v>
      </c>
      <c r="D56" s="60">
        <v>434902</v>
      </c>
      <c r="E56" s="60">
        <v>287773.2</v>
      </c>
      <c r="F56" s="61">
        <f t="shared" si="3"/>
        <v>-147128.79999999999</v>
      </c>
    </row>
    <row r="57" spans="2:6" x14ac:dyDescent="0.2">
      <c r="B57" s="69" t="s">
        <v>65</v>
      </c>
      <c r="C57" s="60">
        <v>2965000</v>
      </c>
      <c r="D57" s="60">
        <v>1153385</v>
      </c>
      <c r="E57" s="60">
        <v>763191</v>
      </c>
      <c r="F57" s="61">
        <f t="shared" si="3"/>
        <v>-390194</v>
      </c>
    </row>
    <row r="58" spans="2:6" x14ac:dyDescent="0.2">
      <c r="B58" s="69" t="s">
        <v>66</v>
      </c>
      <c r="C58" s="60">
        <v>48306251.609999999</v>
      </c>
      <c r="D58" s="60">
        <v>18791131.879999999</v>
      </c>
      <c r="E58" s="60">
        <v>12434029.17</v>
      </c>
      <c r="F58" s="61">
        <f t="shared" si="3"/>
        <v>-6357102.709999999</v>
      </c>
    </row>
    <row r="59" spans="2:6" x14ac:dyDescent="0.2">
      <c r="B59" s="69" t="s">
        <v>67</v>
      </c>
      <c r="C59" s="60">
        <v>6891417</v>
      </c>
      <c r="D59" s="60">
        <v>2680761.21</v>
      </c>
      <c r="E59" s="60">
        <v>1773850.74</v>
      </c>
      <c r="F59" s="61">
        <f t="shared" si="3"/>
        <v>-906910.47</v>
      </c>
    </row>
    <row r="60" spans="2:6" s="139" customFormat="1" ht="15" x14ac:dyDescent="0.25">
      <c r="B60" s="140" t="s">
        <v>68</v>
      </c>
      <c r="C60" s="141">
        <v>-121135645.58</v>
      </c>
      <c r="D60" s="141">
        <v>-47121766.140000001</v>
      </c>
      <c r="E60" s="141">
        <v>-31180315.169999998</v>
      </c>
      <c r="F60" s="142">
        <f t="shared" si="3"/>
        <v>15941450.970000003</v>
      </c>
    </row>
    <row r="61" spans="2:6" x14ac:dyDescent="0.2">
      <c r="B61" s="69" t="s">
        <v>69</v>
      </c>
      <c r="C61" s="60">
        <v>-1878580.87</v>
      </c>
      <c r="D61" s="60">
        <v>-730767.93</v>
      </c>
      <c r="E61" s="60">
        <v>-483546.71</v>
      </c>
      <c r="F61" s="61">
        <f t="shared" si="3"/>
        <v>247221.22000000003</v>
      </c>
    </row>
    <row r="62" spans="2:6" x14ac:dyDescent="0.2">
      <c r="B62" s="69" t="s">
        <v>70</v>
      </c>
      <c r="C62" s="60">
        <v>-1166592.1499999985</v>
      </c>
      <c r="D62" s="60">
        <v>-453804.31000000052</v>
      </c>
      <c r="E62" s="60">
        <v>-300280.8200000003</v>
      </c>
      <c r="F62" s="61">
        <f t="shared" si="3"/>
        <v>153523.49000000022</v>
      </c>
    </row>
    <row r="63" spans="2:6" x14ac:dyDescent="0.2">
      <c r="B63" s="69" t="s">
        <v>71</v>
      </c>
      <c r="C63" s="60">
        <v>-5673388.5300000003</v>
      </c>
      <c r="D63" s="60">
        <v>-2206948.15</v>
      </c>
      <c r="E63" s="60">
        <v>-1460330.2</v>
      </c>
      <c r="F63" s="61">
        <f t="shared" si="3"/>
        <v>746617.95</v>
      </c>
    </row>
    <row r="64" spans="2:6" x14ac:dyDescent="0.2">
      <c r="B64" s="69" t="s">
        <v>72</v>
      </c>
      <c r="C64" s="60">
        <v>6219</v>
      </c>
      <c r="D64" s="60">
        <v>2419.19</v>
      </c>
      <c r="E64" s="60">
        <v>1600.77</v>
      </c>
      <c r="F64" s="61">
        <f t="shared" si="3"/>
        <v>-818.42000000000007</v>
      </c>
    </row>
    <row r="65" spans="2:6" x14ac:dyDescent="0.2">
      <c r="B65" s="69" t="s">
        <v>73</v>
      </c>
      <c r="C65" s="60">
        <v>634533.49</v>
      </c>
      <c r="D65" s="60">
        <v>246833.53</v>
      </c>
      <c r="E65" s="60">
        <v>163328.92000000001</v>
      </c>
      <c r="F65" s="61">
        <f t="shared" si="3"/>
        <v>-83504.609999999986</v>
      </c>
    </row>
    <row r="66" spans="2:6" x14ac:dyDescent="0.2">
      <c r="B66" s="69" t="s">
        <v>74</v>
      </c>
      <c r="C66" s="60">
        <v>-1642701.19</v>
      </c>
      <c r="D66" s="60">
        <v>-639010.78</v>
      </c>
      <c r="E66" s="60">
        <v>-422831.29</v>
      </c>
      <c r="F66" s="61">
        <f t="shared" si="3"/>
        <v>216179.49000000005</v>
      </c>
    </row>
    <row r="67" spans="2:6" x14ac:dyDescent="0.2">
      <c r="B67" s="69" t="s">
        <v>75</v>
      </c>
      <c r="C67" s="60">
        <v>8338.02</v>
      </c>
      <c r="D67" s="60">
        <v>3243.5</v>
      </c>
      <c r="E67" s="60">
        <v>2146.1999999999998</v>
      </c>
      <c r="F67" s="61">
        <f t="shared" si="3"/>
        <v>-1097.3000000000002</v>
      </c>
    </row>
    <row r="68" spans="2:6" x14ac:dyDescent="0.2">
      <c r="B68" s="69" t="s">
        <v>76</v>
      </c>
      <c r="C68" s="60">
        <v>148278</v>
      </c>
      <c r="D68" s="60">
        <v>57680.13</v>
      </c>
      <c r="E68" s="60">
        <v>38166.76</v>
      </c>
      <c r="F68" s="61">
        <f t="shared" si="3"/>
        <v>-19513.369999999995</v>
      </c>
    </row>
    <row r="69" spans="2:6" x14ac:dyDescent="0.2">
      <c r="B69" s="69" t="s">
        <v>77</v>
      </c>
      <c r="C69" s="60">
        <v>1220137.8400000001</v>
      </c>
      <c r="D69" s="60">
        <v>474633.62</v>
      </c>
      <c r="E69" s="60">
        <v>314063.48</v>
      </c>
      <c r="F69" s="61">
        <f t="shared" si="3"/>
        <v>-160570.14000000001</v>
      </c>
    </row>
    <row r="70" spans="2:6" x14ac:dyDescent="0.2">
      <c r="B70" s="69" t="s">
        <v>78</v>
      </c>
      <c r="C70" s="60">
        <v>2882884.51</v>
      </c>
      <c r="D70" s="60">
        <v>1121442.08</v>
      </c>
      <c r="E70" s="60">
        <v>742054.48</v>
      </c>
      <c r="F70" s="61">
        <f t="shared" si="3"/>
        <v>-379387.60000000009</v>
      </c>
    </row>
    <row r="71" spans="2:6" x14ac:dyDescent="0.2">
      <c r="B71" s="69" t="s">
        <v>79</v>
      </c>
      <c r="C71" s="60">
        <v>313709.26</v>
      </c>
      <c r="D71" s="60">
        <v>122032.92</v>
      </c>
      <c r="E71" s="60">
        <v>80748.759999999995</v>
      </c>
      <c r="F71" s="61">
        <f t="shared" si="3"/>
        <v>-41284.160000000003</v>
      </c>
    </row>
    <row r="72" spans="2:6" x14ac:dyDescent="0.2">
      <c r="B72" s="69" t="s">
        <v>80</v>
      </c>
      <c r="C72" s="60">
        <v>-3111003.08</v>
      </c>
      <c r="D72" s="60">
        <v>-1210180.19</v>
      </c>
      <c r="E72" s="60">
        <v>-800772.19</v>
      </c>
      <c r="F72" s="61">
        <f t="shared" si="3"/>
        <v>409408</v>
      </c>
    </row>
    <row r="73" spans="2:6" x14ac:dyDescent="0.2">
      <c r="B73" s="69" t="s">
        <v>81</v>
      </c>
      <c r="C73" s="60">
        <v>-1286608.99</v>
      </c>
      <c r="D73" s="60">
        <v>-500490.9</v>
      </c>
      <c r="E73" s="60">
        <v>-331173.15999999997</v>
      </c>
      <c r="F73" s="61">
        <f t="shared" si="3"/>
        <v>169317.74000000005</v>
      </c>
    </row>
    <row r="74" spans="2:6" x14ac:dyDescent="0.2">
      <c r="B74" s="69" t="s">
        <v>82</v>
      </c>
      <c r="C74" s="60">
        <v>1760599</v>
      </c>
      <c r="D74" s="60">
        <v>616209.65</v>
      </c>
      <c r="E74" s="60">
        <v>369725.79</v>
      </c>
      <c r="F74" s="61">
        <f t="shared" si="3"/>
        <v>-246483.86000000004</v>
      </c>
    </row>
    <row r="75" spans="2:6" x14ac:dyDescent="0.2">
      <c r="B75" s="69" t="s">
        <v>83</v>
      </c>
      <c r="C75" s="60">
        <v>-940337</v>
      </c>
      <c r="D75" s="60">
        <v>-365791.08</v>
      </c>
      <c r="E75" s="60">
        <v>-242042.74</v>
      </c>
      <c r="F75" s="61">
        <f t="shared" si="3"/>
        <v>123748.34000000003</v>
      </c>
    </row>
    <row r="76" spans="2:6" x14ac:dyDescent="0.2">
      <c r="B76" s="69" t="s">
        <v>84</v>
      </c>
      <c r="C76" s="60">
        <v>856000</v>
      </c>
      <c r="D76" s="60">
        <v>332984</v>
      </c>
      <c r="E76" s="60">
        <v>220334.4</v>
      </c>
      <c r="F76" s="61">
        <f t="shared" si="3"/>
        <v>-112649.60000000001</v>
      </c>
    </row>
    <row r="77" spans="2:6" x14ac:dyDescent="0.2">
      <c r="B77" s="69" t="s">
        <v>85</v>
      </c>
      <c r="C77" s="60">
        <v>4953372.97</v>
      </c>
      <c r="D77" s="60">
        <v>1926862.09</v>
      </c>
      <c r="E77" s="60">
        <v>1274998.2</v>
      </c>
      <c r="F77" s="61">
        <f t="shared" si="3"/>
        <v>-651863.89000000013</v>
      </c>
    </row>
    <row r="78" spans="2:6" x14ac:dyDescent="0.2">
      <c r="B78" s="69" t="s">
        <v>86</v>
      </c>
      <c r="C78" s="72">
        <v>3421394.34</v>
      </c>
      <c r="D78" s="72">
        <v>1330922.4099999999</v>
      </c>
      <c r="E78" s="72">
        <v>880666.9</v>
      </c>
      <c r="F78" s="72">
        <f t="shared" si="3"/>
        <v>-450255.50999999989</v>
      </c>
    </row>
    <row r="79" spans="2:6" x14ac:dyDescent="0.2">
      <c r="B79" s="69"/>
      <c r="C79" s="60">
        <f>SUM(C45:C78)</f>
        <v>-109942732.88999999</v>
      </c>
      <c r="D79" s="60">
        <f>SUM(D45:D78)</f>
        <v>-42836386.290000007</v>
      </c>
      <c r="E79" s="60">
        <f>SUM(E45:E78)</f>
        <v>-28382711.800000004</v>
      </c>
      <c r="F79" s="60">
        <f>SUM(F45:F78)</f>
        <v>14453674.489999998</v>
      </c>
    </row>
    <row r="80" spans="2:6" x14ac:dyDescent="0.2">
      <c r="E80" t="s">
        <v>147</v>
      </c>
      <c r="F80" s="143">
        <f>-F50</f>
        <v>-3740232.9599999934</v>
      </c>
    </row>
    <row r="81" spans="5:6" x14ac:dyDescent="0.2">
      <c r="E81" t="s">
        <v>148</v>
      </c>
      <c r="F81" s="84">
        <f>SUM(F79:F80)</f>
        <v>10713441.530000005</v>
      </c>
    </row>
    <row r="82" spans="5:6" x14ac:dyDescent="0.2">
      <c r="E82" t="s">
        <v>150</v>
      </c>
      <c r="F82" s="61">
        <f>F81/5</f>
        <v>2142688.3060000008</v>
      </c>
    </row>
    <row r="83" spans="5:6" x14ac:dyDescent="0.2">
      <c r="E83" t="s">
        <v>149</v>
      </c>
      <c r="F83" s="61">
        <f>F82/12*16</f>
        <v>2856917.7413333342</v>
      </c>
    </row>
    <row r="84" spans="5:6" x14ac:dyDescent="0.2">
      <c r="E84" t="s">
        <v>151</v>
      </c>
      <c r="F84" s="84">
        <f>F83-D23</f>
        <v>0</v>
      </c>
    </row>
  </sheetData>
  <mergeCells count="6">
    <mergeCell ref="C4:G4"/>
    <mergeCell ref="D5:E5"/>
    <mergeCell ref="F5:G5"/>
    <mergeCell ref="C11:G11"/>
    <mergeCell ref="D12:E12"/>
    <mergeCell ref="F12:G12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A24D64-46F0-416E-9C5E-891662A409DC}"/>
</file>

<file path=customXml/itemProps2.xml><?xml version="1.0" encoding="utf-8"?>
<ds:datastoreItem xmlns:ds="http://schemas.openxmlformats.org/officeDocument/2006/customXml" ds:itemID="{18BFCBAC-AD00-4CAB-924D-E517ADEE521D}">
  <ds:schemaRefs>
    <ds:schemaRef ds:uri="http://purl.org/dc/elements/1.1/"/>
    <ds:schemaRef ds:uri="2ad705b9-adad-42ba-803b-2580de5ca47a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789fa03-9022-4931-acb2-79f11ac92edf"/>
    <ds:schemaRef ds:uri="65bfb563-8fe2-4d34-a09f-38a217d8feea"/>
  </ds:schemaRefs>
</ds:datastoreItem>
</file>

<file path=customXml/itemProps3.xml><?xml version="1.0" encoding="utf-8"?>
<ds:datastoreItem xmlns:ds="http://schemas.openxmlformats.org/officeDocument/2006/customXml" ds:itemID="{BF61F19C-5A13-44AF-A073-113829533E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PSC-3-8</vt:lpstr>
      <vt:lpstr>SUPPORT&gt;&gt;&gt;</vt:lpstr>
      <vt:lpstr>Effective Tax Rate</vt:lpstr>
      <vt:lpstr>Composite Tax Rate</vt:lpstr>
      <vt:lpstr>TY TARIFF BILLING</vt:lpstr>
      <vt:lpstr>TY KWH-RS vs Non-RS</vt:lpstr>
      <vt:lpstr>Excess DIT (Unprot 15yr)</vt:lpstr>
      <vt:lpstr>Excess DIT (Unprot 5yr)</vt:lpstr>
      <vt:lpstr>'PSC-3-8'!Print_Area</vt:lpstr>
      <vt:lpstr>'TY TARIFF BILLING'!Print_Area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2014-12-04T19:33:26Z</dcterms:created>
  <dcterms:modified xsi:type="dcterms:W3CDTF">2018-04-18T17:01:25Z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