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40" yWindow="180" windowWidth="14940" windowHeight="9165" tabRatio="855"/>
  </bookViews>
  <sheets>
    <sheet name="SUMMARY (PG1)" sheetId="22" r:id="rId1"/>
    <sheet name="Cost of Capital (PG2) (35%)" sheetId="46" r:id="rId2"/>
    <sheet name="Cost of Capital (PG3) (21%)" sheetId="29" r:id="rId3"/>
    <sheet name="Cost of Capital (PGS4-5)" sheetId="34" r:id="rId4"/>
    <sheet name="ST Debt (PG6)" sheetId="40" r:id="rId5"/>
    <sheet name="LT Debt (PG7)" sheetId="41" r:id="rId6"/>
    <sheet name="Composite Tax Rate (PG8) (35%)" sheetId="47" r:id="rId7"/>
    <sheet name="Composite Tax Rate (PG9) (21%)" sheetId="45" r:id="rId8"/>
    <sheet name="SUPPORT&gt;&gt;&gt;" sheetId="44" r:id="rId9"/>
    <sheet name="TY TARIFF BILLING" sheetId="43" r:id="rId10"/>
    <sheet name="TY KWH-RS vs Non-RS" sheetId="42" r:id="rId11"/>
    <sheet name="Excess DIT" sheetId="35" r:id="rId12"/>
  </sheets>
  <externalReferences>
    <externalReference r:id="rId13"/>
  </externalReferences>
  <definedNames>
    <definedName name="\\" localSheetId="6" hidden="1">#REF!</definedName>
    <definedName name="\\" localSheetId="7" hidden="1">#REF!</definedName>
    <definedName name="\\" localSheetId="1" hidden="1">#REF!</definedName>
    <definedName name="\\" localSheetId="2" hidden="1">#REF!</definedName>
    <definedName name="\\" localSheetId="3" hidden="1">#REF!</definedName>
    <definedName name="\\" localSheetId="5" hidden="1">#REF!</definedName>
    <definedName name="\\" localSheetId="4" hidden="1">#REF!</definedName>
    <definedName name="\\" hidden="1">#REF!</definedName>
    <definedName name="\\\" localSheetId="6" hidden="1">#REF!</definedName>
    <definedName name="\\\" localSheetId="7" hidden="1">#REF!</definedName>
    <definedName name="\\\" localSheetId="1" hidden="1">#REF!</definedName>
    <definedName name="\\\" localSheetId="2" hidden="1">#REF!</definedName>
    <definedName name="\\\" localSheetId="3" hidden="1">#REF!</definedName>
    <definedName name="\\\" localSheetId="5" hidden="1">#REF!</definedName>
    <definedName name="\\\" localSheetId="4" hidden="1">#REF!</definedName>
    <definedName name="\\\" hidden="1">#REF!</definedName>
    <definedName name="\\\\" localSheetId="6" hidden="1">#REF!</definedName>
    <definedName name="\\\\" localSheetId="7" hidden="1">#REF!</definedName>
    <definedName name="\\\\" localSheetId="1" hidden="1">#REF!</definedName>
    <definedName name="\\\\" localSheetId="2" hidden="1">#REF!</definedName>
    <definedName name="\\\\" localSheetId="3" hidden="1">#REF!</definedName>
    <definedName name="\\\\" localSheetId="5" hidden="1">#REF!</definedName>
    <definedName name="\\\\" localSheetId="4" hidden="1">#REF!</definedName>
    <definedName name="\\\\" hidden="1">#REF!</definedName>
    <definedName name="__123Graph_1" localSheetId="6" hidden="1">#REF!</definedName>
    <definedName name="__123Graph_1" localSheetId="7" hidden="1">#REF!</definedName>
    <definedName name="__123Graph_1" localSheetId="1" hidden="1">#REF!</definedName>
    <definedName name="__123Graph_1" localSheetId="2" hidden="1">#REF!</definedName>
    <definedName name="__123Graph_1" localSheetId="3" hidden="1">#REF!</definedName>
    <definedName name="__123Graph_1" hidden="1">#REF!</definedName>
    <definedName name="__123Graph_2" localSheetId="6" hidden="1">#REF!</definedName>
    <definedName name="__123Graph_2" localSheetId="7" hidden="1">#REF!</definedName>
    <definedName name="__123Graph_2" localSheetId="1" hidden="1">#REF!</definedName>
    <definedName name="__123Graph_2" localSheetId="2" hidden="1">#REF!</definedName>
    <definedName name="__123Graph_2" localSheetId="3" hidden="1">#REF!</definedName>
    <definedName name="__123Graph_2" hidden="1">#REF!</definedName>
    <definedName name="__123Graph_3" localSheetId="6" hidden="1">#REF!</definedName>
    <definedName name="__123Graph_3" localSheetId="7" hidden="1">#REF!</definedName>
    <definedName name="__123Graph_3" localSheetId="1" hidden="1">#REF!</definedName>
    <definedName name="__123Graph_3" localSheetId="2" hidden="1">#REF!</definedName>
    <definedName name="__123Graph_3" localSheetId="3" hidden="1">#REF!</definedName>
    <definedName name="__123Graph_3" hidden="1">#REF!</definedName>
    <definedName name="__123Graph_4" localSheetId="6" hidden="1">#REF!</definedName>
    <definedName name="__123Graph_4" localSheetId="7" hidden="1">#REF!</definedName>
    <definedName name="__123Graph_4" localSheetId="1" hidden="1">#REF!</definedName>
    <definedName name="__123Graph_4" localSheetId="2" hidden="1">#REF!</definedName>
    <definedName name="__123Graph_4" localSheetId="3" hidden="1">#REF!</definedName>
    <definedName name="__123Graph_4" hidden="1">#REF!</definedName>
    <definedName name="__123Graph_5" localSheetId="6" hidden="1">#REF!</definedName>
    <definedName name="__123Graph_5" localSheetId="7" hidden="1">#REF!</definedName>
    <definedName name="__123Graph_5" localSheetId="1" hidden="1">#REF!</definedName>
    <definedName name="__123Graph_5" localSheetId="2" hidden="1">#REF!</definedName>
    <definedName name="__123Graph_5" localSheetId="3" hidden="1">#REF!</definedName>
    <definedName name="__123Graph_5" hidden="1">#REF!</definedName>
    <definedName name="__123Graph_6" localSheetId="6" hidden="1">#REF!</definedName>
    <definedName name="__123Graph_6" localSheetId="7" hidden="1">#REF!</definedName>
    <definedName name="__123Graph_6" localSheetId="1" hidden="1">#REF!</definedName>
    <definedName name="__123Graph_6" localSheetId="2" hidden="1">#REF!</definedName>
    <definedName name="__123Graph_6" localSheetId="3" hidden="1">#REF!</definedName>
    <definedName name="__123Graph_6" hidden="1">#REF!</definedName>
    <definedName name="__123Graph_8" localSheetId="6" hidden="1">#REF!</definedName>
    <definedName name="__123Graph_8" localSheetId="7" hidden="1">#REF!</definedName>
    <definedName name="__123Graph_8" localSheetId="1" hidden="1">#REF!</definedName>
    <definedName name="__123Graph_8" localSheetId="2" hidden="1">#REF!</definedName>
    <definedName name="__123Graph_8" localSheetId="3" hidden="1">#REF!</definedName>
    <definedName name="__123Graph_8" hidden="1">#REF!</definedName>
    <definedName name="__123Graph_A" localSheetId="6" hidden="1">#REF!</definedName>
    <definedName name="__123Graph_A" localSheetId="7" hidden="1">#REF!</definedName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localSheetId="5" hidden="1">#REF!</definedName>
    <definedName name="__123Graph_A" localSheetId="4" hidden="1">#REF!</definedName>
    <definedName name="__123Graph_A" hidden="1">#REF!</definedName>
    <definedName name="__123Graph_B" localSheetId="6" hidden="1">#REF!</definedName>
    <definedName name="__123Graph_B" localSheetId="7" hidden="1">#REF!</definedName>
    <definedName name="__123Graph_B" localSheetId="1" hidden="1">#REF!</definedName>
    <definedName name="__123Graph_B" localSheetId="2" hidden="1">#REF!</definedName>
    <definedName name="__123Graph_B" localSheetId="3" hidden="1">#REF!</definedName>
    <definedName name="__123Graph_B" localSheetId="5" hidden="1">#REF!</definedName>
    <definedName name="__123Graph_B" localSheetId="4" hidden="1">#REF!</definedName>
    <definedName name="__123Graph_B" hidden="1">#REF!</definedName>
    <definedName name="__123Graph_C" localSheetId="6" hidden="1">#REF!</definedName>
    <definedName name="__123Graph_C" localSheetId="7" hidden="1">#REF!</definedName>
    <definedName name="__123Graph_C" localSheetId="1" hidden="1">#REF!</definedName>
    <definedName name="__123Graph_C" localSheetId="2" hidden="1">#REF!</definedName>
    <definedName name="__123Graph_C" localSheetId="3" hidden="1">#REF!</definedName>
    <definedName name="__123Graph_C" localSheetId="5" hidden="1">#REF!</definedName>
    <definedName name="__123Graph_C" localSheetId="4" hidden="1">#REF!</definedName>
    <definedName name="__123Graph_C" hidden="1">#REF!</definedName>
    <definedName name="__123Graph_D" localSheetId="6" hidden="1">#REF!</definedName>
    <definedName name="__123Graph_D" localSheetId="7" hidden="1">#REF!</definedName>
    <definedName name="__123Graph_D" localSheetId="1" hidden="1">#REF!</definedName>
    <definedName name="__123Graph_D" localSheetId="2" hidden="1">#REF!</definedName>
    <definedName name="__123Graph_D" localSheetId="3" hidden="1">#REF!</definedName>
    <definedName name="__123Graph_D" localSheetId="5" hidden="1">#REF!</definedName>
    <definedName name="__123Graph_D" localSheetId="4" hidden="1">#REF!</definedName>
    <definedName name="__123Graph_D" hidden="1">#REF!</definedName>
    <definedName name="__123Graph_E" localSheetId="6" hidden="1">#REF!</definedName>
    <definedName name="__123Graph_E" localSheetId="7" hidden="1">#REF!</definedName>
    <definedName name="__123Graph_E" localSheetId="1" hidden="1">#REF!</definedName>
    <definedName name="__123Graph_E" localSheetId="2" hidden="1">#REF!</definedName>
    <definedName name="__123Graph_E" localSheetId="3" hidden="1">#REF!</definedName>
    <definedName name="__123Graph_E" localSheetId="5" hidden="1">#REF!</definedName>
    <definedName name="__123Graph_E" localSheetId="4" hidden="1">#REF!</definedName>
    <definedName name="__123Graph_E" hidden="1">#REF!</definedName>
    <definedName name="__123Graph_F" localSheetId="6" hidden="1">#REF!</definedName>
    <definedName name="__123Graph_F" localSheetId="7" hidden="1">#REF!</definedName>
    <definedName name="__123Graph_F" localSheetId="1" hidden="1">#REF!</definedName>
    <definedName name="__123Graph_F" localSheetId="2" hidden="1">#REF!</definedName>
    <definedName name="__123Graph_F" localSheetId="3" hidden="1">#REF!</definedName>
    <definedName name="__123Graph_F" localSheetId="5" hidden="1">#REF!</definedName>
    <definedName name="__123Graph_F" localSheetId="4" hidden="1">#REF!</definedName>
    <definedName name="__123Graph_F" hidden="1">#REF!</definedName>
    <definedName name="__123Graph_X" localSheetId="6" hidden="1">#REF!</definedName>
    <definedName name="__123Graph_X" localSheetId="7" hidden="1">#REF!</definedName>
    <definedName name="__123Graph_X" localSheetId="1" hidden="1">#REF!</definedName>
    <definedName name="__123Graph_X" localSheetId="2" hidden="1">#REF!</definedName>
    <definedName name="__123Graph_X" localSheetId="3" hidden="1">#REF!</definedName>
    <definedName name="__123Graph_X" localSheetId="5" hidden="1">#REF!</definedName>
    <definedName name="__123Graph_X" localSheetId="4" hidden="1">#REF!</definedName>
    <definedName name="__123Graph_X" hidden="1">#REF!</definedName>
    <definedName name="_Fill" localSheetId="6" hidden="1">#REF!</definedName>
    <definedName name="_Fill" localSheetId="7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5" hidden="1">#REF!</definedName>
    <definedName name="_Fill" localSheetId="4" hidden="1">#REF!</definedName>
    <definedName name="_Fill" hidden="1">#REF!</definedName>
    <definedName name="_xlnm._FilterDatabase" localSheetId="5" hidden="1">'LT Debt (PG7)'!#REF!</definedName>
    <definedName name="_Order1" hidden="1">0</definedName>
    <definedName name="_Order2" hidden="1">0</definedName>
    <definedName name="ahahahahaha" localSheetId="6" hidden="1">{"'Server Configuration'!$A$1:$DB$281"}</definedName>
    <definedName name="ahahahahaha" localSheetId="7" hidden="1">{"'Server Configuration'!$A$1:$DB$281"}</definedName>
    <definedName name="ahahahahaha" localSheetId="3" hidden="1">{"'Server Configuration'!$A$1:$DB$281"}</definedName>
    <definedName name="ahahahahaha" hidden="1">{"'Server Configuration'!$A$1:$DB$281"}</definedName>
    <definedName name="blip" localSheetId="6" hidden="1">{"'Server Configuration'!$A$1:$DB$281"}</definedName>
    <definedName name="blip" localSheetId="7" hidden="1">{"'Server Configuration'!$A$1:$DB$281"}</definedName>
    <definedName name="blip" localSheetId="3" hidden="1">{"'Server Configuration'!$A$1:$DB$281"}</definedName>
    <definedName name="blip" hidden="1">{"'Server Configuration'!$A$1:$DB$281"}</definedName>
    <definedName name="BNE_MESSAGES_HIDDEN" localSheetId="6" hidden="1">#REF!</definedName>
    <definedName name="BNE_MESSAGES_HIDDEN" localSheetId="1" hidden="1">#REF!</definedName>
    <definedName name="BNE_MESSAGES_HIDDEN" hidden="1">#REF!</definedName>
    <definedName name="DolUnitFactor">[1]ListsValues!$M$29</definedName>
    <definedName name="HTML_CodePage" hidden="1">1252</definedName>
    <definedName name="HTML_Control" localSheetId="6" hidden="1">{"'Server Configuration'!$A$1:$DB$281"}</definedName>
    <definedName name="HTML_Control" localSheetId="7" hidden="1">{"'Server Configuration'!$A$1:$DB$281"}</definedName>
    <definedName name="HTML_Control" localSheetId="3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'Cost of Capital (PG2) (35%)'!$A$1:$O$28</definedName>
    <definedName name="_xlnm.Print_Area" localSheetId="2">'Cost of Capital (PG3) (21%)'!$A$1:$O$28</definedName>
    <definedName name="_xlnm.Print_Area" localSheetId="3">'Cost of Capital (PGS4-5)'!$A$19:$J$62</definedName>
    <definedName name="_xlnm.Print_Area" localSheetId="5">'LT Debt (PG7)'!#REF!</definedName>
    <definedName name="_xlnm.Print_Area" localSheetId="0">'SUMMARY (PG1)'!$A$1:$G$37</definedName>
    <definedName name="_xlnm.Print_Area" localSheetId="9">'TY TARIFF BILLING'!$A$1:$H$32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7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6" hidden="1">{"Wkp ComEquity",#N/A,FALSE,"Cap Struct WPs"}</definedName>
    <definedName name="wrn.Wkp._.ComEquity." localSheetId="7" hidden="1">{"Wkp ComEquity",#N/A,FALSE,"Cap Struct WPs"}</definedName>
    <definedName name="wrn.Wkp._.ComEquity." localSheetId="3" hidden="1">{"Wkp ComEquity",#N/A,FALSE,"Cap Struct WPs"}</definedName>
    <definedName name="wrn.Wkp._.ComEquity." hidden="1">{"Wkp ComEquity",#N/A,FALSE,"Cap Struct WPs"}</definedName>
    <definedName name="wrn.Wkp._.JDITC." localSheetId="6" hidden="1">{"Wkp JDITC",#N/A,FALSE,"Cap Struct WPs"}</definedName>
    <definedName name="wrn.Wkp._.JDITC." localSheetId="7" hidden="1">{"Wkp JDITC",#N/A,FALSE,"Cap Struct WPs"}</definedName>
    <definedName name="wrn.Wkp._.JDITC." localSheetId="3" hidden="1">{"Wkp JDITC",#N/A,FALSE,"Cap Struct WPs"}</definedName>
    <definedName name="wrn.Wkp._.JDITC." hidden="1">{"Wkp JDITC",#N/A,FALSE,"Cap Struct WPs"}</definedName>
    <definedName name="wrn.Wkp._.LTerm._.Debt." localSheetId="6" hidden="1">{"Wkp LTerm Debt",#N/A,FALSE,"Cap Struct WPs"}</definedName>
    <definedName name="wrn.Wkp._.LTerm._.Debt." localSheetId="7" hidden="1">{"Wkp LTerm Debt",#N/A,FALSE,"Cap Struct WPs"}</definedName>
    <definedName name="wrn.Wkp._.LTerm._.Debt." localSheetId="3" hidden="1">{"Wkp LTerm Debt",#N/A,FALSE,"Cap Struct WPs"}</definedName>
    <definedName name="wrn.Wkp._.LTerm._.Debt." hidden="1">{"Wkp LTerm Debt",#N/A,FALSE,"Cap Struct WPs"}</definedName>
    <definedName name="wrn.Wkp._.LTerm._.Debt._.13Mo._.Avg." localSheetId="6" hidden="1">{"Wkp LTerm Debt 13MoAvg",#N/A,FALSE,"Cap Struct WPs"}</definedName>
    <definedName name="wrn.Wkp._.LTerm._.Debt._.13Mo._.Avg." localSheetId="7" hidden="1">{"Wkp LTerm Debt 13MoAvg",#N/A,FALSE,"Cap Struct WPs"}</definedName>
    <definedName name="wrn.Wkp._.LTerm._.Debt._.13Mo._.Avg." localSheetId="3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6" hidden="1">{"Wkp Lterm Debt Amort",#N/A,FALSE,"Cap Struct WPs"}</definedName>
    <definedName name="wrn.Wkp._.LTerm._.Debt._.Amort." localSheetId="7" hidden="1">{"Wkp Lterm Debt Amort",#N/A,FALSE,"Cap Struct WPs"}</definedName>
    <definedName name="wrn.Wkp._.LTerm._.Debt._.Amort." localSheetId="3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6" hidden="1">{"Wkp LTerm Debt Int",#N/A,FALSE,"Cap Struct WPs"}</definedName>
    <definedName name="wrn.Wkp._.LTerm._.Debt._.Int." localSheetId="7" hidden="1">{"Wkp LTerm Debt Int",#N/A,FALSE,"Cap Struct WPs"}</definedName>
    <definedName name="wrn.Wkp._.LTerm._.Debt._.Int." localSheetId="3" hidden="1">{"Wkp LTerm Debt Int",#N/A,FALSE,"Cap Struct WPs"}</definedName>
    <definedName name="wrn.Wkp._.LTerm._.Debt._.Int." hidden="1">{"Wkp LTerm Debt Int",#N/A,FALSE,"Cap Struct WPs"}</definedName>
    <definedName name="wrn.Wkp._.PreStock." localSheetId="6" hidden="1">{"Wkp PreStock",#N/A,FALSE,"Cap Struct WPs"}</definedName>
    <definedName name="wrn.Wkp._.PreStock." localSheetId="7" hidden="1">{"Wkp PreStock",#N/A,FALSE,"Cap Struct WPs"}</definedName>
    <definedName name="wrn.Wkp._.PreStock." localSheetId="3" hidden="1">{"Wkp PreStock",#N/A,FALSE,"Cap Struct WPs"}</definedName>
    <definedName name="wrn.Wkp._.PreStock." hidden="1">{"Wkp PreStock",#N/A,FALSE,"Cap Struct WPs"}</definedName>
    <definedName name="wrn.Wkp._.PreStock._.13MoAvg." localSheetId="6" hidden="1">{"Wkp PreStock 13MoAvg",#N/A,FALSE,"Cap Struct WPs"}</definedName>
    <definedName name="wrn.Wkp._.PreStock._.13MoAvg." localSheetId="7" hidden="1">{"Wkp PreStock 13MoAvg",#N/A,FALSE,"Cap Struct WPs"}</definedName>
    <definedName name="wrn.Wkp._.PreStock._.13MoAvg." localSheetId="3" hidden="1">{"Wkp PreStock 13MoAvg",#N/A,FALSE,"Cap Struct WPs"}</definedName>
    <definedName name="wrn.Wkp._.PreStock._.13MoAvg." hidden="1">{"Wkp PreStock 13MoAvg",#N/A,FALSE,"Cap Struct WPs"}</definedName>
    <definedName name="wrn.Wkp._.PreStock._.Amort." localSheetId="6" hidden="1">{"Wkp PreStock Amort",#N/A,FALSE,"Cap Struct WPs"}</definedName>
    <definedName name="wrn.Wkp._.PreStock._.Amort." localSheetId="7" hidden="1">{"Wkp PreStock Amort",#N/A,FALSE,"Cap Struct WPs"}</definedName>
    <definedName name="wrn.Wkp._.PreStock._.Amort." localSheetId="3" hidden="1">{"Wkp PreStock Amort",#N/A,FALSE,"Cap Struct WPs"}</definedName>
    <definedName name="wrn.Wkp._.PreStock._.Amort." hidden="1">{"Wkp PreStock Amort",#N/A,FALSE,"Cap Struct WPs"}</definedName>
    <definedName name="wrn.Wkp._.PreStock._.Dividend." localSheetId="6" hidden="1">{"Wkp PreStock Dividend",#N/A,FALSE,"Cap Struct WPs"}</definedName>
    <definedName name="wrn.Wkp._.PreStock._.Dividend." localSheetId="7" hidden="1">{"Wkp PreStock Dividend",#N/A,FALSE,"Cap Struct WPs"}</definedName>
    <definedName name="wrn.Wkp._.PreStock._.Dividend." localSheetId="3" hidden="1">{"Wkp PreStock Dividend",#N/A,FALSE,"Cap Struct WPs"}</definedName>
    <definedName name="wrn.Wkp._.PreStock._.Dividend." hidden="1">{"Wkp PreStock Dividend",#N/A,FALSE,"Cap Struct WPs"}</definedName>
    <definedName name="wrn.Wkp._.STerm._.Debt." localSheetId="6" hidden="1">{"Wkp STerm Debt",#N/A,FALSE,"Cap Struct WPs"}</definedName>
    <definedName name="wrn.Wkp._.STerm._.Debt." localSheetId="7" hidden="1">{"Wkp STerm Debt",#N/A,FALSE,"Cap Struct WPs"}</definedName>
    <definedName name="wrn.Wkp._.STerm._.Debt." localSheetId="3" hidden="1">{"Wkp STerm Debt",#N/A,FALSE,"Cap Struct WPs"}</definedName>
    <definedName name="wrn.Wkp._.STerm._.Debt." hidden="1">{"Wkp STerm Debt",#N/A,FALSE,"Cap Struct WPs"}</definedName>
    <definedName name="wrn.Wkp._.Unamort._.Debt._.Exp." localSheetId="6" hidden="1">{"Wkp Unamort Debt Exp",#N/A,FALSE,"Cap Struct WPs"}</definedName>
    <definedName name="wrn.Wkp._.Unamort._.Debt._.Exp." localSheetId="7" hidden="1">{"Wkp Unamort Debt Exp",#N/A,FALSE,"Cap Struct WPs"}</definedName>
    <definedName name="wrn.Wkp._.Unamort._.Debt._.Exp." localSheetId="3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6" hidden="1">{"Wkp Unamort PreStock Exp",#N/A,FALSE,"Cap Struct WPs"}</definedName>
    <definedName name="wrn.Wkp._.Unamort._.PreStock._.Exp." localSheetId="7" hidden="1">{"Wkp Unamort PreStock Exp",#N/A,FALSE,"Cap Struct WPs"}</definedName>
    <definedName name="wrn.Wkp._.Unamort._.PreStock._.Exp." localSheetId="3" hidden="1">{"Wkp Unamort PreStock Exp",#N/A,FALSE,"Cap Struct WPs"}</definedName>
    <definedName name="wrn.Wkp._.Unamort._.PreStock._.Exp." hidden="1">{"Wkp Unamort PreStock Exp",#N/A,FALSE,"Cap Struct WPs"}</definedName>
  </definedNames>
  <calcPr calcId="152511"/>
  <webPublishing codePage="0"/>
</workbook>
</file>

<file path=xl/calcChain.xml><?xml version="1.0" encoding="utf-8"?>
<calcChain xmlns="http://schemas.openxmlformats.org/spreadsheetml/2006/main">
  <c r="P37" i="41" l="1"/>
  <c r="P40" i="41"/>
  <c r="O40" i="41"/>
  <c r="N40" i="41"/>
  <c r="M40" i="41"/>
  <c r="L40" i="41"/>
  <c r="K40" i="41"/>
  <c r="J40" i="41"/>
  <c r="I40" i="41"/>
  <c r="H40" i="41"/>
  <c r="G40" i="41"/>
  <c r="F40" i="41"/>
  <c r="P36" i="41"/>
  <c r="P35" i="41"/>
  <c r="P34" i="41"/>
  <c r="P33" i="41"/>
  <c r="P32" i="41"/>
  <c r="P31" i="41"/>
  <c r="P30" i="41"/>
  <c r="P29" i="41"/>
  <c r="P28" i="41"/>
  <c r="P27" i="41"/>
  <c r="P26" i="41"/>
  <c r="P25" i="41"/>
  <c r="P24" i="41"/>
  <c r="P23" i="41"/>
  <c r="P22" i="41"/>
  <c r="P21" i="41"/>
  <c r="P20" i="41"/>
  <c r="P19" i="41"/>
  <c r="P18" i="41"/>
  <c r="P17" i="41"/>
  <c r="P16" i="41"/>
  <c r="C33" i="40"/>
  <c r="C35" i="40" s="1"/>
  <c r="C37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33" i="40" s="1"/>
  <c r="E35" i="40" s="1"/>
  <c r="C36" i="40" l="1"/>
  <c r="C12" i="22" l="1"/>
  <c r="G40" i="34" l="1"/>
  <c r="P42" i="41" l="1"/>
  <c r="L14" i="34" s="1"/>
  <c r="D19" i="47" l="1"/>
  <c r="D21" i="47" s="1"/>
  <c r="E21" i="47" s="1"/>
  <c r="E17" i="47"/>
  <c r="E15" i="47"/>
  <c r="E19" i="47" s="1"/>
  <c r="G19" i="46"/>
  <c r="D19" i="46"/>
  <c r="L17" i="46"/>
  <c r="G17" i="46"/>
  <c r="D17" i="46"/>
  <c r="D15" i="46"/>
  <c r="D19" i="45"/>
  <c r="D21" i="45" s="1"/>
  <c r="E21" i="45" s="1"/>
  <c r="E17" i="45"/>
  <c r="E15" i="45"/>
  <c r="E19" i="45" s="1"/>
  <c r="E23" i="47" l="1"/>
  <c r="E25" i="47" s="1"/>
  <c r="D21" i="46"/>
  <c r="E27" i="47"/>
  <c r="N12" i="46" s="1"/>
  <c r="E27" i="45"/>
  <c r="E23" i="45"/>
  <c r="E25" i="45" s="1"/>
  <c r="B28" i="22" l="1"/>
  <c r="D28" i="22"/>
  <c r="N12" i="29"/>
  <c r="F38" i="34"/>
  <c r="D35" i="40" l="1"/>
  <c r="C39" i="40" s="1"/>
  <c r="L12" i="34" s="1"/>
  <c r="L15" i="46" s="1"/>
  <c r="A39" i="40"/>
  <c r="G38" i="34" l="1"/>
  <c r="A49" i="34"/>
  <c r="A46" i="34"/>
  <c r="A45" i="34"/>
  <c r="G14" i="34"/>
  <c r="G16" i="34"/>
  <c r="D38" i="34" l="1"/>
  <c r="D36" i="34"/>
  <c r="D34" i="34" l="1"/>
  <c r="D40" i="34" l="1"/>
  <c r="E34" i="34" s="1"/>
  <c r="H34" i="34" l="1"/>
  <c r="I34" i="34"/>
  <c r="E38" i="34"/>
  <c r="E36" i="34"/>
  <c r="E40" i="34" s="1"/>
  <c r="H38" i="34" l="1"/>
  <c r="I38" i="34"/>
  <c r="H36" i="34"/>
  <c r="I36" i="34"/>
  <c r="J34" i="34"/>
  <c r="J38" i="34" l="1"/>
  <c r="E16" i="34" s="1"/>
  <c r="E12" i="34"/>
  <c r="E15" i="46" s="1"/>
  <c r="J36" i="34"/>
  <c r="E14" i="34" s="1"/>
  <c r="F14" i="34" l="1"/>
  <c r="H14" i="34" s="1"/>
  <c r="E17" i="46"/>
  <c r="F17" i="46" s="1"/>
  <c r="H17" i="46" s="1"/>
  <c r="F15" i="46"/>
  <c r="F16" i="34"/>
  <c r="H16" i="34" s="1"/>
  <c r="D60" i="34" s="1"/>
  <c r="E19" i="46"/>
  <c r="F19" i="46" s="1"/>
  <c r="H19" i="46" s="1"/>
  <c r="E18" i="34"/>
  <c r="F12" i="34"/>
  <c r="D58" i="34"/>
  <c r="J40" i="34"/>
  <c r="E21" i="46" l="1"/>
  <c r="H15" i="46"/>
  <c r="F21" i="46"/>
  <c r="F18" i="34"/>
  <c r="H12" i="34"/>
  <c r="H21" i="46" l="1"/>
  <c r="K15" i="46" s="1"/>
  <c r="D56" i="34"/>
  <c r="H18" i="34"/>
  <c r="M15" i="46" l="1"/>
  <c r="K17" i="46"/>
  <c r="M17" i="46" s="1"/>
  <c r="O17" i="46" s="1"/>
  <c r="K19" i="46"/>
  <c r="M19" i="46" s="1"/>
  <c r="K16" i="34"/>
  <c r="M16" i="34" s="1"/>
  <c r="K14" i="34"/>
  <c r="M14" i="34" s="1"/>
  <c r="D62" i="34"/>
  <c r="E56" i="34" s="1"/>
  <c r="K12" i="34"/>
  <c r="N19" i="46" l="1"/>
  <c r="N21" i="46" s="1"/>
  <c r="K21" i="46"/>
  <c r="O15" i="46"/>
  <c r="M21" i="46"/>
  <c r="H56" i="34"/>
  <c r="F56" i="34"/>
  <c r="G56" i="34"/>
  <c r="E60" i="34"/>
  <c r="E58" i="34"/>
  <c r="K18" i="34"/>
  <c r="M12" i="34"/>
  <c r="M18" i="34" s="1"/>
  <c r="O19" i="46" l="1"/>
  <c r="O21" i="46" s="1"/>
  <c r="C14" i="22" s="1"/>
  <c r="J56" i="34"/>
  <c r="H58" i="34"/>
  <c r="F58" i="34"/>
  <c r="G58" i="34"/>
  <c r="H60" i="34"/>
  <c r="F60" i="34"/>
  <c r="G60" i="34"/>
  <c r="E62" i="34"/>
  <c r="J58" i="34" l="1"/>
  <c r="I14" i="34" s="1"/>
  <c r="J60" i="34"/>
  <c r="I16" i="34" s="1"/>
  <c r="I12" i="34"/>
  <c r="I15" i="46" s="1"/>
  <c r="J15" i="46" l="1"/>
  <c r="J16" i="34"/>
  <c r="I19" i="46"/>
  <c r="J19" i="46" s="1"/>
  <c r="J14" i="34"/>
  <c r="I17" i="46"/>
  <c r="J17" i="46" s="1"/>
  <c r="J62" i="34"/>
  <c r="I18" i="34"/>
  <c r="J12" i="34"/>
  <c r="J21" i="46" l="1"/>
  <c r="J18" i="34"/>
  <c r="I21" i="46"/>
  <c r="G41" i="22"/>
  <c r="G34" i="22"/>
  <c r="F41" i="22"/>
  <c r="F34" i="22"/>
  <c r="B7" i="42"/>
  <c r="C5" i="42" s="1"/>
  <c r="G31" i="43"/>
  <c r="G30" i="43"/>
  <c r="G29" i="43"/>
  <c r="G28" i="43"/>
  <c r="G24" i="43"/>
  <c r="G22" i="43"/>
  <c r="G21" i="43"/>
  <c r="G20" i="43"/>
  <c r="G19" i="43"/>
  <c r="G18" i="43"/>
  <c r="G15" i="43"/>
  <c r="G14" i="43"/>
  <c r="G13" i="43"/>
  <c r="G12" i="43"/>
  <c r="G10" i="43"/>
  <c r="G9" i="43"/>
  <c r="G8" i="43"/>
  <c r="G7" i="43"/>
  <c r="G6" i="43"/>
  <c r="G5" i="43"/>
  <c r="E28" i="43"/>
  <c r="E24" i="43"/>
  <c r="B23" i="43"/>
  <c r="E23" i="43" s="1"/>
  <c r="E22" i="43"/>
  <c r="E21" i="43"/>
  <c r="E20" i="43"/>
  <c r="E19" i="43"/>
  <c r="E18" i="43"/>
  <c r="E17" i="43"/>
  <c r="E16" i="43"/>
  <c r="E15" i="43"/>
  <c r="E14" i="43"/>
  <c r="E13" i="43"/>
  <c r="E12" i="43"/>
  <c r="D11" i="43"/>
  <c r="D25" i="43" s="1"/>
  <c r="B11" i="43"/>
  <c r="E10" i="43"/>
  <c r="E9" i="43"/>
  <c r="E8" i="43"/>
  <c r="E7" i="43"/>
  <c r="J6" i="43"/>
  <c r="E6" i="43"/>
  <c r="J5" i="43"/>
  <c r="E5" i="43"/>
  <c r="G11" i="43" l="1"/>
  <c r="E41" i="22"/>
  <c r="E11" i="43"/>
  <c r="C6" i="42"/>
  <c r="C7" i="42" s="1"/>
  <c r="G23" i="43"/>
  <c r="G25" i="43"/>
  <c r="H24" i="43" s="1"/>
  <c r="D32" i="43"/>
  <c r="J7" i="43"/>
  <c r="E29" i="43"/>
  <c r="B25" i="43"/>
  <c r="E25" i="43" s="1"/>
  <c r="E30" i="43"/>
  <c r="E31" i="43"/>
  <c r="H12" i="43" l="1"/>
  <c r="H23" i="43"/>
  <c r="H8" i="43"/>
  <c r="H19" i="43"/>
  <c r="G32" i="43"/>
  <c r="H25" i="43"/>
  <c r="H17" i="43"/>
  <c r="H18" i="43"/>
  <c r="H16" i="43"/>
  <c r="H10" i="43"/>
  <c r="H22" i="43"/>
  <c r="H14" i="43"/>
  <c r="H6" i="43"/>
  <c r="H20" i="43"/>
  <c r="H15" i="43"/>
  <c r="H9" i="43"/>
  <c r="H13" i="43"/>
  <c r="H7" i="43"/>
  <c r="H11" i="43"/>
  <c r="H21" i="43"/>
  <c r="H5" i="43"/>
  <c r="J25" i="43"/>
  <c r="K7" i="43" s="1"/>
  <c r="B32" i="43"/>
  <c r="E32" i="43" s="1"/>
  <c r="E7" i="42" l="1"/>
  <c r="A17" i="41" l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E79" i="35" l="1"/>
  <c r="D79" i="35"/>
  <c r="C79" i="35"/>
  <c r="F78" i="35"/>
  <c r="F77" i="35"/>
  <c r="F76" i="35"/>
  <c r="F75" i="35"/>
  <c r="F74" i="35"/>
  <c r="F73" i="35"/>
  <c r="F72" i="35"/>
  <c r="F71" i="35"/>
  <c r="F70" i="35"/>
  <c r="F69" i="35"/>
  <c r="F68" i="35"/>
  <c r="F67" i="35"/>
  <c r="F66" i="35"/>
  <c r="F65" i="35"/>
  <c r="F64" i="35"/>
  <c r="F63" i="35"/>
  <c r="F62" i="35"/>
  <c r="F61" i="35"/>
  <c r="F60" i="35"/>
  <c r="F59" i="35"/>
  <c r="F58" i="35"/>
  <c r="F57" i="35"/>
  <c r="F56" i="35"/>
  <c r="F55" i="35"/>
  <c r="F54" i="35"/>
  <c r="F53" i="35"/>
  <c r="F52" i="35"/>
  <c r="F51" i="35"/>
  <c r="F50" i="35"/>
  <c r="F49" i="35"/>
  <c r="F48" i="35"/>
  <c r="F47" i="35"/>
  <c r="F46" i="35"/>
  <c r="F45" i="35"/>
  <c r="D28" i="35"/>
  <c r="C29" i="35"/>
  <c r="G16" i="35"/>
  <c r="F15" i="35"/>
  <c r="E22" i="35" s="1"/>
  <c r="D14" i="35"/>
  <c r="G8" i="35"/>
  <c r="G9" i="35" s="1"/>
  <c r="F8" i="35"/>
  <c r="D7" i="35"/>
  <c r="C7" i="35" s="1"/>
  <c r="F16" i="35" l="1"/>
  <c r="F9" i="35"/>
  <c r="D15" i="35"/>
  <c r="D16" i="35" s="1"/>
  <c r="C28" i="35"/>
  <c r="E28" i="35" s="1"/>
  <c r="D8" i="35"/>
  <c r="F79" i="35"/>
  <c r="E14" i="35"/>
  <c r="E15" i="35" l="1"/>
  <c r="D22" i="35" s="1"/>
  <c r="E24" i="35"/>
  <c r="C30" i="35"/>
  <c r="C31" i="35" s="1"/>
  <c r="D9" i="35"/>
  <c r="C14" i="35"/>
  <c r="E8" i="35"/>
  <c r="E9" i="35" l="1"/>
  <c r="C22" i="35"/>
  <c r="C15" i="35"/>
  <c r="C16" i="35" s="1"/>
  <c r="D36" i="35"/>
  <c r="D24" i="22" s="1"/>
  <c r="C23" i="35"/>
  <c r="E16" i="35"/>
  <c r="C8" i="35"/>
  <c r="C9" i="35" l="1"/>
  <c r="C24" i="35"/>
  <c r="C17" i="35"/>
  <c r="D24" i="35"/>
  <c r="D35" i="35"/>
  <c r="D37" i="35" s="1"/>
  <c r="D22" i="22" l="1"/>
  <c r="D26" i="22" l="1"/>
  <c r="E18" i="22"/>
  <c r="D19" i="29"/>
  <c r="D17" i="29"/>
  <c r="L17" i="29"/>
  <c r="L15" i="29"/>
  <c r="D15" i="29"/>
  <c r="E30" i="22" l="1"/>
  <c r="E17" i="29" l="1"/>
  <c r="E19" i="29" l="1"/>
  <c r="E15" i="29"/>
  <c r="I17" i="29" l="1"/>
  <c r="I19" i="29"/>
  <c r="I15" i="29" l="1"/>
  <c r="D21" i="29" l="1"/>
  <c r="G19" i="29"/>
  <c r="F19" i="29"/>
  <c r="G17" i="29"/>
  <c r="F17" i="29"/>
  <c r="I21" i="29"/>
  <c r="E21" i="29"/>
  <c r="H17" i="29" l="1"/>
  <c r="J17" i="29" s="1"/>
  <c r="H19" i="29"/>
  <c r="J19" i="29" s="1"/>
  <c r="F15" i="29"/>
  <c r="H15" i="29" l="1"/>
  <c r="F21" i="29"/>
  <c r="H21" i="29" l="1"/>
  <c r="K15" i="29" s="1"/>
  <c r="M15" i="29" s="1"/>
  <c r="J15" i="29"/>
  <c r="J21" i="29" s="1"/>
  <c r="D12" i="22" l="1"/>
  <c r="C16" i="22"/>
  <c r="O15" i="29"/>
  <c r="K17" i="29"/>
  <c r="M17" i="29" s="1"/>
  <c r="O17" i="29" s="1"/>
  <c r="K19" i="29"/>
  <c r="M19" i="29" s="1"/>
  <c r="N19" i="29" s="1"/>
  <c r="E12" i="22" l="1"/>
  <c r="O19" i="29"/>
  <c r="O21" i="29" s="1"/>
  <c r="D14" i="22" s="1"/>
  <c r="E14" i="22" s="1"/>
  <c r="N21" i="29"/>
  <c r="M21" i="29"/>
  <c r="K21" i="29"/>
  <c r="D16" i="22" l="1"/>
  <c r="E16" i="22" s="1"/>
  <c r="E20" i="22" s="1"/>
  <c r="E32" i="22" s="1"/>
  <c r="F32" i="22" s="1"/>
  <c r="G32" i="22" l="1"/>
  <c r="E39" i="22"/>
  <c r="E43" i="22" s="1"/>
  <c r="G36" i="22" l="1"/>
  <c r="G39" i="22"/>
  <c r="G43" i="22" s="1"/>
  <c r="F36" i="22"/>
  <c r="F39" i="22"/>
  <c r="F43" i="22" s="1"/>
</calcChain>
</file>

<file path=xl/comments1.xml><?xml version="1.0" encoding="utf-8"?>
<comments xmlns="http://schemas.openxmlformats.org/spreadsheetml/2006/main">
  <authors>
    <author>Author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</rPr>
          <t>As corrected in post hearing DR1 Q1 attachment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As corrected in post hearing DR1 Q1 attachment</t>
        </r>
      </text>
    </comment>
  </commentList>
</comments>
</file>

<file path=xl/sharedStrings.xml><?xml version="1.0" encoding="utf-8"?>
<sst xmlns="http://schemas.openxmlformats.org/spreadsheetml/2006/main" count="549" uniqueCount="294">
  <si>
    <t>KENTUCKY UTILITIES COMPANY</t>
  </si>
  <si>
    <t>DESCRIPTION</t>
  </si>
  <si>
    <t>STATE</t>
  </si>
  <si>
    <t>LINE NO.</t>
  </si>
  <si>
    <t>$</t>
  </si>
  <si>
    <t>OVERALL FINANCIAL SUMMARY</t>
  </si>
  <si>
    <t>FEDERAL</t>
  </si>
  <si>
    <t>OPERATING REVENUE</t>
  </si>
  <si>
    <t>LESS: UNCOLLECTIBLE ACCOUNTS EXPENSE</t>
  </si>
  <si>
    <t>LESS: PSC FEES</t>
  </si>
  <si>
    <t>COST OF CAPITAL SUMMARY</t>
  </si>
  <si>
    <t>CLASS OF CAPITAL</t>
  </si>
  <si>
    <t>ADJUSTMENT AMOUNT</t>
  </si>
  <si>
    <t>ADJUSTED CAPITAL</t>
  </si>
  <si>
    <t>PERCENT OF TOTAL</t>
  </si>
  <si>
    <t>COST RATE</t>
  </si>
  <si>
    <t>(A)</t>
  </si>
  <si>
    <t>(B)</t>
  </si>
  <si>
    <t>(C)</t>
  </si>
  <si>
    <t>(D)</t>
  </si>
  <si>
    <t>(E=C+D)</t>
  </si>
  <si>
    <t>(F)</t>
  </si>
  <si>
    <t>%</t>
  </si>
  <si>
    <t>SHORT-TERM DEBT</t>
  </si>
  <si>
    <t>LONG-TERM DEBT</t>
  </si>
  <si>
    <t>COMMON EQUITY</t>
  </si>
  <si>
    <t>TOTAL CAPITAL</t>
  </si>
  <si>
    <t>JURISDICTIONAL RATE BASE PERCENTAGE</t>
  </si>
  <si>
    <t>JURISDICTIONAL ADJUSTED CAPITAL</t>
  </si>
  <si>
    <t>(G=ExF)</t>
  </si>
  <si>
    <t>(H)</t>
  </si>
  <si>
    <t>CAPITALIZATION ALLOCATED TO KENTUCKY JURISDICTION</t>
  </si>
  <si>
    <t>JURISDICTIONAL CAPITAL</t>
  </si>
  <si>
    <t>JURISDICTIONAL ADJUSTMENTS</t>
  </si>
  <si>
    <t>(I=G+H)</t>
  </si>
  <si>
    <t>(J)</t>
  </si>
  <si>
    <t>(K)</t>
  </si>
  <si>
    <t>(L=JxK)</t>
  </si>
  <si>
    <t>CASE NO. 2017-00477</t>
  </si>
  <si>
    <t>FROM JANUARY 1, 2018 TO APRIL 30, 2019</t>
  </si>
  <si>
    <t>TAX GROSS-UP</t>
  </si>
  <si>
    <t>WEIGHTED COST ADJUSTED FOR INCOME TAXES</t>
  </si>
  <si>
    <t>(L+M)</t>
  </si>
  <si>
    <t>COST OF CAPITAL SUMMARY - ADJUSTMENT AMOUNT</t>
  </si>
  <si>
    <t>OTHER COMPREHENSIVE INCOME - EEI</t>
  </si>
  <si>
    <t>EEI DEFERRED TAXES</t>
  </si>
  <si>
    <t>INVESTMENT IN OVEC</t>
  </si>
  <si>
    <t>NET NONUTILITY PROPERTY</t>
  </si>
  <si>
    <t>(E)</t>
  </si>
  <si>
    <t>(G)</t>
  </si>
  <si>
    <t>(I=E+F+G+H)</t>
  </si>
  <si>
    <t>COST OF CAPITAL SUMMARY - JURISDICTIONAL ADJUSTMENTS</t>
  </si>
  <si>
    <t>ECR RATE BASE</t>
  </si>
  <si>
    <t>DSM RATE BASE</t>
  </si>
  <si>
    <t>(H=E+F+G)</t>
  </si>
  <si>
    <t>REQUIRED RATE OF RETURN ADJUSTED FOR INCOME TAXES</t>
  </si>
  <si>
    <t>SEVENTEEN MONTH AVERAGE</t>
  </si>
  <si>
    <t>17 MONTH AVERAGE AMOUNT</t>
  </si>
  <si>
    <t>17 MONTH AVERAGE WEIGHTED COST</t>
  </si>
  <si>
    <t>PROFORMA ADJUSTMENT RATE BASE</t>
  </si>
  <si>
    <t>REVENUE REQUIREMENT IMPACT</t>
  </si>
  <si>
    <t>YEARS EQUIVALENT TO 16 MONTHS (16/12)</t>
  </si>
  <si>
    <t>Kentucky Utilities Company</t>
  </si>
  <si>
    <t>Excess Deferred Tax Forecast</t>
  </si>
  <si>
    <t>Reg Liab before Gross Up</t>
  </si>
  <si>
    <t>Excess Deferred Amortization</t>
  </si>
  <si>
    <t>Total</t>
  </si>
  <si>
    <t>Electric</t>
  </si>
  <si>
    <t>NOL</t>
  </si>
  <si>
    <t>ECR</t>
  </si>
  <si>
    <t>1/1/18</t>
  </si>
  <si>
    <t>12/31/18</t>
  </si>
  <si>
    <t>2018</t>
  </si>
  <si>
    <t>4/30/19</t>
  </si>
  <si>
    <t>16 Month Period from 01/18 - 04/19</t>
  </si>
  <si>
    <t>Protected Excess Deferreds</t>
  </si>
  <si>
    <t>Unprotected Excess Deferreds</t>
  </si>
  <si>
    <t>Total Excess Deferreds</t>
  </si>
  <si>
    <t>TOTAL</t>
  </si>
  <si>
    <t>KY Juris</t>
  </si>
  <si>
    <t>Jurisdictional Factor (ADIT)</t>
  </si>
  <si>
    <t>Kentucky Utilities</t>
  </si>
  <si>
    <t>Test Year Total</t>
  </si>
  <si>
    <t>Sch M-2.3/
Sch M-2.2 Totals</t>
  </si>
  <si>
    <t>Difference</t>
  </si>
  <si>
    <t>Non Plant Related Excess Deferred Taxes</t>
  </si>
  <si>
    <t>Description</t>
  </si>
  <si>
    <t>Cumulative Timing Difference</t>
  </si>
  <si>
    <t>Deferred Tax Balance at Old Rates</t>
  </si>
  <si>
    <t>Deferred Tax Balance at New Rates</t>
  </si>
  <si>
    <t>Excess Deferred Taxes</t>
  </si>
  <si>
    <t>2008 Wind Storm Damages</t>
  </si>
  <si>
    <t>2009 Winter Storm Damages</t>
  </si>
  <si>
    <t>Amortization Loss on Reacquired Debt</t>
  </si>
  <si>
    <t>Bad Debts Reserves</t>
  </si>
  <si>
    <t>CAFC</t>
  </si>
  <si>
    <t>CCR ARO Ponds</t>
  </si>
  <si>
    <t>CMRG Regulatory Asset</t>
  </si>
  <si>
    <t>Contingency Reserve</t>
  </si>
  <si>
    <t>Deferred Rent Payable</t>
  </si>
  <si>
    <t>Demand Side Management</t>
  </si>
  <si>
    <t>Emission Allowances</t>
  </si>
  <si>
    <t>Environmental Cost Recovery - Current</t>
  </si>
  <si>
    <t>FAC Under Recovery KY</t>
  </si>
  <si>
    <t>FAS 106 Cost Write-Off (Post Retirement)</t>
  </si>
  <si>
    <t>FAS 112 Cost Write-Off (Post Employment)</t>
  </si>
  <si>
    <t>FAS 87 Pensions</t>
  </si>
  <si>
    <t>Green River Regulatory Asset</t>
  </si>
  <si>
    <t>Interest Rate Swaps</t>
  </si>
  <si>
    <t>Muni True-up - Reg Asset</t>
  </si>
  <si>
    <t>Off-System Sales Tracker - Reg Liab</t>
  </si>
  <si>
    <t>Over/Under Accrual FICA</t>
  </si>
  <si>
    <t>Over/Under Accrual of PSC Tax</t>
  </si>
  <si>
    <t>Over/Under Accrual of UN/INS</t>
  </si>
  <si>
    <t>Performance Incentive</t>
  </si>
  <si>
    <t xml:space="preserve">Plant Outage Normalization - Reg Liability </t>
  </si>
  <si>
    <t>Refined Coal - KY - Reg Liab</t>
  </si>
  <si>
    <t>Refined Coal - VA - Reg Liab</t>
  </si>
  <si>
    <t>Regulatory Expenses</t>
  </si>
  <si>
    <t>Research Dev. &amp; Demo Exp.</t>
  </si>
  <si>
    <t>State Tax Current</t>
  </si>
  <si>
    <t>Tenant Incentive Amortization</t>
  </si>
  <si>
    <t>VA over/under Recovery Fuel Clause - Current</t>
  </si>
  <si>
    <t>Vacation Pay</t>
  </si>
  <si>
    <t>Workers Compensation</t>
  </si>
  <si>
    <t>NOTES:</t>
  </si>
  <si>
    <t>ENERGY BILLING UNITS (TY KWH / 12 MO x 13 MO)</t>
  </si>
  <si>
    <t>(F)  "JURISDICTIONAL RATE BASE PERCENTAGE IS PER CASE NO. 2016-00370.</t>
  </si>
  <si>
    <t>AMORTIZATION OF EXCESS ADIT (UNPROTECTED) - (SL OVER 15 YEARS)</t>
  </si>
  <si>
    <t>AMORTIZATION OF EXCESS ADIT (PROTECTED) -  ($309,333,049 USING ARAM)</t>
  </si>
  <si>
    <t>BASE RATES</t>
  </si>
  <si>
    <t>MECHANISMS</t>
  </si>
  <si>
    <t>DSM</t>
  </si>
  <si>
    <t>4 Months 2019</t>
  </si>
  <si>
    <t>16 Month Period</t>
  </si>
  <si>
    <t>Protected Deferreds under ARAM</t>
  </si>
  <si>
    <t>Electric - Base</t>
  </si>
  <si>
    <t>Mechanisms</t>
  </si>
  <si>
    <t>REFERENCE</t>
  </si>
  <si>
    <t>ENERGY BILLING UNITS PER MONTH (TY KWH / 12 MO)</t>
  </si>
  <si>
    <t>EMBEDDED COST OF SHORT-TERM DEBT</t>
  </si>
  <si>
    <t>ISSUE</t>
  </si>
  <si>
    <t>AMOUNT OUTSTANDING</t>
  </si>
  <si>
    <t>INTEREST RATE</t>
  </si>
  <si>
    <t>INTEREST REQUIREMENT</t>
  </si>
  <si>
    <t>(D=BxC)</t>
  </si>
  <si>
    <t>Commercial Paper:</t>
  </si>
  <si>
    <t>Weighted Cost of Short-Term Debt</t>
  </si>
  <si>
    <t>EMBEDDED COST OF LONG-TERM DEBT</t>
  </si>
  <si>
    <t>ANNUAL COST</t>
  </si>
  <si>
    <t>DEBT ISSUE TYPE</t>
  </si>
  <si>
    <t>COUPON RATE</t>
  </si>
  <si>
    <t>DATE ISSUED (DAY/MO/YR)</t>
  </si>
  <si>
    <t>MATURITY DATE (DAY/MO/YR)</t>
  </si>
  <si>
    <t>AVERAGE 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</si>
  <si>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</si>
  <si>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</si>
  <si>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</si>
  <si>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</si>
  <si>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</si>
  <si>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</si>
  <si>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</si>
  <si>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</si>
  <si>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</si>
  <si>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(H=D+E-F-G)</t>
  </si>
  <si>
    <t>(I=AxD)</t>
  </si>
  <si>
    <t>(L)</t>
  </si>
  <si>
    <t>(M)</t>
  </si>
  <si>
    <t>(N=I+J+K+L+M)</t>
  </si>
  <si>
    <t xml:space="preserve">Kentucky Utilities_PCB Variable due Feb 1, 2032 </t>
  </si>
  <si>
    <t xml:space="preserve"> Feb. 1, 2032</t>
  </si>
  <si>
    <t xml:space="preserve"> Feb. 1, 2033</t>
  </si>
  <si>
    <t xml:space="preserve">Kentucky Utilities_PCB Variable due Sep 1, 2042 </t>
  </si>
  <si>
    <t>Aug. 25, 2016</t>
  </si>
  <si>
    <t>Sep. 1, 2042</t>
  </si>
  <si>
    <t xml:space="preserve">Kentucky Utilities_PCB 5.75% due Feb 1, 2026 </t>
  </si>
  <si>
    <t xml:space="preserve"> Feb. 1, 2026</t>
  </si>
  <si>
    <t xml:space="preserve">Kentucky Utilities_PCB Variable due Oct 1, 2034 </t>
  </si>
  <si>
    <t>Oct. 20, 2004</t>
  </si>
  <si>
    <t xml:space="preserve"> Oct. 1, 2034</t>
  </si>
  <si>
    <t>Oct. 17, 2008</t>
  </si>
  <si>
    <t>Feb. 23, 2007</t>
  </si>
  <si>
    <t xml:space="preserve">Kentucky Utilities_PCB Variable due May 1, 2023 </t>
  </si>
  <si>
    <t>May 1, 2023</t>
  </si>
  <si>
    <t xml:space="preserve">Kentucky Utilities_PCB  Variable due Feb 1, 2032 </t>
  </si>
  <si>
    <t xml:space="preserve">Kentucky Utilities_PCB 6.0% due Mar 1, 2037 </t>
  </si>
  <si>
    <t>Mar. 1, 2037</t>
  </si>
  <si>
    <t xml:space="preserve">Kentucky Utilities_FMB 3.250% due Nov. 1, 2020 </t>
  </si>
  <si>
    <t>Nov. 16, 2010</t>
  </si>
  <si>
    <t>Nov. 1, 2020</t>
  </si>
  <si>
    <t xml:space="preserve">Kentucky Utilities_FMB 3.300% due Oct. 1, 2025 </t>
  </si>
  <si>
    <t>Sep. 28, 2015</t>
  </si>
  <si>
    <t xml:space="preserve">Kentucky Utilities_FMB 4.375% due Oct. 1, 2045 </t>
  </si>
  <si>
    <t xml:space="preserve">Kentucky Utilities_FMB 4.65% due Nov 15, 2043 </t>
  </si>
  <si>
    <t>Nov. 14, 2013</t>
  </si>
  <si>
    <t>Nov. 15, 2043</t>
  </si>
  <si>
    <t xml:space="preserve">Kentucky Utilities_FMB 5.125% due Nov. 1,  2040 </t>
  </si>
  <si>
    <t>Nov. 1,  2040</t>
  </si>
  <si>
    <t>Revolving Credit Facility</t>
  </si>
  <si>
    <t>L of C Facility</t>
  </si>
  <si>
    <t>Called Bonds</t>
  </si>
  <si>
    <t>2013 30-Year - Swap Hedging FMB - 4.65%</t>
  </si>
  <si>
    <t>2015 10-Year - Swap Hedging FMB -3.30%</t>
  </si>
  <si>
    <t>2015 30-Year - Swap Hedging FMB - 4.375%</t>
  </si>
  <si>
    <t>TOTALS</t>
  </si>
  <si>
    <t>RATE PER MONTH CALCULATIONS:</t>
  </si>
  <si>
    <t>% of Total</t>
  </si>
  <si>
    <t>Based on Rates per June 29, 2017 Order</t>
  </si>
  <si>
    <t>Rates RS, RTOD-D, RTOD-E</t>
  </si>
  <si>
    <t>All Other Rates</t>
  </si>
  <si>
    <t>Total kWh</t>
  </si>
  <si>
    <t>Per PSC Order (6/29/17)</t>
  </si>
  <si>
    <t>Forecasted Test Year Revenues</t>
  </si>
  <si>
    <t>Increase</t>
  </si>
  <si>
    <t>Percentage Increase</t>
  </si>
  <si>
    <t>Tariffed Revenues:</t>
  </si>
  <si>
    <t>Residential Service - RS</t>
  </si>
  <si>
    <t>Residential Time-of-Day Rate - RTOD</t>
  </si>
  <si>
    <t>General Service Rate</t>
  </si>
  <si>
    <t>All Electric School Rate</t>
  </si>
  <si>
    <t xml:space="preserve">Power Service Rate PS - Secondary </t>
  </si>
  <si>
    <t>Power Service Rate PS - Primary</t>
  </si>
  <si>
    <t>Total Power Service</t>
  </si>
  <si>
    <t>Time of Day Secondary Service TODS</t>
  </si>
  <si>
    <t>Time of Day Primary Service TODP</t>
  </si>
  <si>
    <t>Retail Transmission Service -- RTS</t>
  </si>
  <si>
    <t>Fluctuating Load Service Rate FLS</t>
  </si>
  <si>
    <t>Curtailable Service Rider - RTS</t>
  </si>
  <si>
    <t>Curtailable Service Rider - TODP</t>
  </si>
  <si>
    <t>Curtailable Service Riders</t>
  </si>
  <si>
    <t>Lighting Energy -- LE</t>
  </si>
  <si>
    <t>Traffic Lighting Energy -- TE</t>
  </si>
  <si>
    <t>Lighting Service -- LS</t>
  </si>
  <si>
    <t>Restricted Lighting Service -- RLS</t>
  </si>
  <si>
    <t>All Outdoor Lighting -- LS &amp; RLS</t>
  </si>
  <si>
    <t>Schools</t>
  </si>
  <si>
    <t>Total Ultimate Consumers</t>
  </si>
  <si>
    <t>Other Operating Revenues:</t>
  </si>
  <si>
    <t>Late Payment Charges</t>
  </si>
  <si>
    <t>Electric Service Revenue</t>
  </si>
  <si>
    <t>Other Rent from Elec Property</t>
  </si>
  <si>
    <t>Other Miscellaneous Revenue</t>
  </si>
  <si>
    <t>Total Sales</t>
  </si>
  <si>
    <t>Percent of Total</t>
  </si>
  <si>
    <t>Forecasted Test Year Data per KPSC's June 29, 2017 Order</t>
  </si>
  <si>
    <t>OTHER TARIFFS (61% OF TOTAL REVENUES)</t>
  </si>
  <si>
    <t>RESIDENTIAL TARIFF            (39% OF TOTAL REVENUES)</t>
  </si>
  <si>
    <t>Adjustment to Capital Structure - Case No. 2016-00370</t>
  </si>
  <si>
    <t>Adjusted 17 Month Average</t>
  </si>
  <si>
    <t>Total Revenues per Updated Final Order</t>
  </si>
  <si>
    <t>EMBEDDED COST OF LONG-TERM DEBT (N / TOTALS H LESS LINE NO. 23)</t>
  </si>
  <si>
    <t>17 Month Average (D / B)</t>
  </si>
  <si>
    <t>(15 year amort for unprotected - Base)</t>
  </si>
  <si>
    <t>CASE NO. 2018-00034</t>
  </si>
  <si>
    <t>FORECASTED PERIOD (1/1/2018 - 4/30/2019) 35% FEDERAL INCOME TAX RATE</t>
  </si>
  <si>
    <t>FORECASTED PERIOD (1/1/2018 - 4/30/2019) 21% FEDERAL INCOME TAX RATE</t>
  </si>
  <si>
    <t>ATTACHMENT TO RESPONSE TO PSC-3 QUESTION NO. 9(b)</t>
  </si>
  <si>
    <t>COMPUTATION OF COMPOSITE FEDERAL AND STATE INCOME TAX RATE</t>
  </si>
  <si>
    <t>INCOME BEFORE STATE INCOME TAX (LINES 1 - 2 - 3)</t>
  </si>
  <si>
    <t>STATE INCOME TAX (LINE 4 X 6.00%)</t>
  </si>
  <si>
    <t>INCOME BEFORE FEDERAL INCOME TAX (LINES 4 - 5)</t>
  </si>
  <si>
    <t>FEDERAL INCOME TAX (LINE 6 X 21.00%)</t>
  </si>
  <si>
    <t>TOTAL STATE AND FEDERAL INCOME TAXES (LINES 5 + 7)</t>
  </si>
  <si>
    <t>BLAKE</t>
  </si>
  <si>
    <t>Adjustment to Capital Structure - Case NO. 2016-00370</t>
  </si>
  <si>
    <t>Oct. 1, 2045</t>
  </si>
  <si>
    <t>Oct. 1, 2025</t>
  </si>
  <si>
    <t>BASED ON 35% FEDERAL INCOME TAX RATE</t>
  </si>
  <si>
    <t>BASED ON 21% FEDERAL INCOME TAX RATE</t>
  </si>
  <si>
    <t>REQUIRED ANNUAL OPERATING INCOME BEFORE TAXES (LINE 1 x LINE 2)</t>
  </si>
  <si>
    <t xml:space="preserve"> TOTAL REDUCTION IN INCOME TAX EXPENSE (LINE 3 x LINE 4)</t>
  </si>
  <si>
    <t>TOTAL AMORTIZATION OF EXCESS ADIT (LINE 6 + LINE 7)</t>
  </si>
  <si>
    <t>TOTAL REDUCTION IN DEFERRED INCOME TAX EXPENSE (LINE 8 x LINE 9)</t>
  </si>
  <si>
    <t>TOTAL REDUCTION IN REVENUE REQUIREMENTS (LINE 5 + LINE 10)</t>
  </si>
  <si>
    <t>ENERGY CREDIT PER KWH (APRIL 1, 2018 - APRIL 30, 2019) (LINE 11 / LINE 12)</t>
  </si>
  <si>
    <t>TOTAL MONTHLY REDUCTION IN REVENUE REQUIREMENTS (LINE 11 / 16 MO)</t>
  </si>
  <si>
    <t>MONTHLY ENERGY CREDIT PER KWH  (LINE 14 / LINE 15)</t>
  </si>
  <si>
    <t>FEDERAL INCOME TAX (LINE 6 X 35.00%)</t>
  </si>
  <si>
    <t>PAGE 1 OF 9</t>
  </si>
  <si>
    <t>PAGE 2 OF 9</t>
  </si>
  <si>
    <t>PAGE 3 OF 9</t>
  </si>
  <si>
    <t>PAGE 4 OF 9</t>
  </si>
  <si>
    <t>PAGE 5 OF 9</t>
  </si>
  <si>
    <t>PAGE 6 OF 9</t>
  </si>
  <si>
    <t>PAGE 7 OF 9</t>
  </si>
  <si>
    <t>PAGE 8 OF 9</t>
  </si>
  <si>
    <t>COST OF CAPITAL SUMMARY - 35% FEDERAL INCOME TAX RATE</t>
  </si>
  <si>
    <t>COST OF CAPITAL SUMMARY - 21% FEDERAL INCOME TAX RATE</t>
  </si>
  <si>
    <r>
      <t xml:space="preserve">(M)  SEE CALCULATION OF EFFECTIVE TAX RATE, </t>
    </r>
    <r>
      <rPr>
        <b/>
        <sz val="10"/>
        <rFont val="Arial"/>
        <family val="2"/>
      </rPr>
      <t>PAGE 8</t>
    </r>
    <r>
      <rPr>
        <sz val="10"/>
        <rFont val="Arial"/>
        <family val="2"/>
      </rPr>
      <t>.</t>
    </r>
  </si>
  <si>
    <r>
      <t xml:space="preserve">(M)  SEE CALCULATION OF EFFECTIVE TAX RATE, </t>
    </r>
    <r>
      <rPr>
        <b/>
        <sz val="10"/>
        <rFont val="Arial"/>
        <family val="2"/>
      </rPr>
      <t>PAGE 9</t>
    </r>
    <r>
      <rPr>
        <sz val="10"/>
        <rFont val="Arial"/>
        <family val="2"/>
      </rPr>
      <t>.</t>
    </r>
  </si>
  <si>
    <r>
      <t xml:space="preserve">(K)  SEE CALCULATION OF DEBT COST RATES, </t>
    </r>
    <r>
      <rPr>
        <b/>
        <sz val="10"/>
        <rFont val="Arial"/>
        <family val="2"/>
      </rPr>
      <t>PAGES 6 AND 7</t>
    </r>
    <r>
      <rPr>
        <sz val="10"/>
        <rFont val="Arial"/>
        <family val="2"/>
      </rPr>
      <t>.</t>
    </r>
  </si>
  <si>
    <r>
      <t xml:space="preserve">(H)  "JURISDICTIONAL ADJUSTMENTS" REMOVE RATE BASE OF OTHER RATE MECHANISMS, MAINLY ECR. </t>
    </r>
    <r>
      <rPr>
        <b/>
        <sz val="10"/>
        <rFont val="Arial"/>
        <family val="2"/>
      </rPr>
      <t>SEE PAGE 5</t>
    </r>
    <r>
      <rPr>
        <sz val="10"/>
        <rFont val="Arial"/>
        <family val="2"/>
      </rPr>
      <t>.</t>
    </r>
  </si>
  <si>
    <r>
      <t>(D)  "ADJUSTMENT AMOUNTS" REMOVE NON-UTILITY PROPERTY, CONSISTENT WITH CASE NO. 2016-00370.</t>
    </r>
    <r>
      <rPr>
        <b/>
        <sz val="10"/>
        <rFont val="Arial"/>
        <family val="2"/>
      </rPr>
      <t xml:space="preserve"> SEE PAGE 4</t>
    </r>
    <r>
      <rPr>
        <sz val="10"/>
        <rFont val="Arial"/>
        <family val="2"/>
      </rPr>
      <t>.</t>
    </r>
  </si>
  <si>
    <t>PAGE 9 OF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</si>
</sst>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  <numFmt numFmtId="187" formatCode="_(&quot;$&quot;* #,##0_);_(&quot;$&quot;* \(#,##0\);_(&quot;$&quot;* &quot;-&quot;??_);_(@_)"/>
    <numFmt numFmtId="188" formatCode="_(* #,##0.00000_);_(* \(#,##0.00000\);_(* &quot;-&quot;??_);_(@_)"/>
    <numFmt numFmtId="189" formatCode="0.000%"/>
    <numFmt numFmtId="190" formatCode="_(* #,##0.000_);_(* \(#,##0.000\);_(* &quot;-&quot;??_);_(@_)"/>
    <numFmt numFmtId="191" formatCode="0.0%"/>
    <numFmt numFmtId="192" formatCode="0.00000000%"/>
    <numFmt numFmtId="193" formatCode="0.000000000%"/>
  </numFmts>
  <fonts count="1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Accounting"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 val="doubleAccounting"/>
      <sz val="11"/>
      <name val="Calibri"/>
      <family val="2"/>
      <scheme val="minor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 tint="-0.14996795556505021"/>
      </patternFill>
    </fill>
    <fill>
      <patternFill patternType="lightGray">
        <bgColor theme="0" tint="-0.14999847407452621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4654">
    <xf numFmtId="0" fontId="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37" fontId="17" fillId="0" borderId="0"/>
    <xf numFmtId="0" fontId="10" fillId="15" borderId="0"/>
    <xf numFmtId="0" fontId="10" fillId="15" borderId="0"/>
    <xf numFmtId="165" fontId="10" fillId="0" borderId="0"/>
    <xf numFmtId="165" fontId="1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8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8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9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8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9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8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9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8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9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8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9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8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9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9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8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9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0" fillId="21" borderId="0" applyNumberFormat="0" applyBorder="0" applyAlignment="0" applyProtection="0"/>
    <xf numFmtId="166" fontId="21" fillId="24" borderId="0" applyNumberFormat="0" applyBorder="0" applyAlignment="0" applyProtection="0"/>
    <xf numFmtId="166" fontId="21" fillId="24" borderId="0" applyNumberFormat="0" applyBorder="0" applyAlignment="0" applyProtection="0"/>
    <xf numFmtId="166" fontId="21" fillId="24" borderId="0" applyNumberFormat="0" applyBorder="0" applyAlignment="0" applyProtection="0"/>
    <xf numFmtId="0" fontId="20" fillId="25" borderId="0" applyNumberFormat="0" applyBorder="0" applyAlignment="0" applyProtection="0"/>
    <xf numFmtId="166" fontId="21" fillId="17" borderId="0" applyNumberFormat="0" applyBorder="0" applyAlignment="0" applyProtection="0"/>
    <xf numFmtId="166" fontId="21" fillId="17" borderId="0" applyNumberFormat="0" applyBorder="0" applyAlignment="0" applyProtection="0"/>
    <xf numFmtId="166" fontId="21" fillId="17" borderId="0" applyNumberFormat="0" applyBorder="0" applyAlignment="0" applyProtection="0"/>
    <xf numFmtId="0" fontId="20" fillId="26" borderId="0" applyNumberFormat="0" applyBorder="0" applyAlignment="0" applyProtection="0"/>
    <xf numFmtId="166" fontId="21" fillId="27" borderId="0" applyNumberFormat="0" applyBorder="0" applyAlignment="0" applyProtection="0"/>
    <xf numFmtId="166" fontId="21" fillId="27" borderId="0" applyNumberFormat="0" applyBorder="0" applyAlignment="0" applyProtection="0"/>
    <xf numFmtId="166" fontId="21" fillId="27" borderId="0" applyNumberFormat="0" applyBorder="0" applyAlignment="0" applyProtection="0"/>
    <xf numFmtId="0" fontId="20" fillId="23" borderId="0" applyNumberFormat="0" applyBorder="0" applyAlignment="0" applyProtection="0"/>
    <xf numFmtId="166" fontId="21" fillId="19" borderId="0" applyNumberFormat="0" applyBorder="0" applyAlignment="0" applyProtection="0"/>
    <xf numFmtId="166" fontId="21" fillId="19" borderId="0" applyNumberFormat="0" applyBorder="0" applyAlignment="0" applyProtection="0"/>
    <xf numFmtId="166" fontId="21" fillId="19" borderId="0" applyNumberFormat="0" applyBorder="0" applyAlignment="0" applyProtection="0"/>
    <xf numFmtId="0" fontId="20" fillId="21" borderId="0" applyNumberFormat="0" applyBorder="0" applyAlignment="0" applyProtection="0"/>
    <xf numFmtId="166" fontId="21" fillId="24" borderId="0" applyNumberFormat="0" applyBorder="0" applyAlignment="0" applyProtection="0"/>
    <xf numFmtId="166" fontId="21" fillId="24" borderId="0" applyNumberFormat="0" applyBorder="0" applyAlignment="0" applyProtection="0"/>
    <xf numFmtId="166" fontId="21" fillId="24" borderId="0" applyNumberFormat="0" applyBorder="0" applyAlignment="0" applyProtection="0"/>
    <xf numFmtId="0" fontId="20" fillId="17" borderId="0" applyNumberFormat="0" applyBorder="0" applyAlignment="0" applyProtection="0"/>
    <xf numFmtId="166" fontId="21" fillId="20" borderId="0" applyNumberFormat="0" applyBorder="0" applyAlignment="0" applyProtection="0"/>
    <xf numFmtId="166" fontId="21" fillId="20" borderId="0" applyNumberFormat="0" applyBorder="0" applyAlignment="0" applyProtection="0"/>
    <xf numFmtId="166" fontId="21" fillId="20" borderId="0" applyNumberFormat="0" applyBorder="0" applyAlignment="0" applyProtection="0"/>
    <xf numFmtId="0" fontId="20" fillId="28" borderId="0" applyNumberFormat="0" applyBorder="0" applyAlignment="0" applyProtection="0"/>
    <xf numFmtId="166" fontId="21" fillId="29" borderId="0" applyNumberFormat="0" applyBorder="0" applyAlignment="0" applyProtection="0"/>
    <xf numFmtId="166" fontId="21" fillId="29" borderId="0" applyNumberFormat="0" applyBorder="0" applyAlignment="0" applyProtection="0"/>
    <xf numFmtId="166" fontId="21" fillId="29" borderId="0" applyNumberFormat="0" applyBorder="0" applyAlignment="0" applyProtection="0"/>
    <xf numFmtId="0" fontId="20" fillId="25" borderId="0" applyNumberFormat="0" applyBorder="0" applyAlignment="0" applyProtection="0"/>
    <xf numFmtId="166" fontId="21" fillId="30" borderId="0" applyNumberFormat="0" applyBorder="0" applyAlignment="0" applyProtection="0"/>
    <xf numFmtId="166" fontId="21" fillId="30" borderId="0" applyNumberFormat="0" applyBorder="0" applyAlignment="0" applyProtection="0"/>
    <xf numFmtId="166" fontId="21" fillId="30" borderId="0" applyNumberFormat="0" applyBorder="0" applyAlignment="0" applyProtection="0"/>
    <xf numFmtId="0" fontId="20" fillId="26" borderId="0" applyNumberFormat="0" applyBorder="0" applyAlignment="0" applyProtection="0"/>
    <xf numFmtId="166" fontId="21" fillId="31" borderId="0" applyNumberFormat="0" applyBorder="0" applyAlignment="0" applyProtection="0"/>
    <xf numFmtId="166" fontId="21" fillId="31" borderId="0" applyNumberFormat="0" applyBorder="0" applyAlignment="0" applyProtection="0"/>
    <xf numFmtId="166" fontId="21" fillId="31" borderId="0" applyNumberFormat="0" applyBorder="0" applyAlignment="0" applyProtection="0"/>
    <xf numFmtId="0" fontId="20" fillId="32" borderId="0" applyNumberFormat="0" applyBorder="0" applyAlignment="0" applyProtection="0"/>
    <xf numFmtId="166" fontId="21" fillId="32" borderId="0" applyNumberFormat="0" applyBorder="0" applyAlignment="0" applyProtection="0"/>
    <xf numFmtId="166" fontId="21" fillId="32" borderId="0" applyNumberFormat="0" applyBorder="0" applyAlignment="0" applyProtection="0"/>
    <xf numFmtId="166" fontId="21" fillId="32" borderId="0" applyNumberFormat="0" applyBorder="0" applyAlignment="0" applyProtection="0"/>
    <xf numFmtId="0" fontId="20" fillId="29" borderId="0" applyNumberFormat="0" applyBorder="0" applyAlignment="0" applyProtection="0"/>
    <xf numFmtId="166" fontId="21" fillId="29" borderId="0" applyNumberFormat="0" applyBorder="0" applyAlignment="0" applyProtection="0"/>
    <xf numFmtId="166" fontId="21" fillId="29" borderId="0" applyNumberFormat="0" applyBorder="0" applyAlignment="0" applyProtection="0"/>
    <xf numFmtId="166" fontId="21" fillId="29" borderId="0" applyNumberFormat="0" applyBorder="0" applyAlignment="0" applyProtection="0"/>
    <xf numFmtId="0" fontId="20" fillId="30" borderId="0" applyNumberFormat="0" applyBorder="0" applyAlignment="0" applyProtection="0"/>
    <xf numFmtId="166" fontId="21" fillId="25" borderId="0" applyNumberFormat="0" applyBorder="0" applyAlignment="0" applyProtection="0"/>
    <xf numFmtId="166" fontId="21" fillId="25" borderId="0" applyNumberFormat="0" applyBorder="0" applyAlignment="0" applyProtection="0"/>
    <xf numFmtId="166" fontId="21" fillId="25" borderId="0" applyNumberFormat="0" applyBorder="0" applyAlignment="0" applyProtection="0"/>
    <xf numFmtId="0" fontId="22" fillId="33" borderId="0" applyNumberFormat="0" applyBorder="0" applyAlignment="0" applyProtection="0"/>
    <xf numFmtId="166" fontId="23" fillId="23" borderId="0" applyNumberFormat="0" applyBorder="0" applyAlignment="0" applyProtection="0"/>
    <xf numFmtId="166" fontId="23" fillId="23" borderId="0" applyNumberFormat="0" applyBorder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166" fontId="25" fillId="35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166" fontId="25" fillId="35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166" fontId="25" fillId="35" borderId="8" applyNumberFormat="0" applyAlignment="0" applyProtection="0"/>
    <xf numFmtId="0" fontId="24" fillId="34" borderId="8" applyNumberFormat="0" applyAlignment="0" applyProtection="0"/>
    <xf numFmtId="166" fontId="25" fillId="35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6" fillId="36" borderId="9" applyNumberFormat="0" applyAlignment="0" applyProtection="0"/>
    <xf numFmtId="166" fontId="27" fillId="36" borderId="9" applyNumberFormat="0" applyAlignment="0" applyProtection="0"/>
    <xf numFmtId="166" fontId="27" fillId="36" borderId="9" applyNumberFormat="0" applyAlignment="0" applyProtection="0"/>
    <xf numFmtId="167" fontId="28" fillId="0" borderId="10" applyBorder="0">
      <alignment horizontal="center" vertical="center"/>
    </xf>
    <xf numFmtId="168" fontId="27" fillId="37" borderId="0">
      <alignment horizontal="left"/>
    </xf>
    <xf numFmtId="0" fontId="27" fillId="37" borderId="0">
      <alignment horizontal="left"/>
    </xf>
    <xf numFmtId="166" fontId="27" fillId="37" borderId="0">
      <alignment horizontal="left"/>
    </xf>
    <xf numFmtId="168" fontId="29" fillId="37" borderId="0">
      <alignment horizontal="right"/>
    </xf>
    <xf numFmtId="0" fontId="29" fillId="37" borderId="0">
      <alignment horizontal="right"/>
    </xf>
    <xf numFmtId="166" fontId="29" fillId="37" borderId="0">
      <alignment horizontal="right"/>
    </xf>
    <xf numFmtId="168" fontId="30" fillId="34" borderId="0">
      <alignment horizontal="center"/>
    </xf>
    <xf numFmtId="0" fontId="30" fillId="34" borderId="0">
      <alignment horizontal="center"/>
    </xf>
    <xf numFmtId="166" fontId="30" fillId="34" borderId="0">
      <alignment horizontal="center"/>
    </xf>
    <xf numFmtId="168" fontId="29" fillId="37" borderId="0">
      <alignment horizontal="right"/>
    </xf>
    <xf numFmtId="0" fontId="29" fillId="37" borderId="0">
      <alignment horizontal="right"/>
    </xf>
    <xf numFmtId="166" fontId="29" fillId="37" borderId="0">
      <alignment horizontal="right"/>
    </xf>
    <xf numFmtId="168" fontId="31" fillId="34" borderId="0">
      <alignment horizontal="left"/>
    </xf>
    <xf numFmtId="0" fontId="31" fillId="34" borderId="0">
      <alignment horizontal="left"/>
    </xf>
    <xf numFmtId="166" fontId="31" fillId="34" borderId="0">
      <alignment horizontal="left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37" fontId="10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1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38" borderId="11" applyNumberFormat="0" applyFont="0" applyAlignment="0">
      <protection locked="0"/>
    </xf>
    <xf numFmtId="0" fontId="10" fillId="38" borderId="11" applyNumberFormat="0" applyFont="0" applyAlignment="0">
      <protection locked="0"/>
    </xf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9" fillId="0" borderId="0" applyProtection="0"/>
    <xf numFmtId="166" fontId="9" fillId="0" borderId="0" applyProtection="0"/>
    <xf numFmtId="0" fontId="37" fillId="0" borderId="0" applyProtection="0"/>
    <xf numFmtId="166" fontId="37" fillId="0" borderId="0" applyProtection="0"/>
    <xf numFmtId="0" fontId="38" fillId="0" borderId="0" applyProtection="0"/>
    <xf numFmtId="166" fontId="38" fillId="0" borderId="0" applyProtection="0"/>
    <xf numFmtId="0" fontId="8" fillId="0" borderId="0" applyProtection="0"/>
    <xf numFmtId="166" fontId="8" fillId="0" borderId="0" applyProtection="0"/>
    <xf numFmtId="166" fontId="8" fillId="0" borderId="0" applyProtection="0"/>
    <xf numFmtId="0" fontId="10" fillId="0" borderId="0" applyProtection="0"/>
    <xf numFmtId="0" fontId="10" fillId="0" borderId="0" applyProtection="0"/>
    <xf numFmtId="166" fontId="10" fillId="0" borderId="0" applyProtection="0"/>
    <xf numFmtId="166" fontId="10" fillId="0" borderId="0" applyProtection="0"/>
    <xf numFmtId="0" fontId="9" fillId="0" borderId="0" applyProtection="0"/>
    <xf numFmtId="166" fontId="9" fillId="0" borderId="0" applyProtection="0"/>
    <xf numFmtId="0" fontId="39" fillId="0" borderId="0" applyProtection="0"/>
    <xf numFmtId="166" fontId="39" fillId="0" borderId="0" applyProtection="0"/>
    <xf numFmtId="2" fontId="15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40" fillId="21" borderId="0" applyNumberFormat="0" applyBorder="0" applyAlignment="0" applyProtection="0"/>
    <xf numFmtId="166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41" fillId="0" borderId="12" applyNumberFormat="0" applyFill="0" applyAlignment="0" applyProtection="0"/>
    <xf numFmtId="166" fontId="42" fillId="0" borderId="13" applyNumberFormat="0" applyFill="0" applyAlignment="0" applyProtection="0"/>
    <xf numFmtId="0" fontId="12" fillId="0" borderId="4" applyNumberFormat="0" applyFill="0" applyAlignment="0" applyProtection="0"/>
    <xf numFmtId="166" fontId="42" fillId="0" borderId="13" applyNumberFormat="0" applyFill="0" applyAlignment="0" applyProtection="0"/>
    <xf numFmtId="0" fontId="43" fillId="0" borderId="14" applyNumberFormat="0" applyFill="0" applyAlignment="0" applyProtection="0"/>
    <xf numFmtId="166" fontId="44" fillId="0" borderId="15" applyNumberFormat="0" applyFill="0" applyAlignment="0" applyProtection="0"/>
    <xf numFmtId="0" fontId="13" fillId="0" borderId="5" applyNumberFormat="0" applyFill="0" applyAlignment="0" applyProtection="0"/>
    <xf numFmtId="166" fontId="44" fillId="0" borderId="15" applyNumberFormat="0" applyFill="0" applyAlignment="0" applyProtection="0"/>
    <xf numFmtId="0" fontId="45" fillId="0" borderId="16" applyNumberFormat="0" applyFill="0" applyAlignment="0" applyProtection="0"/>
    <xf numFmtId="166" fontId="46" fillId="0" borderId="17" applyNumberFormat="0" applyFill="0" applyAlignment="0" applyProtection="0"/>
    <xf numFmtId="166" fontId="46" fillId="0" borderId="17" applyNumberFormat="0" applyFill="0" applyAlignment="0" applyProtection="0"/>
    <xf numFmtId="166" fontId="46" fillId="0" borderId="17" applyNumberFormat="0" applyFill="0" applyAlignment="0" applyProtection="0"/>
    <xf numFmtId="166" fontId="46" fillId="0" borderId="17" applyNumberFormat="0" applyFill="0" applyAlignment="0" applyProtection="0"/>
    <xf numFmtId="166" fontId="46" fillId="0" borderId="17" applyNumberFormat="0" applyFill="0" applyAlignment="0" applyProtection="0"/>
    <xf numFmtId="0" fontId="45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8" fontId="47" fillId="0" borderId="0" applyNumberFormat="0" applyFill="0" applyBorder="0" applyAlignment="0" applyProtection="0">
      <alignment vertical="top"/>
      <protection locked="0"/>
    </xf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166" fontId="49" fillId="20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166" fontId="49" fillId="20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166" fontId="49" fillId="20" borderId="8" applyNumberFormat="0" applyAlignment="0" applyProtection="0"/>
    <xf numFmtId="0" fontId="48" fillId="22" borderId="8" applyNumberFormat="0" applyAlignment="0" applyProtection="0"/>
    <xf numFmtId="166" fontId="49" fillId="20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168" fontId="27" fillId="37" borderId="0">
      <alignment horizontal="left"/>
    </xf>
    <xf numFmtId="0" fontId="27" fillId="37" borderId="0">
      <alignment horizontal="left"/>
    </xf>
    <xf numFmtId="166" fontId="27" fillId="37" borderId="0">
      <alignment horizontal="left"/>
    </xf>
    <xf numFmtId="168" fontId="50" fillId="34" borderId="0">
      <alignment horizontal="left"/>
    </xf>
    <xf numFmtId="0" fontId="50" fillId="34" borderId="0">
      <alignment horizontal="left"/>
    </xf>
    <xf numFmtId="0" fontId="50" fillId="34" borderId="0">
      <alignment horizontal="left"/>
    </xf>
    <xf numFmtId="166" fontId="50" fillId="34" borderId="0">
      <alignment horizontal="left"/>
    </xf>
    <xf numFmtId="0" fontId="51" fillId="0" borderId="18" applyNumberFormat="0" applyFill="0" applyAlignment="0" applyProtection="0"/>
    <xf numFmtId="166" fontId="52" fillId="0" borderId="19" applyNumberFormat="0" applyFill="0" applyAlignment="0" applyProtection="0"/>
    <xf numFmtId="166" fontId="52" fillId="0" borderId="19" applyNumberFormat="0" applyFill="0" applyAlignment="0" applyProtection="0"/>
    <xf numFmtId="0" fontId="53" fillId="22" borderId="0" applyNumberFormat="0" applyBorder="0" applyAlignment="0" applyProtection="0"/>
    <xf numFmtId="166" fontId="54" fillId="22" borderId="0" applyNumberFormat="0" applyBorder="0" applyAlignment="0" applyProtection="0"/>
    <xf numFmtId="166" fontId="54" fillId="22" borderId="0" applyNumberFormat="0" applyBorder="0" applyAlignment="0" applyProtection="0"/>
    <xf numFmtId="168" fontId="10" fillId="0" borderId="0"/>
    <xf numFmtId="0" fontId="10" fillId="0" borderId="0"/>
    <xf numFmtId="166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166" fontId="10" fillId="0" borderId="0"/>
    <xf numFmtId="165" fontId="10" fillId="0" borderId="0"/>
    <xf numFmtId="165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66" fontId="10" fillId="0" borderId="0"/>
    <xf numFmtId="0" fontId="10" fillId="0" borderId="0"/>
    <xf numFmtId="165" fontId="10" fillId="0" borderId="0"/>
    <xf numFmtId="165" fontId="10" fillId="0" borderId="0"/>
    <xf numFmtId="165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166" fontId="10" fillId="0" borderId="0"/>
    <xf numFmtId="0" fontId="10" fillId="0" borderId="0"/>
    <xf numFmtId="0" fontId="19" fillId="0" borderId="0"/>
    <xf numFmtId="171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171" fontId="10" fillId="0" borderId="0"/>
    <xf numFmtId="0" fontId="7" fillId="0" borderId="0"/>
    <xf numFmtId="0" fontId="10" fillId="0" borderId="0"/>
    <xf numFmtId="171" fontId="7" fillId="0" borderId="0"/>
    <xf numFmtId="165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166" fontId="10" fillId="0" borderId="0"/>
    <xf numFmtId="37" fontId="37" fillId="0" borderId="0"/>
    <xf numFmtId="0" fontId="7" fillId="0" borderId="0"/>
    <xf numFmtId="0" fontId="7" fillId="0" borderId="0"/>
    <xf numFmtId="0" fontId="33" fillId="0" borderId="0"/>
    <xf numFmtId="37" fontId="17" fillId="0" borderId="0"/>
    <xf numFmtId="168" fontId="10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0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0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0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0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9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2" borderId="6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2" borderId="6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7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56" fillId="34" borderId="21" applyNumberFormat="0" applyAlignment="0" applyProtection="0"/>
    <xf numFmtId="0" fontId="56" fillId="34" borderId="21" applyNumberFormat="0" applyAlignment="0" applyProtection="0"/>
    <xf numFmtId="0" fontId="7" fillId="0" borderId="0"/>
    <xf numFmtId="0" fontId="56" fillId="34" borderId="21" applyNumberFormat="0" applyAlignment="0" applyProtection="0"/>
    <xf numFmtId="0" fontId="56" fillId="34" borderId="21" applyNumberFormat="0" applyAlignment="0" applyProtection="0"/>
    <xf numFmtId="0" fontId="56" fillId="34" borderId="21" applyNumberFormat="0" applyAlignment="0" applyProtection="0"/>
    <xf numFmtId="0" fontId="56" fillId="34" borderId="21" applyNumberFormat="0" applyAlignment="0" applyProtection="0"/>
    <xf numFmtId="0" fontId="56" fillId="34" borderId="21" applyNumberFormat="0" applyAlignment="0" applyProtection="0"/>
    <xf numFmtId="0" fontId="7" fillId="0" borderId="0"/>
    <xf numFmtId="0" fontId="7" fillId="0" borderId="0"/>
    <xf numFmtId="0" fontId="7" fillId="0" borderId="0"/>
    <xf numFmtId="172" fontId="57" fillId="34" borderId="0">
      <alignment horizontal="right"/>
    </xf>
    <xf numFmtId="40" fontId="58" fillId="40" borderId="0">
      <alignment horizontal="right"/>
    </xf>
    <xf numFmtId="4" fontId="57" fillId="40" borderId="0">
      <alignment horizontal="right"/>
    </xf>
    <xf numFmtId="0" fontId="7" fillId="0" borderId="0"/>
    <xf numFmtId="40" fontId="58" fillId="40" borderId="0">
      <alignment horizontal="right"/>
    </xf>
    <xf numFmtId="168" fontId="59" fillId="41" borderId="0">
      <alignment horizontal="center"/>
    </xf>
    <xf numFmtId="0" fontId="60" fillId="40" borderId="0">
      <alignment horizontal="right"/>
    </xf>
    <xf numFmtId="0" fontId="7" fillId="0" borderId="0"/>
    <xf numFmtId="0" fontId="59" fillId="40" borderId="0">
      <alignment horizontal="center" vertical="center"/>
    </xf>
    <xf numFmtId="0" fontId="7" fillId="0" borderId="0"/>
    <xf numFmtId="0" fontId="60" fillId="40" borderId="0">
      <alignment horizontal="right"/>
    </xf>
    <xf numFmtId="168" fontId="27" fillId="42" borderId="0"/>
    <xf numFmtId="0" fontId="61" fillId="40" borderId="10"/>
    <xf numFmtId="0" fontId="50" fillId="40" borderId="10"/>
    <xf numFmtId="0" fontId="7" fillId="0" borderId="0"/>
    <xf numFmtId="0" fontId="50" fillId="40" borderId="10"/>
    <xf numFmtId="0" fontId="7" fillId="0" borderId="0"/>
    <xf numFmtId="0" fontId="61" fillId="40" borderId="10"/>
    <xf numFmtId="168" fontId="62" fillId="34" borderId="0" applyBorder="0">
      <alignment horizontal="centerContinuous"/>
    </xf>
    <xf numFmtId="0" fontId="61" fillId="0" borderId="0" applyBorder="0">
      <alignment horizontal="centerContinuous"/>
    </xf>
    <xf numFmtId="0" fontId="7" fillId="0" borderId="0"/>
    <xf numFmtId="0" fontId="59" fillId="40" borderId="0" applyBorder="0">
      <alignment horizontal="centerContinuous"/>
    </xf>
    <xf numFmtId="0" fontId="7" fillId="0" borderId="0"/>
    <xf numFmtId="0" fontId="61" fillId="0" borderId="0" applyBorder="0">
      <alignment horizontal="centerContinuous"/>
    </xf>
    <xf numFmtId="168" fontId="63" fillId="42" borderId="0" applyBorder="0">
      <alignment horizontal="centerContinuous"/>
    </xf>
    <xf numFmtId="0" fontId="64" fillId="0" borderId="0" applyBorder="0">
      <alignment horizontal="centerContinuous"/>
    </xf>
    <xf numFmtId="0" fontId="7" fillId="0" borderId="0"/>
    <xf numFmtId="0" fontId="65" fillId="40" borderId="0" applyBorder="0">
      <alignment horizontal="centerContinuous"/>
    </xf>
    <xf numFmtId="0" fontId="7" fillId="0" borderId="0"/>
    <xf numFmtId="0" fontId="64" fillId="0" borderId="0" applyBorder="0">
      <alignment horizontal="centerContinuous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67" fillId="0" borderId="3">
      <alignment horizontal="center"/>
    </xf>
    <xf numFmtId="3" fontId="66" fillId="0" borderId="0" applyFont="0" applyFill="0" applyBorder="0" applyAlignment="0" applyProtection="0"/>
    <xf numFmtId="0" fontId="66" fillId="43" borderId="0" applyNumberFormat="0" applyFont="0" applyBorder="0" applyAlignment="0" applyProtection="0"/>
    <xf numFmtId="168" fontId="50" fillId="22" borderId="0">
      <alignment horizontal="center"/>
    </xf>
    <xf numFmtId="0" fontId="50" fillId="22" borderId="0">
      <alignment horizontal="center"/>
    </xf>
    <xf numFmtId="0" fontId="50" fillId="22" borderId="0">
      <alignment horizontal="center"/>
    </xf>
    <xf numFmtId="0" fontId="7" fillId="0" borderId="0"/>
    <xf numFmtId="49" fontId="68" fillId="34" borderId="0">
      <alignment horizontal="center"/>
    </xf>
    <xf numFmtId="0" fontId="7" fillId="0" borderId="0"/>
    <xf numFmtId="168" fontId="29" fillId="37" borderId="0">
      <alignment horizontal="center"/>
    </xf>
    <xf numFmtId="0" fontId="29" fillId="37" borderId="0">
      <alignment horizontal="center"/>
    </xf>
    <xf numFmtId="0" fontId="7" fillId="0" borderId="0"/>
    <xf numFmtId="168" fontId="29" fillId="37" borderId="0">
      <alignment horizontal="centerContinuous"/>
    </xf>
    <xf numFmtId="0" fontId="29" fillId="37" borderId="0">
      <alignment horizontal="centerContinuous"/>
    </xf>
    <xf numFmtId="0" fontId="7" fillId="0" borderId="0"/>
    <xf numFmtId="168" fontId="69" fillId="34" borderId="0">
      <alignment horizontal="left"/>
    </xf>
    <xf numFmtId="0" fontId="69" fillId="34" borderId="0">
      <alignment horizontal="left"/>
    </xf>
    <xf numFmtId="0" fontId="7" fillId="0" borderId="0"/>
    <xf numFmtId="49" fontId="69" fillId="34" borderId="0">
      <alignment horizontal="center"/>
    </xf>
    <xf numFmtId="0" fontId="7" fillId="0" borderId="0"/>
    <xf numFmtId="168" fontId="27" fillId="37" borderId="0">
      <alignment horizontal="left"/>
    </xf>
    <xf numFmtId="0" fontId="27" fillId="37" borderId="0">
      <alignment horizontal="left"/>
    </xf>
    <xf numFmtId="0" fontId="7" fillId="0" borderId="0"/>
    <xf numFmtId="49" fontId="69" fillId="34" borderId="0">
      <alignment horizontal="left"/>
    </xf>
    <xf numFmtId="0" fontId="7" fillId="0" borderId="0"/>
    <xf numFmtId="168" fontId="27" fillId="37" borderId="0">
      <alignment horizontal="centerContinuous"/>
    </xf>
    <xf numFmtId="0" fontId="27" fillId="37" borderId="0">
      <alignment horizontal="centerContinuous"/>
    </xf>
    <xf numFmtId="0" fontId="7" fillId="0" borderId="0"/>
    <xf numFmtId="168" fontId="27" fillId="37" borderId="0">
      <alignment horizontal="right"/>
    </xf>
    <xf numFmtId="0" fontId="27" fillId="37" borderId="0">
      <alignment horizontal="right"/>
    </xf>
    <xf numFmtId="0" fontId="7" fillId="0" borderId="0"/>
    <xf numFmtId="49" fontId="50" fillId="34" borderId="0">
      <alignment horizontal="left"/>
    </xf>
    <xf numFmtId="49" fontId="50" fillId="34" borderId="0">
      <alignment horizontal="left"/>
    </xf>
    <xf numFmtId="0" fontId="7" fillId="0" borderId="0"/>
    <xf numFmtId="168" fontId="29" fillId="37" borderId="0">
      <alignment horizontal="right"/>
    </xf>
    <xf numFmtId="0" fontId="29" fillId="37" borderId="0">
      <alignment horizontal="right"/>
    </xf>
    <xf numFmtId="0" fontId="7" fillId="0" borderId="0"/>
    <xf numFmtId="168" fontId="69" fillId="20" borderId="0">
      <alignment horizontal="center"/>
    </xf>
    <xf numFmtId="0" fontId="69" fillId="20" borderId="0">
      <alignment horizontal="center"/>
    </xf>
    <xf numFmtId="0" fontId="7" fillId="0" borderId="0"/>
    <xf numFmtId="168" fontId="70" fillId="20" borderId="0">
      <alignment horizontal="center"/>
    </xf>
    <xf numFmtId="0" fontId="70" fillId="20" borderId="0">
      <alignment horizontal="center"/>
    </xf>
    <xf numFmtId="0" fontId="7" fillId="0" borderId="0"/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4" fontId="9" fillId="42" borderId="0" applyNumberFormat="0" applyProtection="0">
      <alignment horizontal="left" vertical="center" indent="1"/>
    </xf>
    <xf numFmtId="4" fontId="9" fillId="42" borderId="0" applyNumberFormat="0" applyProtection="0">
      <alignment horizontal="left" vertical="center" indent="1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9" fillId="49" borderId="0" applyNumberFormat="0" applyProtection="0">
      <alignment horizontal="left" vertical="center" indent="1"/>
    </xf>
    <xf numFmtId="4" fontId="9" fillId="49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68" fillId="50" borderId="0" applyNumberFormat="0" applyProtection="0">
      <alignment horizontal="left" vertical="center" indent="1"/>
    </xf>
    <xf numFmtId="4" fontId="68" fillId="50" borderId="0" applyNumberFormat="0" applyProtection="0">
      <alignment horizontal="left" vertical="center" indent="1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4" fontId="74" fillId="0" borderId="0" applyNumberFormat="0" applyProtection="0">
      <alignment horizontal="left" vertical="center" indent="1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 applyNumberFormat="0" applyFill="0" applyBorder="0" applyAlignment="0" applyProtection="0"/>
    <xf numFmtId="0" fontId="7" fillId="0" borderId="0"/>
    <xf numFmtId="0" fontId="7" fillId="0" borderId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" fillId="0" borderId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" fillId="0" borderId="0"/>
    <xf numFmtId="0" fontId="14" fillId="0" borderId="7" applyNumberFormat="0" applyFill="0" applyAlignment="0" applyProtection="0"/>
    <xf numFmtId="0" fontId="7" fillId="0" borderId="0"/>
    <xf numFmtId="0" fontId="7" fillId="0" borderId="0"/>
    <xf numFmtId="0" fontId="17" fillId="0" borderId="0"/>
    <xf numFmtId="168" fontId="77" fillId="34" borderId="0">
      <alignment horizontal="center"/>
    </xf>
    <xf numFmtId="0" fontId="77" fillId="34" borderId="0">
      <alignment horizontal="center"/>
    </xf>
    <xf numFmtId="0" fontId="7" fillId="0" borderId="0"/>
    <xf numFmtId="0" fontId="5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17" fillId="0" borderId="0" applyFont="0" applyFill="0" applyBorder="0" applyAlignment="0" applyProtection="0"/>
    <xf numFmtId="165" fontId="10" fillId="0" borderId="0"/>
    <xf numFmtId="165" fontId="10" fillId="0" borderId="0"/>
    <xf numFmtId="0" fontId="10" fillId="0" borderId="0"/>
    <xf numFmtId="0" fontId="18" fillId="71" borderId="0" applyNumberFormat="0" applyBorder="0" applyAlignment="0" applyProtection="0"/>
    <xf numFmtId="175" fontId="19" fillId="3" borderId="0" applyNumberFormat="0" applyBorder="0" applyAlignment="0" applyProtection="0"/>
    <xf numFmtId="175" fontId="19" fillId="3" borderId="0" applyNumberFormat="0" applyBorder="0" applyAlignment="0" applyProtection="0"/>
    <xf numFmtId="0" fontId="18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8" fillId="23" borderId="0" applyNumberFormat="0" applyBorder="0" applyAlignment="0" applyProtection="0"/>
    <xf numFmtId="175" fontId="19" fillId="5" borderId="0" applyNumberFormat="0" applyBorder="0" applyAlignment="0" applyProtection="0"/>
    <xf numFmtId="175" fontId="19" fillId="5" borderId="0" applyNumberFormat="0" applyBorder="0" applyAlignment="0" applyProtection="0"/>
    <xf numFmtId="0" fontId="18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8" fillId="39" borderId="0" applyNumberFormat="0" applyBorder="0" applyAlignment="0" applyProtection="0"/>
    <xf numFmtId="175" fontId="19" fillId="7" borderId="0" applyNumberFormat="0" applyBorder="0" applyAlignment="0" applyProtection="0"/>
    <xf numFmtId="175" fontId="19" fillId="7" borderId="0" applyNumberFormat="0" applyBorder="0" applyAlignment="0" applyProtection="0"/>
    <xf numFmtId="0" fontId="18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75" fontId="19" fillId="9" borderId="0" applyNumberFormat="0" applyBorder="0" applyAlignment="0" applyProtection="0"/>
    <xf numFmtId="175" fontId="19" fillId="9" borderId="0" applyNumberFormat="0" applyBorder="0" applyAlignment="0" applyProtection="0"/>
    <xf numFmtId="0" fontId="18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18" fillId="21" borderId="0" applyNumberFormat="0" applyBorder="0" applyAlignment="0" applyProtection="0"/>
    <xf numFmtId="175" fontId="19" fillId="11" borderId="0" applyNumberFormat="0" applyBorder="0" applyAlignment="0" applyProtection="0"/>
    <xf numFmtId="175" fontId="19" fillId="11" borderId="0" applyNumberFormat="0" applyBorder="0" applyAlignment="0" applyProtection="0"/>
    <xf numFmtId="0" fontId="18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8" fillId="20" borderId="0" applyNumberFormat="0" applyBorder="0" applyAlignment="0" applyProtection="0"/>
    <xf numFmtId="175" fontId="19" fillId="13" borderId="0" applyNumberFormat="0" applyBorder="0" applyAlignment="0" applyProtection="0"/>
    <xf numFmtId="175" fontId="19" fillId="13" borderId="0" applyNumberFormat="0" applyBorder="0" applyAlignment="0" applyProtection="0"/>
    <xf numFmtId="0" fontId="18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8" fillId="16" borderId="0" applyNumberFormat="0" applyBorder="0" applyAlignment="0" applyProtection="0"/>
    <xf numFmtId="175" fontId="19" fillId="4" borderId="0" applyNumberFormat="0" applyBorder="0" applyAlignment="0" applyProtection="0"/>
    <xf numFmtId="175" fontId="19" fillId="4" borderId="0" applyNumberFormat="0" applyBorder="0" applyAlignment="0" applyProtection="0"/>
    <xf numFmtId="0" fontId="18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8" fillId="17" borderId="0" applyNumberFormat="0" applyBorder="0" applyAlignment="0" applyProtection="0"/>
    <xf numFmtId="175" fontId="19" fillId="6" borderId="0" applyNumberFormat="0" applyBorder="0" applyAlignment="0" applyProtection="0"/>
    <xf numFmtId="175" fontId="19" fillId="6" borderId="0" applyNumberFormat="0" applyBorder="0" applyAlignment="0" applyProtection="0"/>
    <xf numFmtId="0" fontId="18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8" fillId="38" borderId="0" applyNumberFormat="0" applyBorder="0" applyAlignment="0" applyProtection="0"/>
    <xf numFmtId="175" fontId="19" fillId="8" borderId="0" applyNumberFormat="0" applyBorder="0" applyAlignment="0" applyProtection="0"/>
    <xf numFmtId="175" fontId="19" fillId="8" borderId="0" applyNumberFormat="0" applyBorder="0" applyAlignment="0" applyProtection="0"/>
    <xf numFmtId="0" fontId="18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8" fillId="33" borderId="0" applyNumberFormat="0" applyBorder="0" applyAlignment="0" applyProtection="0"/>
    <xf numFmtId="175" fontId="19" fillId="10" borderId="0" applyNumberFormat="0" applyBorder="0" applyAlignment="0" applyProtection="0"/>
    <xf numFmtId="175" fontId="19" fillId="10" borderId="0" applyNumberFormat="0" applyBorder="0" applyAlignment="0" applyProtection="0"/>
    <xf numFmtId="0" fontId="18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8" fillId="16" borderId="0" applyNumberFormat="0" applyBorder="0" applyAlignment="0" applyProtection="0"/>
    <xf numFmtId="175" fontId="19" fillId="12" borderId="0" applyNumberFormat="0" applyBorder="0" applyAlignment="0" applyProtection="0"/>
    <xf numFmtId="175" fontId="19" fillId="12" borderId="0" applyNumberFormat="0" applyBorder="0" applyAlignment="0" applyProtection="0"/>
    <xf numFmtId="0" fontId="18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8" fillId="26" borderId="0" applyNumberFormat="0" applyBorder="0" applyAlignment="0" applyProtection="0"/>
    <xf numFmtId="175" fontId="19" fillId="14" borderId="0" applyNumberFormat="0" applyBorder="0" applyAlignment="0" applyProtection="0"/>
    <xf numFmtId="175" fontId="19" fillId="14" borderId="0" applyNumberFormat="0" applyBorder="0" applyAlignment="0" applyProtection="0"/>
    <xf numFmtId="0" fontId="18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175" fontId="92" fillId="60" borderId="0" applyNumberFormat="0" applyBorder="0" applyAlignment="0" applyProtection="0"/>
    <xf numFmtId="175" fontId="92" fillId="60" borderId="0" applyNumberFormat="0" applyBorder="0" applyAlignment="0" applyProtection="0"/>
    <xf numFmtId="0" fontId="20" fillId="21" borderId="0" applyNumberFormat="0" applyBorder="0" applyAlignment="0" applyProtection="0"/>
    <xf numFmtId="165" fontId="20" fillId="72" borderId="0" applyNumberFormat="0" applyBorder="0" applyAlignment="0" applyProtection="0"/>
    <xf numFmtId="165" fontId="20" fillId="72" borderId="0" applyNumberFormat="0" applyBorder="0" applyAlignment="0" applyProtection="0"/>
    <xf numFmtId="165" fontId="20" fillId="72" borderId="0" applyNumberFormat="0" applyBorder="0" applyAlignment="0" applyProtection="0"/>
    <xf numFmtId="165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175" fontId="92" fillId="62" borderId="0" applyNumberFormat="0" applyBorder="0" applyAlignment="0" applyProtection="0"/>
    <xf numFmtId="175" fontId="92" fillId="62" borderId="0" applyNumberFormat="0" applyBorder="0" applyAlignment="0" applyProtection="0"/>
    <xf numFmtId="0" fontId="20" fillId="25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175" fontId="92" fillId="64" borderId="0" applyNumberFormat="0" applyBorder="0" applyAlignment="0" applyProtection="0"/>
    <xf numFmtId="175" fontId="92" fillId="64" borderId="0" applyNumberFormat="0" applyBorder="0" applyAlignment="0" applyProtection="0"/>
    <xf numFmtId="0" fontId="20" fillId="26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175" fontId="92" fillId="66" borderId="0" applyNumberFormat="0" applyBorder="0" applyAlignment="0" applyProtection="0"/>
    <xf numFmtId="175" fontId="92" fillId="66" borderId="0" applyNumberFormat="0" applyBorder="0" applyAlignment="0" applyProtection="0"/>
    <xf numFmtId="0" fontId="20" fillId="23" borderId="0" applyNumberFormat="0" applyBorder="0" applyAlignment="0" applyProtection="0"/>
    <xf numFmtId="165" fontId="20" fillId="73" borderId="0" applyNumberFormat="0" applyBorder="0" applyAlignment="0" applyProtection="0"/>
    <xf numFmtId="165" fontId="20" fillId="73" borderId="0" applyNumberFormat="0" applyBorder="0" applyAlignment="0" applyProtection="0"/>
    <xf numFmtId="165" fontId="20" fillId="73" borderId="0" applyNumberFormat="0" applyBorder="0" applyAlignment="0" applyProtection="0"/>
    <xf numFmtId="165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175" fontId="92" fillId="68" borderId="0" applyNumberFormat="0" applyBorder="0" applyAlignment="0" applyProtection="0"/>
    <xf numFmtId="175" fontId="92" fillId="68" borderId="0" applyNumberFormat="0" applyBorder="0" applyAlignment="0" applyProtection="0"/>
    <xf numFmtId="0" fontId="20" fillId="21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175" fontId="92" fillId="70" borderId="0" applyNumberFormat="0" applyBorder="0" applyAlignment="0" applyProtection="0"/>
    <xf numFmtId="175" fontId="92" fillId="70" borderId="0" applyNumberFormat="0" applyBorder="0" applyAlignment="0" applyProtection="0"/>
    <xf numFmtId="0" fontId="20" fillId="17" borderId="0" applyNumberFormat="0" applyBorder="0" applyAlignment="0" applyProtection="0"/>
    <xf numFmtId="165" fontId="20" fillId="48" borderId="0" applyNumberFormat="0" applyBorder="0" applyAlignment="0" applyProtection="0"/>
    <xf numFmtId="165" fontId="20" fillId="48" borderId="0" applyNumberFormat="0" applyBorder="0" applyAlignment="0" applyProtection="0"/>
    <xf numFmtId="165" fontId="20" fillId="48" borderId="0" applyNumberFormat="0" applyBorder="0" applyAlignment="0" applyProtection="0"/>
    <xf numFmtId="165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55" fillId="0" borderId="2" applyBorder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175" fontId="92" fillId="59" borderId="0" applyNumberFormat="0" applyBorder="0" applyAlignment="0" applyProtection="0"/>
    <xf numFmtId="175" fontId="92" fillId="59" borderId="0" applyNumberFormat="0" applyBorder="0" applyAlignment="0" applyProtection="0"/>
    <xf numFmtId="0" fontId="20" fillId="28" borderId="0" applyNumberFormat="0" applyBorder="0" applyAlignment="0" applyProtection="0"/>
    <xf numFmtId="165" fontId="20" fillId="74" borderId="0" applyNumberFormat="0" applyBorder="0" applyAlignment="0" applyProtection="0"/>
    <xf numFmtId="165" fontId="20" fillId="74" borderId="0" applyNumberFormat="0" applyBorder="0" applyAlignment="0" applyProtection="0"/>
    <xf numFmtId="165" fontId="20" fillId="74" borderId="0" applyNumberFormat="0" applyBorder="0" applyAlignment="0" applyProtection="0"/>
    <xf numFmtId="165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175" fontId="92" fillId="61" borderId="0" applyNumberFormat="0" applyBorder="0" applyAlignment="0" applyProtection="0"/>
    <xf numFmtId="175" fontId="92" fillId="61" borderId="0" applyNumberFormat="0" applyBorder="0" applyAlignment="0" applyProtection="0"/>
    <xf numFmtId="0" fontId="20" fillId="25" borderId="0" applyNumberFormat="0" applyBorder="0" applyAlignment="0" applyProtection="0"/>
    <xf numFmtId="165" fontId="20" fillId="30" borderId="0" applyNumberFormat="0" applyBorder="0" applyAlignment="0" applyProtection="0"/>
    <xf numFmtId="165" fontId="20" fillId="30" borderId="0" applyNumberFormat="0" applyBorder="0" applyAlignment="0" applyProtection="0"/>
    <xf numFmtId="165" fontId="20" fillId="30" borderId="0" applyNumberFormat="0" applyBorder="0" applyAlignment="0" applyProtection="0"/>
    <xf numFmtId="165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175" fontId="92" fillId="63" borderId="0" applyNumberFormat="0" applyBorder="0" applyAlignment="0" applyProtection="0"/>
    <xf numFmtId="175" fontId="92" fillId="63" borderId="0" applyNumberFormat="0" applyBorder="0" applyAlignment="0" applyProtection="0"/>
    <xf numFmtId="0" fontId="20" fillId="26" borderId="0" applyNumberFormat="0" applyBorder="0" applyAlignment="0" applyProtection="0"/>
    <xf numFmtId="165" fontId="20" fillId="31" borderId="0" applyNumberFormat="0" applyBorder="0" applyAlignment="0" applyProtection="0"/>
    <xf numFmtId="165" fontId="20" fillId="31" borderId="0" applyNumberFormat="0" applyBorder="0" applyAlignment="0" applyProtection="0"/>
    <xf numFmtId="165" fontId="20" fillId="31" borderId="0" applyNumberFormat="0" applyBorder="0" applyAlignment="0" applyProtection="0"/>
    <xf numFmtId="165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175" fontId="92" fillId="65" borderId="0" applyNumberFormat="0" applyBorder="0" applyAlignment="0" applyProtection="0"/>
    <xf numFmtId="175" fontId="92" fillId="65" borderId="0" applyNumberFormat="0" applyBorder="0" applyAlignment="0" applyProtection="0"/>
    <xf numFmtId="0" fontId="20" fillId="32" borderId="0" applyNumberFormat="0" applyBorder="0" applyAlignment="0" applyProtection="0"/>
    <xf numFmtId="165" fontId="20" fillId="73" borderId="0" applyNumberFormat="0" applyBorder="0" applyAlignment="0" applyProtection="0"/>
    <xf numFmtId="165" fontId="20" fillId="73" borderId="0" applyNumberFormat="0" applyBorder="0" applyAlignment="0" applyProtection="0"/>
    <xf numFmtId="165" fontId="20" fillId="73" borderId="0" applyNumberFormat="0" applyBorder="0" applyAlignment="0" applyProtection="0"/>
    <xf numFmtId="165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175" fontId="92" fillId="67" borderId="0" applyNumberFormat="0" applyBorder="0" applyAlignment="0" applyProtection="0"/>
    <xf numFmtId="175" fontId="92" fillId="67" borderId="0" applyNumberFormat="0" applyBorder="0" applyAlignment="0" applyProtection="0"/>
    <xf numFmtId="0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175" fontId="92" fillId="69" borderId="0" applyNumberFormat="0" applyBorder="0" applyAlignment="0" applyProtection="0"/>
    <xf numFmtId="175" fontId="92" fillId="69" borderId="0" applyNumberFormat="0" applyBorder="0" applyAlignment="0" applyProtection="0"/>
    <xf numFmtId="0" fontId="20" fillId="30" borderId="0" applyNumberFormat="0" applyBorder="0" applyAlignment="0" applyProtection="0"/>
    <xf numFmtId="165" fontId="20" fillId="25" borderId="0" applyNumberFormat="0" applyBorder="0" applyAlignment="0" applyProtection="0"/>
    <xf numFmtId="165" fontId="20" fillId="25" borderId="0" applyNumberFormat="0" applyBorder="0" applyAlignment="0" applyProtection="0"/>
    <xf numFmtId="165" fontId="20" fillId="25" borderId="0" applyNumberFormat="0" applyBorder="0" applyAlignment="0" applyProtection="0"/>
    <xf numFmtId="165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175" fontId="93" fillId="54" borderId="0" applyNumberFormat="0" applyBorder="0" applyAlignment="0" applyProtection="0"/>
    <xf numFmtId="175" fontId="93" fillId="54" borderId="0" applyNumberFormat="0" applyBorder="0" applyAlignment="0" applyProtection="0"/>
    <xf numFmtId="0" fontId="22" fillId="33" borderId="0" applyNumberFormat="0" applyBorder="0" applyAlignment="0" applyProtection="0"/>
    <xf numFmtId="165" fontId="22" fillId="23" borderId="0" applyNumberFormat="0" applyBorder="0" applyAlignment="0" applyProtection="0"/>
    <xf numFmtId="165" fontId="22" fillId="23" borderId="0" applyNumberFormat="0" applyBorder="0" applyAlignment="0" applyProtection="0"/>
    <xf numFmtId="165" fontId="22" fillId="23" borderId="0" applyNumberFormat="0" applyBorder="0" applyAlignment="0" applyProtection="0"/>
    <xf numFmtId="165" fontId="22" fillId="23" borderId="0" applyNumberFormat="0" applyBorder="0" applyAlignment="0" applyProtection="0"/>
    <xf numFmtId="165" fontId="22" fillId="23" borderId="0" applyNumberFormat="0" applyBorder="0" applyAlignment="0" applyProtection="0"/>
    <xf numFmtId="0" fontId="22" fillId="23" borderId="0" applyNumberFormat="0" applyBorder="0" applyAlignment="0" applyProtection="0"/>
    <xf numFmtId="164" fontId="94" fillId="0" borderId="26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6" fillId="36" borderId="9" applyNumberFormat="0" applyAlignment="0" applyProtection="0"/>
    <xf numFmtId="0" fontId="26" fillId="36" borderId="9" applyNumberFormat="0" applyAlignment="0" applyProtection="0"/>
    <xf numFmtId="0" fontId="26" fillId="36" borderId="9" applyNumberFormat="0" applyAlignment="0" applyProtection="0"/>
    <xf numFmtId="0" fontId="26" fillId="36" borderId="9" applyNumberFormat="0" applyAlignment="0" applyProtection="0"/>
    <xf numFmtId="0" fontId="26" fillId="36" borderId="9" applyNumberFormat="0" applyAlignment="0" applyProtection="0"/>
    <xf numFmtId="175" fontId="95" fillId="58" borderId="32" applyNumberFormat="0" applyAlignment="0" applyProtection="0"/>
    <xf numFmtId="175" fontId="95" fillId="58" borderId="32" applyNumberFormat="0" applyAlignment="0" applyProtection="0"/>
    <xf numFmtId="0" fontId="26" fillId="36" borderId="9" applyNumberFormat="0" applyAlignment="0" applyProtection="0"/>
    <xf numFmtId="165" fontId="26" fillId="36" borderId="9" applyNumberFormat="0" applyAlignment="0" applyProtection="0"/>
    <xf numFmtId="165" fontId="26" fillId="36" borderId="9" applyNumberFormat="0" applyAlignment="0" applyProtection="0"/>
    <xf numFmtId="165" fontId="26" fillId="36" borderId="9" applyNumberFormat="0" applyAlignment="0" applyProtection="0"/>
    <xf numFmtId="165" fontId="26" fillId="36" borderId="9" applyNumberFormat="0" applyAlignment="0" applyProtection="0"/>
    <xf numFmtId="165" fontId="26" fillId="36" borderId="9" applyNumberFormat="0" applyAlignment="0" applyProtection="0"/>
    <xf numFmtId="0" fontId="26" fillId="36" borderId="9" applyNumberFormat="0" applyAlignment="0" applyProtection="0"/>
    <xf numFmtId="0" fontId="27" fillId="37" borderId="0">
      <alignment horizontal="left"/>
    </xf>
    <xf numFmtId="168" fontId="27" fillId="37" borderId="0">
      <alignment horizontal="left"/>
    </xf>
    <xf numFmtId="0" fontId="29" fillId="37" borderId="0">
      <alignment horizontal="right"/>
    </xf>
    <xf numFmtId="168" fontId="29" fillId="37" borderId="0">
      <alignment horizontal="right"/>
    </xf>
    <xf numFmtId="0" fontId="30" fillId="34" borderId="0">
      <alignment horizontal="center"/>
    </xf>
    <xf numFmtId="168" fontId="30" fillId="34" borderId="0">
      <alignment horizontal="center"/>
    </xf>
    <xf numFmtId="0" fontId="29" fillId="37" borderId="0">
      <alignment horizontal="right"/>
    </xf>
    <xf numFmtId="168" fontId="29" fillId="37" borderId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75" borderId="0"/>
    <xf numFmtId="3" fontId="10" fillId="75" borderId="0"/>
    <xf numFmtId="3" fontId="10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75" borderId="0"/>
    <xf numFmtId="3" fontId="10" fillId="75" borderId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97" fillId="0" borderId="0"/>
    <xf numFmtId="0" fontId="97" fillId="0" borderId="33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5" fontId="98" fillId="0" borderId="0" applyNumberFormat="0" applyFill="0" applyBorder="0" applyAlignment="0" applyProtection="0"/>
    <xf numFmtId="175" fontId="9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175" fontId="9" fillId="0" borderId="0" applyProtection="0"/>
    <xf numFmtId="175" fontId="9" fillId="0" borderId="0" applyProtection="0"/>
    <xf numFmtId="0" fontId="9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175" fontId="37" fillId="0" borderId="0" applyProtection="0"/>
    <xf numFmtId="175" fontId="37" fillId="0" borderId="0" applyProtection="0"/>
    <xf numFmtId="0" fontId="37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175" fontId="38" fillId="0" borderId="0" applyProtection="0"/>
    <xf numFmtId="175" fontId="38" fillId="0" borderId="0" applyProtection="0"/>
    <xf numFmtId="0" fontId="3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5" fontId="8" fillId="0" borderId="0" applyProtection="0"/>
    <xf numFmtId="175" fontId="8" fillId="0" borderId="0" applyProtection="0"/>
    <xf numFmtId="0" fontId="8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75" fontId="10" fillId="0" borderId="0" applyProtection="0"/>
    <xf numFmtId="175" fontId="10" fillId="0" borderId="0" applyProtection="0"/>
    <xf numFmtId="0" fontId="10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175" fontId="9" fillId="0" borderId="0" applyProtection="0"/>
    <xf numFmtId="175" fontId="9" fillId="0" borderId="0" applyProtection="0"/>
    <xf numFmtId="0" fontId="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75" fontId="39" fillId="0" borderId="0" applyProtection="0"/>
    <xf numFmtId="175" fontId="39" fillId="0" borderId="0" applyProtection="0"/>
    <xf numFmtId="0" fontId="39" fillId="0" borderId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175" fontId="99" fillId="53" borderId="0" applyNumberFormat="0" applyBorder="0" applyAlignment="0" applyProtection="0"/>
    <xf numFmtId="175" fontId="99" fillId="53" borderId="0" applyNumberFormat="0" applyBorder="0" applyAlignment="0" applyProtection="0"/>
    <xf numFmtId="0" fontId="40" fillId="21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175" fontId="101" fillId="0" borderId="4" applyNumberFormat="0" applyFill="0" applyAlignment="0" applyProtection="0"/>
    <xf numFmtId="175" fontId="101" fillId="0" borderId="4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8" fontId="103" fillId="0" borderId="0" applyNumberFormat="0" applyFon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5" fontId="100" fillId="0" borderId="34" applyNumberFormat="0" applyFill="0" applyAlignment="0" applyProtection="0"/>
    <xf numFmtId="165" fontId="100" fillId="0" borderId="34" applyNumberFormat="0" applyFill="0" applyAlignment="0" applyProtection="0"/>
    <xf numFmtId="165" fontId="100" fillId="0" borderId="34" applyNumberFormat="0" applyFill="0" applyAlignment="0" applyProtection="0"/>
    <xf numFmtId="165" fontId="100" fillId="0" borderId="34" applyNumberFormat="0" applyFill="0" applyAlignment="0" applyProtection="0"/>
    <xf numFmtId="165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4" fillId="0" borderId="35" applyNumberFormat="0" applyFill="0" applyAlignment="0" applyProtection="0"/>
    <xf numFmtId="0" fontId="104" fillId="0" borderId="35" applyNumberFormat="0" applyFill="0" applyAlignment="0" applyProtection="0"/>
    <xf numFmtId="0" fontId="104" fillId="0" borderId="35" applyNumberFormat="0" applyFill="0" applyAlignment="0" applyProtection="0"/>
    <xf numFmtId="0" fontId="104" fillId="0" borderId="35" applyNumberFormat="0" applyFill="0" applyAlignment="0" applyProtection="0"/>
    <xf numFmtId="0" fontId="104" fillId="0" borderId="35" applyNumberFormat="0" applyFill="0" applyAlignment="0" applyProtection="0"/>
    <xf numFmtId="175" fontId="105" fillId="0" borderId="5" applyNumberFormat="0" applyFill="0" applyAlignment="0" applyProtection="0"/>
    <xf numFmtId="175" fontId="10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8" fontId="8" fillId="0" borderId="0" applyNumberFormat="0" applyFon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5" fontId="104" fillId="0" borderId="35" applyNumberFormat="0" applyFill="0" applyAlignment="0" applyProtection="0"/>
    <xf numFmtId="165" fontId="104" fillId="0" borderId="35" applyNumberFormat="0" applyFill="0" applyAlignment="0" applyProtection="0"/>
    <xf numFmtId="165" fontId="104" fillId="0" borderId="35" applyNumberFormat="0" applyFill="0" applyAlignment="0" applyProtection="0"/>
    <xf numFmtId="165" fontId="104" fillId="0" borderId="35" applyNumberFormat="0" applyFill="0" applyAlignment="0" applyProtection="0"/>
    <xf numFmtId="165" fontId="104" fillId="0" borderId="35" applyNumberFormat="0" applyFill="0" applyAlignment="0" applyProtection="0"/>
    <xf numFmtId="0" fontId="104" fillId="0" borderId="35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175" fontId="107" fillId="0" borderId="28" applyNumberFormat="0" applyFill="0" applyAlignment="0" applyProtection="0"/>
    <xf numFmtId="175" fontId="107" fillId="0" borderId="28" applyNumberFormat="0" applyFill="0" applyAlignment="0" applyProtection="0"/>
    <xf numFmtId="0" fontId="45" fillId="0" borderId="16" applyNumberFormat="0" applyFill="0" applyAlignment="0" applyProtection="0"/>
    <xf numFmtId="165" fontId="106" fillId="0" borderId="36" applyNumberFormat="0" applyFill="0" applyAlignment="0" applyProtection="0"/>
    <xf numFmtId="165" fontId="106" fillId="0" borderId="36" applyNumberFormat="0" applyFill="0" applyAlignment="0" applyProtection="0"/>
    <xf numFmtId="165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7" fillId="0" borderId="0" applyNumberFormat="0" applyFill="0" applyBorder="0" applyAlignment="0" applyProtection="0"/>
    <xf numFmtId="175" fontId="10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108" fillId="41" borderId="33"/>
    <xf numFmtId="0" fontId="27" fillId="37" borderId="0">
      <alignment horizontal="left"/>
    </xf>
    <xf numFmtId="168" fontId="27" fillId="37" borderId="0">
      <alignment horizontal="left"/>
    </xf>
    <xf numFmtId="0" fontId="50" fillId="34" borderId="0">
      <alignment horizontal="left"/>
    </xf>
    <xf numFmtId="168" fontId="50" fillId="34" borderId="0">
      <alignment horizontal="left"/>
    </xf>
    <xf numFmtId="0" fontId="109" fillId="0" borderId="19" applyNumberFormat="0" applyFill="0" applyAlignment="0" applyProtection="0"/>
    <xf numFmtId="0" fontId="109" fillId="0" borderId="19" applyNumberFormat="0" applyFill="0" applyAlignment="0" applyProtection="0"/>
    <xf numFmtId="0" fontId="109" fillId="0" borderId="19" applyNumberFormat="0" applyFill="0" applyAlignment="0" applyProtection="0"/>
    <xf numFmtId="0" fontId="109" fillId="0" borderId="19" applyNumberFormat="0" applyFill="0" applyAlignment="0" applyProtection="0"/>
    <xf numFmtId="0" fontId="109" fillId="0" borderId="19" applyNumberFormat="0" applyFill="0" applyAlignment="0" applyProtection="0"/>
    <xf numFmtId="175" fontId="110" fillId="0" borderId="31" applyNumberFormat="0" applyFill="0" applyAlignment="0" applyProtection="0"/>
    <xf numFmtId="175" fontId="110" fillId="0" borderId="31" applyNumberFormat="0" applyFill="0" applyAlignment="0" applyProtection="0"/>
    <xf numFmtId="0" fontId="51" fillId="0" borderId="18" applyNumberFormat="0" applyFill="0" applyAlignment="0" applyProtection="0"/>
    <xf numFmtId="165" fontId="109" fillId="0" borderId="19" applyNumberFormat="0" applyFill="0" applyAlignment="0" applyProtection="0"/>
    <xf numFmtId="165" fontId="109" fillId="0" borderId="19" applyNumberFormat="0" applyFill="0" applyAlignment="0" applyProtection="0"/>
    <xf numFmtId="165" fontId="109" fillId="0" borderId="19" applyNumberFormat="0" applyFill="0" applyAlignment="0" applyProtection="0"/>
    <xf numFmtId="165" fontId="109" fillId="0" borderId="19" applyNumberFormat="0" applyFill="0" applyAlignment="0" applyProtection="0"/>
    <xf numFmtId="165" fontId="109" fillId="0" borderId="19" applyNumberFormat="0" applyFill="0" applyAlignment="0" applyProtection="0"/>
    <xf numFmtId="0" fontId="109" fillId="0" borderId="19" applyNumberFormat="0" applyFill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175" fontId="112" fillId="55" borderId="0" applyNumberFormat="0" applyBorder="0" applyAlignment="0" applyProtection="0"/>
    <xf numFmtId="175" fontId="112" fillId="55" borderId="0" applyNumberFormat="0" applyBorder="0" applyAlignment="0" applyProtection="0"/>
    <xf numFmtId="0" fontId="53" fillId="22" borderId="0" applyNumberFormat="0" applyBorder="0" applyAlignment="0" applyProtection="0"/>
    <xf numFmtId="165" fontId="111" fillId="22" borderId="0" applyNumberFormat="0" applyBorder="0" applyAlignment="0" applyProtection="0"/>
    <xf numFmtId="165" fontId="111" fillId="22" borderId="0" applyNumberFormat="0" applyBorder="0" applyAlignment="0" applyProtection="0"/>
    <xf numFmtId="165" fontId="111" fillId="22" borderId="0" applyNumberFormat="0" applyBorder="0" applyAlignment="0" applyProtection="0"/>
    <xf numFmtId="165" fontId="111" fillId="22" borderId="0" applyNumberFormat="0" applyBorder="0" applyAlignment="0" applyProtection="0"/>
    <xf numFmtId="165" fontId="111" fillId="22" borderId="0" applyNumberFormat="0" applyBorder="0" applyAlignment="0" applyProtection="0"/>
    <xf numFmtId="0" fontId="111" fillId="22" borderId="0" applyNumberFormat="0" applyBorder="0" applyAlignment="0" applyProtection="0"/>
    <xf numFmtId="181" fontId="10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0" fillId="0" borderId="0"/>
    <xf numFmtId="0" fontId="10" fillId="0" borderId="0"/>
    <xf numFmtId="168" fontId="10" fillId="0" borderId="0"/>
    <xf numFmtId="165" fontId="10" fillId="0" borderId="0"/>
    <xf numFmtId="0" fontId="10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65" fontId="10" fillId="0" borderId="0"/>
    <xf numFmtId="165" fontId="10" fillId="0" borderId="0"/>
    <xf numFmtId="175" fontId="10" fillId="0" borderId="0"/>
    <xf numFmtId="175" fontId="10" fillId="0" borderId="0"/>
    <xf numFmtId="0" fontId="34" fillId="0" borderId="0"/>
    <xf numFmtId="0" fontId="96" fillId="0" borderId="0"/>
    <xf numFmtId="0" fontId="96" fillId="0" borderId="0"/>
    <xf numFmtId="0" fontId="96" fillId="0" borderId="0"/>
    <xf numFmtId="168" fontId="10" fillId="0" borderId="0"/>
    <xf numFmtId="0" fontId="96" fillId="0" borderId="0"/>
    <xf numFmtId="41" fontId="34" fillId="0" borderId="0"/>
    <xf numFmtId="0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/>
    <xf numFmtId="0" fontId="96" fillId="0" borderId="0"/>
    <xf numFmtId="0" fontId="96" fillId="0" borderId="0"/>
    <xf numFmtId="165" fontId="10" fillId="0" borderId="0"/>
    <xf numFmtId="0" fontId="10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65" fontId="10" fillId="0" borderId="0"/>
    <xf numFmtId="0" fontId="10" fillId="0" borderId="0"/>
    <xf numFmtId="165" fontId="10" fillId="0" borderId="0"/>
    <xf numFmtId="165" fontId="10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65" fontId="10" fillId="0" borderId="0"/>
    <xf numFmtId="168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6" fillId="0" borderId="0"/>
    <xf numFmtId="165" fontId="66" fillId="0" borderId="0"/>
    <xf numFmtId="165" fontId="66" fillId="0" borderId="0"/>
    <xf numFmtId="165" fontId="66" fillId="0" borderId="0"/>
    <xf numFmtId="165" fontId="66" fillId="0" borderId="0"/>
    <xf numFmtId="175" fontId="19" fillId="0" borderId="0"/>
    <xf numFmtId="175" fontId="19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0" fontId="34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165" fontId="10" fillId="0" borderId="0"/>
    <xf numFmtId="0" fontId="19" fillId="0" borderId="0"/>
    <xf numFmtId="165" fontId="10" fillId="0" borderId="0"/>
    <xf numFmtId="165" fontId="66" fillId="0" borderId="0"/>
    <xf numFmtId="165" fontId="66" fillId="0" borderId="0"/>
    <xf numFmtId="165" fontId="66" fillId="0" borderId="0"/>
    <xf numFmtId="165" fontId="6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37" fontId="17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37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/>
    <xf numFmtId="0" fontId="9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/>
    <xf numFmtId="0" fontId="96" fillId="0" borderId="0"/>
    <xf numFmtId="37" fontId="17" fillId="0" borderId="0"/>
    <xf numFmtId="37" fontId="17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37" fontId="17" fillId="0" borderId="0"/>
    <xf numFmtId="0" fontId="6" fillId="0" borderId="0"/>
    <xf numFmtId="0" fontId="10" fillId="0" borderId="0"/>
    <xf numFmtId="37" fontId="17" fillId="0" borderId="0"/>
    <xf numFmtId="0" fontId="6" fillId="0" borderId="0"/>
    <xf numFmtId="0" fontId="6" fillId="0" borderId="0"/>
    <xf numFmtId="0" fontId="6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4" fillId="18" borderId="20" applyNumberFormat="0" applyFont="0" applyAlignment="0" applyProtection="0"/>
    <xf numFmtId="0" fontId="6" fillId="2" borderId="6" applyNumberFormat="0" applyFont="0" applyAlignment="0" applyProtection="0"/>
    <xf numFmtId="0" fontId="34" fillId="18" borderId="20" applyNumberFormat="0" applyFont="0" applyAlignment="0" applyProtection="0"/>
    <xf numFmtId="0" fontId="6" fillId="2" borderId="6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4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4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56" fillId="19" borderId="21" applyNumberFormat="0" applyAlignment="0" applyProtection="0"/>
    <xf numFmtId="0" fontId="56" fillId="19" borderId="21" applyNumberFormat="0" applyAlignment="0" applyProtection="0"/>
    <xf numFmtId="0" fontId="56" fillId="19" borderId="21" applyNumberFormat="0" applyAlignment="0" applyProtection="0"/>
    <xf numFmtId="0" fontId="56" fillId="19" borderId="21" applyNumberFormat="0" applyAlignment="0" applyProtection="0"/>
    <xf numFmtId="0" fontId="56" fillId="19" borderId="21" applyNumberFormat="0" applyAlignment="0" applyProtection="0"/>
    <xf numFmtId="175" fontId="113" fillId="57" borderId="30" applyNumberFormat="0" applyAlignment="0" applyProtection="0"/>
    <xf numFmtId="175" fontId="113" fillId="57" borderId="30" applyNumberFormat="0" applyAlignment="0" applyProtection="0"/>
    <xf numFmtId="0" fontId="56" fillId="34" borderId="21" applyNumberFormat="0" applyAlignment="0" applyProtection="0"/>
    <xf numFmtId="0" fontId="56" fillId="34" borderId="21" applyNumberFormat="0" applyAlignment="0" applyProtection="0"/>
    <xf numFmtId="0" fontId="56" fillId="34" borderId="21" applyNumberFormat="0" applyAlignment="0" applyProtection="0"/>
    <xf numFmtId="0" fontId="56" fillId="34" borderId="21" applyNumberFormat="0" applyAlignment="0" applyProtection="0"/>
    <xf numFmtId="0" fontId="56" fillId="34" borderId="21" applyNumberFormat="0" applyAlignment="0" applyProtection="0"/>
    <xf numFmtId="165" fontId="56" fillId="19" borderId="21" applyNumberFormat="0" applyAlignment="0" applyProtection="0"/>
    <xf numFmtId="165" fontId="56" fillId="19" borderId="21" applyNumberFormat="0" applyAlignment="0" applyProtection="0"/>
    <xf numFmtId="165" fontId="56" fillId="19" borderId="21" applyNumberFormat="0" applyAlignment="0" applyProtection="0"/>
    <xf numFmtId="165" fontId="56" fillId="19" borderId="21" applyNumberFormat="0" applyAlignment="0" applyProtection="0"/>
    <xf numFmtId="165" fontId="56" fillId="19" borderId="21" applyNumberFormat="0" applyAlignment="0" applyProtection="0"/>
    <xf numFmtId="0" fontId="56" fillId="19" borderId="21" applyNumberFormat="0" applyAlignment="0" applyProtection="0"/>
    <xf numFmtId="172" fontId="57" fillId="34" borderId="0">
      <alignment horizontal="right"/>
    </xf>
    <xf numFmtId="40" fontId="58" fillId="40" borderId="0">
      <alignment horizontal="right"/>
    </xf>
    <xf numFmtId="172" fontId="57" fillId="34" borderId="0">
      <alignment horizontal="right"/>
    </xf>
    <xf numFmtId="172" fontId="57" fillId="34" borderId="0">
      <alignment horizontal="right"/>
    </xf>
    <xf numFmtId="4" fontId="57" fillId="40" borderId="0">
      <alignment horizontal="right"/>
    </xf>
    <xf numFmtId="40" fontId="58" fillId="40" borderId="0">
      <alignment horizontal="right"/>
    </xf>
    <xf numFmtId="40" fontId="58" fillId="40" borderId="0">
      <alignment horizontal="right"/>
    </xf>
    <xf numFmtId="4" fontId="57" fillId="40" borderId="0">
      <alignment horizontal="right"/>
    </xf>
    <xf numFmtId="4" fontId="57" fillId="40" borderId="0">
      <alignment horizontal="right"/>
    </xf>
    <xf numFmtId="4" fontId="57" fillId="40" borderId="0">
      <alignment horizontal="right"/>
    </xf>
    <xf numFmtId="172" fontId="57" fillId="34" borderId="0">
      <alignment horizontal="right"/>
    </xf>
    <xf numFmtId="4" fontId="57" fillId="40" borderId="0">
      <alignment horizontal="right"/>
    </xf>
    <xf numFmtId="4" fontId="57" fillId="40" borderId="0">
      <alignment horizontal="right"/>
    </xf>
    <xf numFmtId="4" fontId="57" fillId="40" borderId="0">
      <alignment horizontal="right"/>
    </xf>
    <xf numFmtId="4" fontId="57" fillId="40" borderId="0">
      <alignment horizontal="right"/>
    </xf>
    <xf numFmtId="4" fontId="57" fillId="40" borderId="0">
      <alignment horizontal="right"/>
    </xf>
    <xf numFmtId="4" fontId="57" fillId="40" borderId="0">
      <alignment horizontal="right"/>
    </xf>
    <xf numFmtId="4" fontId="57" fillId="40" borderId="0">
      <alignment horizontal="right"/>
    </xf>
    <xf numFmtId="172" fontId="57" fillId="34" borderId="0">
      <alignment horizontal="right"/>
    </xf>
    <xf numFmtId="172" fontId="57" fillId="34" borderId="0">
      <alignment horizontal="right"/>
    </xf>
    <xf numFmtId="172" fontId="57" fillId="34" borderId="0">
      <alignment horizontal="right"/>
    </xf>
    <xf numFmtId="172" fontId="57" fillId="34" borderId="0">
      <alignment horizontal="right"/>
    </xf>
    <xf numFmtId="172" fontId="57" fillId="34" borderId="0">
      <alignment horizontal="right"/>
    </xf>
    <xf numFmtId="0" fontId="59" fillId="41" borderId="0">
      <alignment horizontal="center"/>
    </xf>
    <xf numFmtId="0" fontId="59" fillId="41" borderId="0">
      <alignment horizontal="center"/>
    </xf>
    <xf numFmtId="168" fontId="59" fillId="41" borderId="0">
      <alignment horizontal="center"/>
    </xf>
    <xf numFmtId="0" fontId="59" fillId="41" borderId="0">
      <alignment horizontal="center"/>
    </xf>
    <xf numFmtId="0" fontId="60" fillId="40" borderId="0">
      <alignment horizontal="right"/>
    </xf>
    <xf numFmtId="0" fontId="60" fillId="40" borderId="0">
      <alignment horizontal="right"/>
    </xf>
    <xf numFmtId="0" fontId="60" fillId="40" borderId="0">
      <alignment horizontal="right"/>
    </xf>
    <xf numFmtId="0" fontId="60" fillId="40" borderId="0">
      <alignment horizontal="right"/>
    </xf>
    <xf numFmtId="0" fontId="60" fillId="40" borderId="0">
      <alignment horizontal="right"/>
    </xf>
    <xf numFmtId="0" fontId="59" fillId="41" borderId="0">
      <alignment horizontal="center"/>
    </xf>
    <xf numFmtId="0" fontId="60" fillId="40" borderId="0">
      <alignment horizontal="right"/>
    </xf>
    <xf numFmtId="0" fontId="60" fillId="40" borderId="0">
      <alignment horizontal="right"/>
    </xf>
    <xf numFmtId="0" fontId="59" fillId="40" borderId="0">
      <alignment horizontal="center" vertical="center"/>
    </xf>
    <xf numFmtId="0" fontId="59" fillId="40" borderId="0">
      <alignment horizontal="center" vertical="center"/>
    </xf>
    <xf numFmtId="0" fontId="59" fillId="40" borderId="0">
      <alignment horizontal="center" vertical="center"/>
    </xf>
    <xf numFmtId="175" fontId="59" fillId="40" borderId="0">
      <alignment horizontal="center" vertical="center"/>
    </xf>
    <xf numFmtId="175" fontId="59" fillId="40" borderId="0">
      <alignment horizontal="center" vertical="center"/>
    </xf>
    <xf numFmtId="0" fontId="27" fillId="42" borderId="0"/>
    <xf numFmtId="0" fontId="27" fillId="42" borderId="0"/>
    <xf numFmtId="168" fontId="27" fillId="42" borderId="0"/>
    <xf numFmtId="165" fontId="61" fillId="40" borderId="10"/>
    <xf numFmtId="0" fontId="50" fillId="40" borderId="10"/>
    <xf numFmtId="0" fontId="27" fillId="42" borderId="0"/>
    <xf numFmtId="0" fontId="61" fillId="40" borderId="10"/>
    <xf numFmtId="0" fontId="61" fillId="40" borderId="10"/>
    <xf numFmtId="0" fontId="61" fillId="40" borderId="10"/>
    <xf numFmtId="0" fontId="61" fillId="40" borderId="10"/>
    <xf numFmtId="0" fontId="61" fillId="40" borderId="10"/>
    <xf numFmtId="0" fontId="27" fillId="42" borderId="0"/>
    <xf numFmtId="165" fontId="61" fillId="40" borderId="10"/>
    <xf numFmtId="0" fontId="61" fillId="40" borderId="10"/>
    <xf numFmtId="0" fontId="61" fillId="40" borderId="10"/>
    <xf numFmtId="0" fontId="50" fillId="40" borderId="10"/>
    <xf numFmtId="0" fontId="50" fillId="40" borderId="10"/>
    <xf numFmtId="0" fontId="50" fillId="40" borderId="10"/>
    <xf numFmtId="175" fontId="50" fillId="40" borderId="10"/>
    <xf numFmtId="175" fontId="50" fillId="40" borderId="10"/>
    <xf numFmtId="0" fontId="62" fillId="34" borderId="0" applyBorder="0">
      <alignment horizontal="centerContinuous"/>
    </xf>
    <xf numFmtId="0" fontId="62" fillId="34" borderId="0" applyBorder="0">
      <alignment horizontal="centerContinuous"/>
    </xf>
    <xf numFmtId="168" fontId="62" fillId="34" borderId="0" applyBorder="0">
      <alignment horizontal="centerContinuous"/>
    </xf>
    <xf numFmtId="0" fontId="62" fillId="34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2" fillId="34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59" fillId="40" borderId="0" applyBorder="0">
      <alignment horizontal="centerContinuous"/>
    </xf>
    <xf numFmtId="0" fontId="59" fillId="40" borderId="0" applyBorder="0">
      <alignment horizontal="centerContinuous"/>
    </xf>
    <xf numFmtId="0" fontId="59" fillId="40" borderId="0" applyBorder="0">
      <alignment horizontal="centerContinuous"/>
    </xf>
    <xf numFmtId="175" fontId="59" fillId="40" borderId="0" applyBorder="0">
      <alignment horizontal="centerContinuous"/>
    </xf>
    <xf numFmtId="175" fontId="59" fillId="40" borderId="0" applyBorder="0">
      <alignment horizontal="centerContinuous"/>
    </xf>
    <xf numFmtId="0" fontId="63" fillId="42" borderId="0" applyBorder="0">
      <alignment horizontal="centerContinuous"/>
    </xf>
    <xf numFmtId="0" fontId="63" fillId="42" borderId="0" applyBorder="0">
      <alignment horizontal="centerContinuous"/>
    </xf>
    <xf numFmtId="168" fontId="63" fillId="42" borderId="0" applyBorder="0">
      <alignment horizontal="centerContinuous"/>
    </xf>
    <xf numFmtId="0" fontId="114" fillId="42" borderId="0" applyBorder="0">
      <alignment horizontal="centerContinuous"/>
    </xf>
    <xf numFmtId="0" fontId="63" fillId="42" borderId="0" applyBorder="0">
      <alignment horizontal="centerContinuous"/>
    </xf>
    <xf numFmtId="0" fontId="64" fillId="0" borderId="0" applyBorder="0">
      <alignment horizontal="centerContinuous"/>
    </xf>
    <xf numFmtId="0" fontId="64" fillId="0" borderId="0" applyBorder="0">
      <alignment horizontal="centerContinuous"/>
    </xf>
    <xf numFmtId="0" fontId="64" fillId="0" borderId="0" applyBorder="0">
      <alignment horizontal="centerContinuous"/>
    </xf>
    <xf numFmtId="0" fontId="64" fillId="0" borderId="0" applyBorder="0">
      <alignment horizontal="centerContinuous"/>
    </xf>
    <xf numFmtId="0" fontId="64" fillId="0" borderId="0" applyBorder="0">
      <alignment horizontal="centerContinuous"/>
    </xf>
    <xf numFmtId="0" fontId="63" fillId="42" borderId="0" applyBorder="0">
      <alignment horizontal="centerContinuous"/>
    </xf>
    <xf numFmtId="0" fontId="64" fillId="0" borderId="0" applyBorder="0">
      <alignment horizontal="centerContinuous"/>
    </xf>
    <xf numFmtId="0" fontId="64" fillId="0" borderId="0" applyBorder="0">
      <alignment horizontal="centerContinuous"/>
    </xf>
    <xf numFmtId="0" fontId="65" fillId="40" borderId="0" applyBorder="0">
      <alignment horizontal="centerContinuous"/>
    </xf>
    <xf numFmtId="0" fontId="65" fillId="40" borderId="0" applyBorder="0">
      <alignment horizontal="centerContinuous"/>
    </xf>
    <xf numFmtId="0" fontId="65" fillId="40" borderId="0" applyBorder="0">
      <alignment horizontal="centerContinuous"/>
    </xf>
    <xf numFmtId="175" fontId="65" fillId="40" borderId="0" applyBorder="0">
      <alignment horizontal="centerContinuous"/>
    </xf>
    <xf numFmtId="175" fontId="65" fillId="40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0" fillId="22" borderId="0">
      <alignment horizontal="center"/>
    </xf>
    <xf numFmtId="168" fontId="50" fillId="22" borderId="0">
      <alignment horizontal="center"/>
    </xf>
    <xf numFmtId="49" fontId="68" fillId="34" borderId="0">
      <alignment horizontal="center"/>
    </xf>
    <xf numFmtId="0" fontId="97" fillId="0" borderId="0"/>
    <xf numFmtId="0" fontId="29" fillId="37" borderId="0">
      <alignment horizontal="center"/>
    </xf>
    <xf numFmtId="168" fontId="29" fillId="37" borderId="0">
      <alignment horizontal="center"/>
    </xf>
    <xf numFmtId="0" fontId="29" fillId="37" borderId="0">
      <alignment horizontal="centerContinuous"/>
    </xf>
    <xf numFmtId="168" fontId="29" fillId="37" borderId="0">
      <alignment horizontal="centerContinuous"/>
    </xf>
    <xf numFmtId="0" fontId="69" fillId="34" borderId="0">
      <alignment horizontal="left"/>
    </xf>
    <xf numFmtId="168" fontId="69" fillId="34" borderId="0">
      <alignment horizontal="left"/>
    </xf>
    <xf numFmtId="49" fontId="69" fillId="34" borderId="0">
      <alignment horizontal="center"/>
    </xf>
    <xf numFmtId="0" fontId="27" fillId="37" borderId="0">
      <alignment horizontal="left"/>
    </xf>
    <xf numFmtId="168" fontId="27" fillId="37" borderId="0">
      <alignment horizontal="left"/>
    </xf>
    <xf numFmtId="49" fontId="69" fillId="34" borderId="0">
      <alignment horizontal="left"/>
    </xf>
    <xf numFmtId="0" fontId="27" fillId="37" borderId="0">
      <alignment horizontal="centerContinuous"/>
    </xf>
    <xf numFmtId="168" fontId="27" fillId="37" borderId="0">
      <alignment horizontal="centerContinuous"/>
    </xf>
    <xf numFmtId="0" fontId="27" fillId="37" borderId="0">
      <alignment horizontal="right"/>
    </xf>
    <xf numFmtId="168" fontId="27" fillId="37" borderId="0">
      <alignment horizontal="right"/>
    </xf>
    <xf numFmtId="49" fontId="50" fillId="34" borderId="0">
      <alignment horizontal="left"/>
    </xf>
    <xf numFmtId="0" fontId="29" fillId="37" borderId="0">
      <alignment horizontal="right"/>
    </xf>
    <xf numFmtId="168" fontId="29" fillId="37" borderId="0">
      <alignment horizontal="right"/>
    </xf>
    <xf numFmtId="0" fontId="69" fillId="20" borderId="0">
      <alignment horizontal="center"/>
    </xf>
    <xf numFmtId="168" fontId="69" fillId="20" borderId="0">
      <alignment horizontal="center"/>
    </xf>
    <xf numFmtId="0" fontId="70" fillId="20" borderId="0">
      <alignment horizontal="center"/>
    </xf>
    <xf numFmtId="168" fontId="70" fillId="20" borderId="0">
      <alignment horizont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71" fillId="44" borderId="23" applyNumberFormat="0" applyProtection="0">
      <alignment vertical="center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6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72" fillId="47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30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72" fillId="48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57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73" fillId="51" borderId="23" applyNumberFormat="0" applyProtection="0">
      <alignment vertical="center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7" fillId="0" borderId="33"/>
    <xf numFmtId="49" fontId="10" fillId="0" borderId="37">
      <alignment horizontal="center" vertical="center"/>
      <protection locked="0"/>
    </xf>
    <xf numFmtId="0" fontId="115" fillId="37" borderId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5" fontId="79" fillId="0" borderId="0" applyNumberFormat="0" applyFill="0" applyBorder="0" applyAlignment="0" applyProtection="0"/>
    <xf numFmtId="175" fontId="7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5" fontId="116" fillId="0" borderId="0" applyNumberFormat="0" applyFill="0" applyBorder="0" applyAlignment="0" applyProtection="0"/>
    <xf numFmtId="165" fontId="116" fillId="0" borderId="0" applyNumberFormat="0" applyFill="0" applyBorder="0" applyAlignment="0" applyProtection="0"/>
    <xf numFmtId="165" fontId="116" fillId="0" borderId="0" applyNumberFormat="0" applyFill="0" applyBorder="0" applyAlignment="0" applyProtection="0"/>
    <xf numFmtId="165" fontId="116" fillId="0" borderId="0" applyNumberFormat="0" applyFill="0" applyBorder="0" applyAlignment="0" applyProtection="0"/>
    <xf numFmtId="165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175" fontId="117" fillId="0" borderId="7" applyNumberFormat="0" applyFill="0" applyAlignment="0" applyProtection="0"/>
    <xf numFmtId="175" fontId="117" fillId="0" borderId="7" applyNumberFormat="0" applyFill="0" applyAlignment="0" applyProtection="0"/>
    <xf numFmtId="0" fontId="10" fillId="0" borderId="39" applyNumberFormat="0" applyFont="0" applyFill="0" applyAlignment="0" applyProtection="0"/>
    <xf numFmtId="0" fontId="10" fillId="0" borderId="39" applyNumberFormat="0" applyFont="0" applyFill="0" applyAlignment="0" applyProtection="0"/>
    <xf numFmtId="168" fontId="15" fillId="0" borderId="40" applyNumberFormat="0" applyFont="0" applyBorder="0" applyAlignment="0" applyProtection="0"/>
    <xf numFmtId="0" fontId="10" fillId="0" borderId="39" applyNumberFormat="0" applyFont="0" applyFill="0" applyAlignment="0" applyProtection="0"/>
    <xf numFmtId="0" fontId="10" fillId="0" borderId="39" applyNumberFormat="0" applyFon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10" fillId="0" borderId="39" applyNumberFormat="0" applyFont="0" applyFill="0" applyAlignment="0" applyProtection="0"/>
    <xf numFmtId="165" fontId="76" fillId="0" borderId="38" applyNumberFormat="0" applyFill="0" applyAlignment="0" applyProtection="0"/>
    <xf numFmtId="168" fontId="15" fillId="0" borderId="40" applyNumberFormat="0" applyFont="0" applyBorder="0" applyAlignment="0" applyProtection="0"/>
    <xf numFmtId="165" fontId="76" fillId="0" borderId="38" applyNumberFormat="0" applyFill="0" applyAlignment="0" applyProtection="0"/>
    <xf numFmtId="165" fontId="76" fillId="0" borderId="38" applyNumberFormat="0" applyFill="0" applyAlignment="0" applyProtection="0"/>
    <xf numFmtId="165" fontId="76" fillId="0" borderId="38" applyNumberFormat="0" applyFill="0" applyAlignment="0" applyProtection="0"/>
    <xf numFmtId="165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108" fillId="0" borderId="41"/>
    <xf numFmtId="0" fontId="108" fillId="0" borderId="33"/>
    <xf numFmtId="0" fontId="17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5" fontId="118" fillId="0" borderId="0" applyNumberFormat="0" applyFill="0" applyBorder="0" applyAlignment="0" applyProtection="0"/>
    <xf numFmtId="175" fontId="1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7" fontId="17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37" fontId="17" fillId="0" borderId="0"/>
    <xf numFmtId="4" fontId="57" fillId="40" borderId="0">
      <alignment horizontal="right"/>
    </xf>
    <xf numFmtId="0" fontId="59" fillId="40" borderId="0">
      <alignment horizontal="center" vertical="center"/>
    </xf>
    <xf numFmtId="0" fontId="50" fillId="40" borderId="10"/>
    <xf numFmtId="0" fontId="59" fillId="40" borderId="0" applyBorder="0">
      <alignment horizontal="centerContinuous"/>
    </xf>
    <xf numFmtId="0" fontId="65" fillId="40" borderId="0" applyBorder="0">
      <alignment horizontal="centerContinuous"/>
    </xf>
    <xf numFmtId="0" fontId="75" fillId="0" borderId="0" applyNumberFormat="0" applyFill="0" applyBorder="0" applyAlignment="0" applyProtection="0"/>
    <xf numFmtId="0" fontId="10" fillId="0" borderId="0"/>
    <xf numFmtId="0" fontId="10" fillId="0" borderId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6" fillId="3" borderId="0" applyNumberFormat="0" applyBorder="0" applyAlignment="0" applyProtection="0"/>
    <xf numFmtId="165" fontId="18" fillId="71" borderId="0" applyNumberFormat="0" applyBorder="0" applyAlignment="0" applyProtection="0"/>
    <xf numFmtId="165" fontId="18" fillId="71" borderId="0" applyNumberFormat="0" applyBorder="0" applyAlignment="0" applyProtection="0"/>
    <xf numFmtId="165" fontId="18" fillId="71" borderId="0" applyNumberFormat="0" applyBorder="0" applyAlignment="0" applyProtection="0"/>
    <xf numFmtId="165" fontId="18" fillId="71" borderId="0" applyNumberFormat="0" applyBorder="0" applyAlignment="0" applyProtection="0"/>
    <xf numFmtId="165" fontId="18" fillId="71" borderId="0" applyNumberFormat="0" applyBorder="0" applyAlignment="0" applyProtection="0"/>
    <xf numFmtId="165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6" fillId="5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6" fillId="7" borderId="0" applyNumberFormat="0" applyBorder="0" applyAlignment="0" applyProtection="0"/>
    <xf numFmtId="165" fontId="18" fillId="39" borderId="0" applyNumberFormat="0" applyBorder="0" applyAlignment="0" applyProtection="0"/>
    <xf numFmtId="165" fontId="18" fillId="39" borderId="0" applyNumberFormat="0" applyBorder="0" applyAlignment="0" applyProtection="0"/>
    <xf numFmtId="165" fontId="18" fillId="39" borderId="0" applyNumberFormat="0" applyBorder="0" applyAlignment="0" applyProtection="0"/>
    <xf numFmtId="165" fontId="18" fillId="39" borderId="0" applyNumberFormat="0" applyBorder="0" applyAlignment="0" applyProtection="0"/>
    <xf numFmtId="165" fontId="18" fillId="39" borderId="0" applyNumberFormat="0" applyBorder="0" applyAlignment="0" applyProtection="0"/>
    <xf numFmtId="165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65" fontId="18" fillId="33" borderId="0" applyNumberFormat="0" applyBorder="0" applyAlignment="0" applyProtection="0"/>
    <xf numFmtId="165" fontId="18" fillId="33" borderId="0" applyNumberFormat="0" applyBorder="0" applyAlignment="0" applyProtection="0"/>
    <xf numFmtId="165" fontId="18" fillId="33" borderId="0" applyNumberFormat="0" applyBorder="0" applyAlignment="0" applyProtection="0"/>
    <xf numFmtId="165" fontId="18" fillId="33" borderId="0" applyNumberFormat="0" applyBorder="0" applyAlignment="0" applyProtection="0"/>
    <xf numFmtId="165" fontId="18" fillId="33" borderId="0" applyNumberFormat="0" applyBorder="0" applyAlignment="0" applyProtection="0"/>
    <xf numFmtId="165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6" fillId="11" borderId="0" applyNumberFormat="0" applyBorder="0" applyAlignment="0" applyProtection="0"/>
    <xf numFmtId="165" fontId="18" fillId="21" borderId="0" applyNumberFormat="0" applyBorder="0" applyAlignment="0" applyProtection="0"/>
    <xf numFmtId="165" fontId="18" fillId="21" borderId="0" applyNumberFormat="0" applyBorder="0" applyAlignment="0" applyProtection="0"/>
    <xf numFmtId="165" fontId="18" fillId="21" borderId="0" applyNumberFormat="0" applyBorder="0" applyAlignment="0" applyProtection="0"/>
    <xf numFmtId="165" fontId="18" fillId="21" borderId="0" applyNumberFormat="0" applyBorder="0" applyAlignment="0" applyProtection="0"/>
    <xf numFmtId="165" fontId="18" fillId="21" borderId="0" applyNumberFormat="0" applyBorder="0" applyAlignment="0" applyProtection="0"/>
    <xf numFmtId="165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6" fillId="13" borderId="0" applyNumberFormat="0" applyBorder="0" applyAlignment="0" applyProtection="0"/>
    <xf numFmtId="165" fontId="18" fillId="20" borderId="0" applyNumberFormat="0" applyBorder="0" applyAlignment="0" applyProtection="0"/>
    <xf numFmtId="165" fontId="18" fillId="20" borderId="0" applyNumberFormat="0" applyBorder="0" applyAlignment="0" applyProtection="0"/>
    <xf numFmtId="165" fontId="18" fillId="20" borderId="0" applyNumberFormat="0" applyBorder="0" applyAlignment="0" applyProtection="0"/>
    <xf numFmtId="165" fontId="18" fillId="20" borderId="0" applyNumberFormat="0" applyBorder="0" applyAlignment="0" applyProtection="0"/>
    <xf numFmtId="165" fontId="18" fillId="20" borderId="0" applyNumberFormat="0" applyBorder="0" applyAlignment="0" applyProtection="0"/>
    <xf numFmtId="165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6" fillId="4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6" fillId="6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6" fillId="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6" fillId="10" borderId="0" applyNumberFormat="0" applyBorder="0" applyAlignment="0" applyProtection="0"/>
    <xf numFmtId="165" fontId="18" fillId="33" borderId="0" applyNumberFormat="0" applyBorder="0" applyAlignment="0" applyProtection="0"/>
    <xf numFmtId="165" fontId="18" fillId="33" borderId="0" applyNumberFormat="0" applyBorder="0" applyAlignment="0" applyProtection="0"/>
    <xf numFmtId="165" fontId="18" fillId="33" borderId="0" applyNumberFormat="0" applyBorder="0" applyAlignment="0" applyProtection="0"/>
    <xf numFmtId="165" fontId="18" fillId="33" borderId="0" applyNumberFormat="0" applyBorder="0" applyAlignment="0" applyProtection="0"/>
    <xf numFmtId="165" fontId="18" fillId="33" borderId="0" applyNumberFormat="0" applyBorder="0" applyAlignment="0" applyProtection="0"/>
    <xf numFmtId="165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6" fillId="12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6" fillId="14" borderId="0" applyNumberFormat="0" applyBorder="0" applyAlignment="0" applyProtection="0"/>
    <xf numFmtId="165" fontId="18" fillId="26" borderId="0" applyNumberFormat="0" applyBorder="0" applyAlignment="0" applyProtection="0"/>
    <xf numFmtId="165" fontId="18" fillId="26" borderId="0" applyNumberFormat="0" applyBorder="0" applyAlignment="0" applyProtection="0"/>
    <xf numFmtId="165" fontId="18" fillId="26" borderId="0" applyNumberFormat="0" applyBorder="0" applyAlignment="0" applyProtection="0"/>
    <xf numFmtId="165" fontId="18" fillId="26" borderId="0" applyNumberFormat="0" applyBorder="0" applyAlignment="0" applyProtection="0"/>
    <xf numFmtId="165" fontId="18" fillId="26" borderId="0" applyNumberFormat="0" applyBorder="0" applyAlignment="0" applyProtection="0"/>
    <xf numFmtId="165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91" fillId="60" borderId="0" applyNumberFormat="0" applyBorder="0" applyAlignment="0" applyProtection="0"/>
    <xf numFmtId="165" fontId="20" fillId="72" borderId="0" applyNumberFormat="0" applyBorder="0" applyAlignment="0" applyProtection="0"/>
    <xf numFmtId="165" fontId="20" fillId="72" borderId="0" applyNumberFormat="0" applyBorder="0" applyAlignment="0" applyProtection="0"/>
    <xf numFmtId="0" fontId="91" fillId="62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0" fontId="91" fillId="64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91" fillId="66" borderId="0" applyNumberFormat="0" applyBorder="0" applyAlignment="0" applyProtection="0"/>
    <xf numFmtId="165" fontId="20" fillId="73" borderId="0" applyNumberFormat="0" applyBorder="0" applyAlignment="0" applyProtection="0"/>
    <xf numFmtId="165" fontId="20" fillId="73" borderId="0" applyNumberFormat="0" applyBorder="0" applyAlignment="0" applyProtection="0"/>
    <xf numFmtId="0" fontId="91" fillId="68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0" fontId="91" fillId="70" borderId="0" applyNumberFormat="0" applyBorder="0" applyAlignment="0" applyProtection="0"/>
    <xf numFmtId="165" fontId="20" fillId="48" borderId="0" applyNumberFormat="0" applyBorder="0" applyAlignment="0" applyProtection="0"/>
    <xf numFmtId="165" fontId="20" fillId="48" borderId="0" applyNumberFormat="0" applyBorder="0" applyAlignment="0" applyProtection="0"/>
    <xf numFmtId="0" fontId="91" fillId="59" borderId="0" applyNumberFormat="0" applyBorder="0" applyAlignment="0" applyProtection="0"/>
    <xf numFmtId="165" fontId="20" fillId="74" borderId="0" applyNumberFormat="0" applyBorder="0" applyAlignment="0" applyProtection="0"/>
    <xf numFmtId="165" fontId="20" fillId="74" borderId="0" applyNumberFormat="0" applyBorder="0" applyAlignment="0" applyProtection="0"/>
    <xf numFmtId="0" fontId="91" fillId="61" borderId="0" applyNumberFormat="0" applyBorder="0" applyAlignment="0" applyProtection="0"/>
    <xf numFmtId="165" fontId="20" fillId="30" borderId="0" applyNumberFormat="0" applyBorder="0" applyAlignment="0" applyProtection="0"/>
    <xf numFmtId="165" fontId="20" fillId="30" borderId="0" applyNumberFormat="0" applyBorder="0" applyAlignment="0" applyProtection="0"/>
    <xf numFmtId="0" fontId="91" fillId="63" borderId="0" applyNumberFormat="0" applyBorder="0" applyAlignment="0" applyProtection="0"/>
    <xf numFmtId="165" fontId="20" fillId="31" borderId="0" applyNumberFormat="0" applyBorder="0" applyAlignment="0" applyProtection="0"/>
    <xf numFmtId="165" fontId="20" fillId="31" borderId="0" applyNumberFormat="0" applyBorder="0" applyAlignment="0" applyProtection="0"/>
    <xf numFmtId="0" fontId="91" fillId="65" borderId="0" applyNumberFormat="0" applyBorder="0" applyAlignment="0" applyProtection="0"/>
    <xf numFmtId="165" fontId="20" fillId="73" borderId="0" applyNumberFormat="0" applyBorder="0" applyAlignment="0" applyProtection="0"/>
    <xf numFmtId="165" fontId="20" fillId="73" borderId="0" applyNumberFormat="0" applyBorder="0" applyAlignment="0" applyProtection="0"/>
    <xf numFmtId="0" fontId="91" fillId="67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0" fontId="91" fillId="69" borderId="0" applyNumberFormat="0" applyBorder="0" applyAlignment="0" applyProtection="0"/>
    <xf numFmtId="165" fontId="20" fillId="25" borderId="0" applyNumberFormat="0" applyBorder="0" applyAlignment="0" applyProtection="0"/>
    <xf numFmtId="165" fontId="20" fillId="25" borderId="0" applyNumberFormat="0" applyBorder="0" applyAlignment="0" applyProtection="0"/>
    <xf numFmtId="0" fontId="82" fillId="54" borderId="0" applyNumberFormat="0" applyBorder="0" applyAlignment="0" applyProtection="0"/>
    <xf numFmtId="165" fontId="22" fillId="23" borderId="0" applyNumberFormat="0" applyBorder="0" applyAlignment="0" applyProtection="0"/>
    <xf numFmtId="0" fontId="120" fillId="19" borderId="8" applyNumberFormat="0" applyAlignment="0" applyProtection="0"/>
    <xf numFmtId="0" fontId="120" fillId="19" borderId="8" applyNumberFormat="0" applyAlignment="0" applyProtection="0"/>
    <xf numFmtId="0" fontId="120" fillId="19" borderId="8" applyNumberFormat="0" applyAlignment="0" applyProtection="0"/>
    <xf numFmtId="0" fontId="120" fillId="19" borderId="8" applyNumberFormat="0" applyAlignment="0" applyProtection="0"/>
    <xf numFmtId="0" fontId="120" fillId="19" borderId="8" applyNumberFormat="0" applyAlignment="0" applyProtection="0"/>
    <xf numFmtId="175" fontId="121" fillId="57" borderId="29" applyNumberFormat="0" applyAlignment="0" applyProtection="0"/>
    <xf numFmtId="175" fontId="121" fillId="57" borderId="29" applyNumberFormat="0" applyAlignment="0" applyProtection="0"/>
    <xf numFmtId="0" fontId="86" fillId="57" borderId="29" applyNumberFormat="0" applyAlignment="0" applyProtection="0"/>
    <xf numFmtId="165" fontId="120" fillId="19" borderId="8" applyNumberFormat="0" applyAlignment="0" applyProtection="0"/>
    <xf numFmtId="165" fontId="120" fillId="19" borderId="8" applyNumberFormat="0" applyAlignment="0" applyProtection="0"/>
    <xf numFmtId="165" fontId="120" fillId="19" borderId="8" applyNumberFormat="0" applyAlignment="0" applyProtection="0"/>
    <xf numFmtId="165" fontId="120" fillId="19" borderId="8" applyNumberFormat="0" applyAlignment="0" applyProtection="0"/>
    <xf numFmtId="165" fontId="120" fillId="19" borderId="8" applyNumberFormat="0" applyAlignment="0" applyProtection="0"/>
    <xf numFmtId="165" fontId="120" fillId="19" borderId="8" applyNumberFormat="0" applyAlignment="0" applyProtection="0"/>
    <xf numFmtId="0" fontId="120" fillId="19" borderId="8" applyNumberFormat="0" applyAlignment="0" applyProtection="0"/>
    <xf numFmtId="0" fontId="88" fillId="58" borderId="32" applyNumberFormat="0" applyAlignment="0" applyProtection="0"/>
    <xf numFmtId="165" fontId="26" fillId="36" borderId="9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81" fillId="53" borderId="0" applyNumberFormat="0" applyBorder="0" applyAlignment="0" applyProtection="0"/>
    <xf numFmtId="165" fontId="40" fillId="39" borderId="0" applyNumberFormat="0" applyBorder="0" applyAlignment="0" applyProtection="0"/>
    <xf numFmtId="0" fontId="80" fillId="0" borderId="28" applyNumberFormat="0" applyFill="0" applyAlignment="0" applyProtection="0"/>
    <xf numFmtId="165" fontId="106" fillId="0" borderId="36" applyNumberFormat="0" applyFill="0" applyAlignment="0" applyProtection="0"/>
    <xf numFmtId="165" fontId="106" fillId="0" borderId="36" applyNumberFormat="0" applyFill="0" applyAlignment="0" applyProtection="0"/>
    <xf numFmtId="165" fontId="106" fillId="0" borderId="36" applyNumberFormat="0" applyFill="0" applyAlignment="0" applyProtection="0"/>
    <xf numFmtId="0" fontId="80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0" fontId="48" fillId="20" borderId="8" applyNumberFormat="0" applyAlignment="0" applyProtection="0"/>
    <xf numFmtId="0" fontId="48" fillId="20" borderId="8" applyNumberFormat="0" applyAlignment="0" applyProtection="0"/>
    <xf numFmtId="0" fontId="48" fillId="20" borderId="8" applyNumberFormat="0" applyAlignment="0" applyProtection="0"/>
    <xf numFmtId="0" fontId="48" fillId="20" borderId="8" applyNumberFormat="0" applyAlignment="0" applyProtection="0"/>
    <xf numFmtId="0" fontId="48" fillId="20" borderId="8" applyNumberFormat="0" applyAlignment="0" applyProtection="0"/>
    <xf numFmtId="175" fontId="122" fillId="56" borderId="29" applyNumberFormat="0" applyAlignment="0" applyProtection="0"/>
    <xf numFmtId="175" fontId="122" fillId="56" borderId="29" applyNumberFormat="0" applyAlignment="0" applyProtection="0"/>
    <xf numFmtId="0" fontId="84" fillId="56" borderId="29" applyNumberFormat="0" applyAlignment="0" applyProtection="0"/>
    <xf numFmtId="165" fontId="48" fillId="20" borderId="8" applyNumberFormat="0" applyAlignment="0" applyProtection="0"/>
    <xf numFmtId="165" fontId="48" fillId="20" borderId="8" applyNumberFormat="0" applyAlignment="0" applyProtection="0"/>
    <xf numFmtId="165" fontId="48" fillId="20" borderId="8" applyNumberFormat="0" applyAlignment="0" applyProtection="0"/>
    <xf numFmtId="165" fontId="48" fillId="20" borderId="8" applyNumberFormat="0" applyAlignment="0" applyProtection="0"/>
    <xf numFmtId="165" fontId="48" fillId="20" borderId="8" applyNumberFormat="0" applyAlignment="0" applyProtection="0"/>
    <xf numFmtId="165" fontId="48" fillId="20" borderId="8" applyNumberFormat="0" applyAlignment="0" applyProtection="0"/>
    <xf numFmtId="0" fontId="48" fillId="20" borderId="8" applyNumberFormat="0" applyAlignment="0" applyProtection="0"/>
    <xf numFmtId="0" fontId="87" fillId="0" borderId="31" applyNumberFormat="0" applyFill="0" applyAlignment="0" applyProtection="0"/>
    <xf numFmtId="165" fontId="109" fillId="0" borderId="19" applyNumberFormat="0" applyFill="0" applyAlignment="0" applyProtection="0"/>
    <xf numFmtId="0" fontId="83" fillId="55" borderId="0" applyNumberFormat="0" applyBorder="0" applyAlignment="0" applyProtection="0"/>
    <xf numFmtId="165" fontId="111" fillId="22" borderId="0" applyNumberFormat="0" applyBorder="0" applyAlignment="0" applyProtection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66" fillId="0" borderId="0"/>
    <xf numFmtId="165" fontId="66" fillId="0" borderId="0"/>
    <xf numFmtId="165" fontId="66" fillId="0" borderId="0"/>
    <xf numFmtId="0" fontId="10" fillId="0" borderId="0"/>
    <xf numFmtId="175" fontId="19" fillId="0" borderId="0"/>
    <xf numFmtId="175" fontId="19" fillId="0" borderId="0"/>
    <xf numFmtId="175" fontId="19" fillId="0" borderId="0"/>
    <xf numFmtId="0" fontId="10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23" fillId="18" borderId="20" applyNumberFormat="0" applyFont="0" applyAlignment="0" applyProtection="0"/>
    <xf numFmtId="0" fontId="123" fillId="18" borderId="20" applyNumberFormat="0" applyFont="0" applyAlignment="0" applyProtection="0"/>
    <xf numFmtId="0" fontId="123" fillId="18" borderId="20" applyNumberFormat="0" applyFont="0" applyAlignment="0" applyProtection="0"/>
    <xf numFmtId="0" fontId="123" fillId="18" borderId="20" applyNumberFormat="0" applyFont="0" applyAlignment="0" applyProtection="0"/>
    <xf numFmtId="0" fontId="123" fillId="18" borderId="20" applyNumberFormat="0" applyFont="0" applyAlignment="0" applyProtection="0"/>
    <xf numFmtId="175" fontId="123" fillId="2" borderId="6" applyNumberFormat="0" applyFont="0" applyAlignment="0" applyProtection="0"/>
    <xf numFmtId="175" fontId="123" fillId="2" borderId="6" applyNumberFormat="0" applyFont="0" applyAlignment="0" applyProtection="0"/>
    <xf numFmtId="175" fontId="123" fillId="2" borderId="6" applyNumberFormat="0" applyFont="0" applyAlignment="0" applyProtection="0"/>
    <xf numFmtId="175" fontId="123" fillId="2" borderId="6" applyNumberFormat="0" applyFont="0" applyAlignment="0" applyProtection="0"/>
    <xf numFmtId="165" fontId="123" fillId="18" borderId="20" applyNumberFormat="0" applyFont="0" applyAlignment="0" applyProtection="0"/>
    <xf numFmtId="175" fontId="123" fillId="2" borderId="6" applyNumberFormat="0" applyFont="0" applyAlignment="0" applyProtection="0"/>
    <xf numFmtId="175" fontId="123" fillId="2" borderId="6" applyNumberFormat="0" applyFont="0" applyAlignment="0" applyProtection="0"/>
    <xf numFmtId="165" fontId="123" fillId="18" borderId="20" applyNumberFormat="0" applyFont="0" applyAlignment="0" applyProtection="0"/>
    <xf numFmtId="175" fontId="123" fillId="2" borderId="6" applyNumberFormat="0" applyFont="0" applyAlignment="0" applyProtection="0"/>
    <xf numFmtId="175" fontId="123" fillId="2" borderId="6" applyNumberFormat="0" applyFont="0" applyAlignment="0" applyProtection="0"/>
    <xf numFmtId="165" fontId="123" fillId="18" borderId="20" applyNumberFormat="0" applyFont="0" applyAlignment="0" applyProtection="0"/>
    <xf numFmtId="175" fontId="123" fillId="2" borderId="6" applyNumberFormat="0" applyFont="0" applyAlignment="0" applyProtection="0"/>
    <xf numFmtId="175" fontId="123" fillId="2" borderId="6" applyNumberFormat="0" applyFont="0" applyAlignment="0" applyProtection="0"/>
    <xf numFmtId="165" fontId="123" fillId="18" borderId="20" applyNumberFormat="0" applyFont="0" applyAlignment="0" applyProtection="0"/>
    <xf numFmtId="175" fontId="123" fillId="2" borderId="6" applyNumberFormat="0" applyFont="0" applyAlignment="0" applyProtection="0"/>
    <xf numFmtId="175" fontId="123" fillId="2" borderId="6" applyNumberFormat="0" applyFont="0" applyAlignment="0" applyProtection="0"/>
    <xf numFmtId="165" fontId="123" fillId="18" borderId="20" applyNumberFormat="0" applyFont="0" applyAlignment="0" applyProtection="0"/>
    <xf numFmtId="175" fontId="123" fillId="2" borderId="6" applyNumberFormat="0" applyFont="0" applyAlignment="0" applyProtection="0"/>
    <xf numFmtId="175" fontId="123" fillId="2" borderId="6" applyNumberFormat="0" applyFont="0" applyAlignment="0" applyProtection="0"/>
    <xf numFmtId="0" fontId="123" fillId="18" borderId="20" applyNumberFormat="0" applyFont="0" applyAlignment="0" applyProtection="0"/>
    <xf numFmtId="0" fontId="85" fillId="57" borderId="30" applyNumberFormat="0" applyAlignment="0" applyProtection="0"/>
    <xf numFmtId="165" fontId="56" fillId="19" borderId="21" applyNumberFormat="0" applyAlignment="0" applyProtection="0"/>
    <xf numFmtId="0" fontId="59" fillId="40" borderId="0">
      <alignment horizontal="center" vertical="center"/>
    </xf>
    <xf numFmtId="0" fontId="59" fillId="40" borderId="0">
      <alignment horizontal="center" vertical="center"/>
    </xf>
    <xf numFmtId="0" fontId="50" fillId="40" borderId="10"/>
    <xf numFmtId="0" fontId="59" fillId="40" borderId="0" applyBorder="0">
      <alignment horizontal="centerContinuous"/>
    </xf>
    <xf numFmtId="0" fontId="59" fillId="40" borderId="0" applyBorder="0">
      <alignment horizontal="centerContinuous"/>
    </xf>
    <xf numFmtId="0" fontId="65" fillId="40" borderId="0" applyBorder="0">
      <alignment horizontal="centerContinuous"/>
    </xf>
    <xf numFmtId="0" fontId="65" fillId="40" borderId="0" applyBorder="0">
      <alignment horizontal="centerContinuous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165" fontId="11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0" fillId="0" borderId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8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8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8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8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8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8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8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8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8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8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8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8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8" fontId="31" fillId="34" borderId="0">
      <alignment horizontal="lef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165" fontId="10" fillId="0" borderId="0"/>
    <xf numFmtId="0" fontId="6" fillId="0" borderId="0"/>
    <xf numFmtId="0" fontId="6" fillId="0" borderId="0"/>
    <xf numFmtId="165" fontId="10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7" fillId="18" borderId="20" applyNumberFormat="0" applyFont="0" applyAlignment="0" applyProtection="0"/>
    <xf numFmtId="172" fontId="57" fillId="34" borderId="0">
      <alignment horizontal="right"/>
    </xf>
    <xf numFmtId="40" fontId="58" fillId="40" borderId="0">
      <alignment horizontal="right"/>
    </xf>
    <xf numFmtId="168" fontId="59" fillId="41" borderId="0">
      <alignment horizontal="center"/>
    </xf>
    <xf numFmtId="168" fontId="62" fillId="34" borderId="0" applyBorder="0">
      <alignment horizontal="centerContinuous"/>
    </xf>
    <xf numFmtId="168" fontId="63" fillId="42" borderId="0" applyBorder="0">
      <alignment horizontal="centerContinuous"/>
    </xf>
    <xf numFmtId="9" fontId="10" fillId="0" borderId="0" applyFont="0" applyFill="0" applyBorder="0" applyAlignment="0" applyProtection="0"/>
    <xf numFmtId="182" fontId="119" fillId="76" borderId="42">
      <alignment horizontal="left"/>
    </xf>
    <xf numFmtId="168" fontId="77" fillId="34" borderId="0">
      <alignment horizontal="center"/>
    </xf>
    <xf numFmtId="43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8" fillId="71" borderId="0" applyNumberFormat="0" applyBorder="0" applyAlignment="0" applyProtection="0"/>
    <xf numFmtId="0" fontId="6" fillId="3" borderId="0" applyNumberFormat="0" applyBorder="0" applyAlignment="0" applyProtection="0"/>
    <xf numFmtId="0" fontId="18" fillId="23" borderId="0" applyNumberFormat="0" applyBorder="0" applyAlignment="0" applyProtection="0"/>
    <xf numFmtId="0" fontId="6" fillId="5" borderId="0" applyNumberFormat="0" applyBorder="0" applyAlignment="0" applyProtection="0"/>
    <xf numFmtId="0" fontId="18" fillId="39" borderId="0" applyNumberFormat="0" applyBorder="0" applyAlignment="0" applyProtection="0"/>
    <xf numFmtId="0" fontId="6" fillId="7" borderId="0" applyNumberFormat="0" applyBorder="0" applyAlignment="0" applyProtection="0"/>
    <xf numFmtId="0" fontId="18" fillId="33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18" fillId="20" borderId="0" applyNumberFormat="0" applyBorder="0" applyAlignment="0" applyProtection="0"/>
    <xf numFmtId="0" fontId="6" fillId="13" borderId="0" applyNumberFormat="0" applyBorder="0" applyAlignment="0" applyProtection="0"/>
    <xf numFmtId="0" fontId="18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8" fillId="38" borderId="0" applyNumberFormat="0" applyBorder="0" applyAlignment="0" applyProtection="0"/>
    <xf numFmtId="0" fontId="6" fillId="8" borderId="0" applyNumberFormat="0" applyBorder="0" applyAlignment="0" applyProtection="0"/>
    <xf numFmtId="0" fontId="18" fillId="33" borderId="0" applyNumberFormat="0" applyBorder="0" applyAlignment="0" applyProtection="0"/>
    <xf numFmtId="0" fontId="6" fillId="10" borderId="0" applyNumberFormat="0" applyBorder="0" applyAlignment="0" applyProtection="0"/>
    <xf numFmtId="0" fontId="18" fillId="16" borderId="0" applyNumberFormat="0" applyBorder="0" applyAlignment="0" applyProtection="0"/>
    <xf numFmtId="0" fontId="6" fillId="12" borderId="0" applyNumberFormat="0" applyBorder="0" applyAlignment="0" applyProtection="0"/>
    <xf numFmtId="0" fontId="18" fillId="26" borderId="0" applyNumberFormat="0" applyBorder="0" applyAlignment="0" applyProtection="0"/>
    <xf numFmtId="0" fontId="6" fillId="14" borderId="0" applyNumberFormat="0" applyBorder="0" applyAlignment="0" applyProtection="0"/>
    <xf numFmtId="0" fontId="20" fillId="72" borderId="0" applyNumberFormat="0" applyBorder="0" applyAlignment="0" applyProtection="0"/>
    <xf numFmtId="0" fontId="91" fillId="60" borderId="0" applyNumberFormat="0" applyBorder="0" applyAlignment="0" applyProtection="0"/>
    <xf numFmtId="0" fontId="20" fillId="17" borderId="0" applyNumberFormat="0" applyBorder="0" applyAlignment="0" applyProtection="0"/>
    <xf numFmtId="0" fontId="91" fillId="62" borderId="0" applyNumberFormat="0" applyBorder="0" applyAlignment="0" applyProtection="0"/>
    <xf numFmtId="0" fontId="20" fillId="38" borderId="0" applyNumberFormat="0" applyBorder="0" applyAlignment="0" applyProtection="0"/>
    <xf numFmtId="0" fontId="91" fillId="64" borderId="0" applyNumberFormat="0" applyBorder="0" applyAlignment="0" applyProtection="0"/>
    <xf numFmtId="0" fontId="20" fillId="73" borderId="0" applyNumberFormat="0" applyBorder="0" applyAlignment="0" applyProtection="0"/>
    <xf numFmtId="0" fontId="91" fillId="66" borderId="0" applyNumberFormat="0" applyBorder="0" applyAlignment="0" applyProtection="0"/>
    <xf numFmtId="0" fontId="20" fillId="29" borderId="0" applyNumberFormat="0" applyBorder="0" applyAlignment="0" applyProtection="0"/>
    <xf numFmtId="0" fontId="91" fillId="68" borderId="0" applyNumberFormat="0" applyBorder="0" applyAlignment="0" applyProtection="0"/>
    <xf numFmtId="0" fontId="20" fillId="48" borderId="0" applyNumberFormat="0" applyBorder="0" applyAlignment="0" applyProtection="0"/>
    <xf numFmtId="0" fontId="91" fillId="70" borderId="0" applyNumberFormat="0" applyBorder="0" applyAlignment="0" applyProtection="0"/>
    <xf numFmtId="0" fontId="20" fillId="74" borderId="0" applyNumberFormat="0" applyBorder="0" applyAlignment="0" applyProtection="0"/>
    <xf numFmtId="0" fontId="91" fillId="59" borderId="0" applyNumberFormat="0" applyBorder="0" applyAlignment="0" applyProtection="0"/>
    <xf numFmtId="0" fontId="20" fillId="30" borderId="0" applyNumberFormat="0" applyBorder="0" applyAlignment="0" applyProtection="0"/>
    <xf numFmtId="0" fontId="91" fillId="61" borderId="0" applyNumberFormat="0" applyBorder="0" applyAlignment="0" applyProtection="0"/>
    <xf numFmtId="0" fontId="20" fillId="31" borderId="0" applyNumberFormat="0" applyBorder="0" applyAlignment="0" applyProtection="0"/>
    <xf numFmtId="0" fontId="91" fillId="63" borderId="0" applyNumberFormat="0" applyBorder="0" applyAlignment="0" applyProtection="0"/>
    <xf numFmtId="0" fontId="20" fillId="73" borderId="0" applyNumberFormat="0" applyBorder="0" applyAlignment="0" applyProtection="0"/>
    <xf numFmtId="0" fontId="91" fillId="65" borderId="0" applyNumberFormat="0" applyBorder="0" applyAlignment="0" applyProtection="0"/>
    <xf numFmtId="0" fontId="91" fillId="67" borderId="0" applyNumberFormat="0" applyBorder="0" applyAlignment="0" applyProtection="0"/>
    <xf numFmtId="0" fontId="20" fillId="25" borderId="0" applyNumberFormat="0" applyBorder="0" applyAlignment="0" applyProtection="0"/>
    <xf numFmtId="0" fontId="91" fillId="69" borderId="0" applyNumberFormat="0" applyBorder="0" applyAlignment="0" applyProtection="0"/>
    <xf numFmtId="0" fontId="22" fillId="23" borderId="0" applyNumberFormat="0" applyBorder="0" applyAlignment="0" applyProtection="0"/>
    <xf numFmtId="0" fontId="82" fillId="54" borderId="0" applyNumberFormat="0" applyBorder="0" applyAlignment="0" applyProtection="0"/>
    <xf numFmtId="0" fontId="120" fillId="19" borderId="8" applyNumberFormat="0" applyAlignment="0" applyProtection="0"/>
    <xf numFmtId="0" fontId="86" fillId="57" borderId="29" applyNumberFormat="0" applyAlignment="0" applyProtection="0"/>
    <xf numFmtId="0" fontId="88" fillId="58" borderId="32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81" fillId="53" borderId="0" applyNumberFormat="0" applyBorder="0" applyAlignment="0" applyProtection="0"/>
    <xf numFmtId="0" fontId="100" fillId="0" borderId="34" applyNumberFormat="0" applyFill="0" applyAlignment="0" applyProtection="0"/>
    <xf numFmtId="0" fontId="104" fillId="0" borderId="35" applyNumberFormat="0" applyFill="0" applyAlignment="0" applyProtection="0"/>
    <xf numFmtId="0" fontId="106" fillId="0" borderId="36" applyNumberFormat="0" applyFill="0" applyAlignment="0" applyProtection="0"/>
    <xf numFmtId="0" fontId="80" fillId="0" borderId="28" applyNumberFormat="0" applyFill="0" applyAlignment="0" applyProtection="0"/>
    <xf numFmtId="0" fontId="10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8" fillId="20" borderId="8" applyNumberFormat="0" applyAlignment="0" applyProtection="0"/>
    <xf numFmtId="0" fontId="84" fillId="56" borderId="29" applyNumberFormat="0" applyAlignment="0" applyProtection="0"/>
    <xf numFmtId="0" fontId="109" fillId="0" borderId="19" applyNumberFormat="0" applyFill="0" applyAlignment="0" applyProtection="0"/>
    <xf numFmtId="0" fontId="87" fillId="0" borderId="31" applyNumberFormat="0" applyFill="0" applyAlignment="0" applyProtection="0"/>
    <xf numFmtId="0" fontId="111" fillId="22" borderId="0" applyNumberFormat="0" applyBorder="0" applyAlignment="0" applyProtection="0"/>
    <xf numFmtId="0" fontId="83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8" borderId="20" applyNumberFormat="0" applyFont="0" applyAlignment="0" applyProtection="0"/>
    <xf numFmtId="0" fontId="56" fillId="19" borderId="21" applyNumberFormat="0" applyAlignment="0" applyProtection="0"/>
    <xf numFmtId="0" fontId="85" fillId="57" borderId="30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6" fillId="0" borderId="38" applyNumberFormat="0" applyFill="0" applyAlignment="0" applyProtection="0"/>
    <xf numFmtId="0" fontId="89" fillId="0" borderId="0" applyNumberFormat="0" applyFill="0" applyBorder="0" applyAlignment="0" applyProtection="0"/>
    <xf numFmtId="0" fontId="125" fillId="0" borderId="0"/>
    <xf numFmtId="0" fontId="10" fillId="0" borderId="0"/>
    <xf numFmtId="0" fontId="10" fillId="0" borderId="0"/>
    <xf numFmtId="0" fontId="10" fillId="0" borderId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" fillId="0" borderId="0"/>
    <xf numFmtId="184" fontId="8" fillId="0" borderId="0" applyFill="0"/>
    <xf numFmtId="184" fontId="8" fillId="0" borderId="0">
      <alignment horizontal="center"/>
    </xf>
    <xf numFmtId="0" fontId="8" fillId="0" borderId="0" applyFill="0">
      <alignment horizontal="center"/>
    </xf>
    <xf numFmtId="184" fontId="38" fillId="0" borderId="39" applyFill="0"/>
    <xf numFmtId="0" fontId="10" fillId="0" borderId="0" applyFont="0" applyAlignment="0"/>
    <xf numFmtId="0" fontId="127" fillId="0" borderId="0" applyFill="0">
      <alignment vertical="top"/>
    </xf>
    <xf numFmtId="0" fontId="38" fillId="0" borderId="0" applyFill="0">
      <alignment horizontal="left" vertical="top"/>
    </xf>
    <xf numFmtId="184" fontId="16" fillId="0" borderId="1" applyFill="0"/>
    <xf numFmtId="0" fontId="10" fillId="0" borderId="0" applyNumberFormat="0" applyFont="0" applyAlignment="0"/>
    <xf numFmtId="0" fontId="127" fillId="0" borderId="0" applyFill="0">
      <alignment wrapText="1"/>
    </xf>
    <xf numFmtId="0" fontId="38" fillId="0" borderId="0" applyFill="0">
      <alignment horizontal="left" vertical="top" wrapText="1"/>
    </xf>
    <xf numFmtId="184" fontId="128" fillId="0" borderId="0" applyFill="0"/>
    <xf numFmtId="0" fontId="129" fillId="0" borderId="0" applyNumberFormat="0" applyFont="0" applyAlignment="0">
      <alignment horizontal="center"/>
    </xf>
    <xf numFmtId="0" fontId="130" fillId="0" borderId="0" applyFill="0">
      <alignment vertical="top" wrapText="1"/>
    </xf>
    <xf numFmtId="0" fontId="16" fillId="0" borderId="0" applyFill="0">
      <alignment horizontal="left" vertical="top" wrapText="1"/>
    </xf>
    <xf numFmtId="184" fontId="10" fillId="0" borderId="0" applyFill="0"/>
    <xf numFmtId="0" fontId="129" fillId="0" borderId="0" applyNumberFormat="0" applyFont="0" applyAlignment="0">
      <alignment horizontal="center"/>
    </xf>
    <xf numFmtId="0" fontId="131" fillId="0" borderId="0" applyFill="0">
      <alignment vertical="center" wrapText="1"/>
    </xf>
    <xf numFmtId="0" fontId="15" fillId="0" borderId="0">
      <alignment horizontal="left" vertical="center" wrapText="1"/>
    </xf>
    <xf numFmtId="184" fontId="132" fillId="0" borderId="0" applyFill="0"/>
    <xf numFmtId="0" fontId="129" fillId="0" borderId="0" applyNumberFormat="0" applyFont="0" applyAlignment="0">
      <alignment horizontal="center"/>
    </xf>
    <xf numFmtId="0" fontId="133" fillId="0" borderId="0" applyFill="0">
      <alignment horizontal="center" vertical="center" wrapText="1"/>
    </xf>
    <xf numFmtId="0" fontId="10" fillId="0" borderId="0" applyFill="0">
      <alignment horizontal="center" vertical="center" wrapText="1"/>
    </xf>
    <xf numFmtId="184" fontId="134" fillId="0" borderId="0" applyFill="0"/>
    <xf numFmtId="0" fontId="129" fillId="0" borderId="0" applyNumberFormat="0" applyFont="0" applyAlignment="0">
      <alignment horizontal="center"/>
    </xf>
    <xf numFmtId="0" fontId="135" fillId="0" borderId="0" applyFill="0">
      <alignment horizontal="center" vertical="center" wrapText="1"/>
    </xf>
    <xf numFmtId="0" fontId="136" fillId="0" borderId="0" applyFill="0">
      <alignment horizontal="center" vertical="center" wrapText="1"/>
    </xf>
    <xf numFmtId="184" fontId="137" fillId="0" borderId="0" applyFill="0"/>
    <xf numFmtId="0" fontId="129" fillId="0" borderId="0" applyNumberFormat="0" applyFont="0" applyAlignment="0">
      <alignment horizontal="center"/>
    </xf>
    <xf numFmtId="0" fontId="138" fillId="0" borderId="0">
      <alignment horizontal="center" wrapText="1"/>
    </xf>
    <xf numFmtId="0" fontId="134" fillId="0" borderId="0" applyFill="0">
      <alignment horizontal="center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9" fontId="8" fillId="15" borderId="0" applyFill="0"/>
    <xf numFmtId="0" fontId="139" fillId="0" borderId="0">
      <alignment horizontal="left" indent="7"/>
    </xf>
    <xf numFmtId="0" fontId="8" fillId="0" borderId="0" applyFill="0">
      <alignment horizontal="left" indent="7"/>
    </xf>
    <xf numFmtId="7" fontId="140" fillId="0" borderId="26" applyFill="0">
      <alignment horizontal="right"/>
    </xf>
    <xf numFmtId="0" fontId="16" fillId="0" borderId="0" applyNumberFormat="0">
      <alignment horizontal="right"/>
    </xf>
    <xf numFmtId="0" fontId="141" fillId="0" borderId="26" applyFont="0" applyFill="0"/>
    <xf numFmtId="0" fontId="16" fillId="0" borderId="26" applyFill="0"/>
    <xf numFmtId="39" fontId="140" fillId="0" borderId="0" applyFill="0"/>
    <xf numFmtId="0" fontId="10" fillId="0" borderId="0" applyNumberFormat="0" applyFont="0" applyBorder="0" applyAlignment="0"/>
    <xf numFmtId="0" fontId="130" fillId="0" borderId="0" applyFill="0">
      <alignment horizontal="left" indent="1"/>
    </xf>
    <xf numFmtId="0" fontId="16" fillId="0" borderId="0" applyFill="0">
      <alignment horizontal="left" indent="1"/>
    </xf>
    <xf numFmtId="39" fontId="132" fillId="0" borderId="0" applyFill="0"/>
    <xf numFmtId="0" fontId="10" fillId="0" borderId="0" applyNumberFormat="0" applyFont="0" applyFill="0" applyBorder="0" applyAlignment="0"/>
    <xf numFmtId="0" fontId="130" fillId="0" borderId="0" applyFill="0">
      <alignment horizontal="left" indent="2"/>
    </xf>
    <xf numFmtId="0" fontId="68" fillId="0" borderId="0" applyFill="0">
      <alignment horizontal="left" indent="2"/>
    </xf>
    <xf numFmtId="39" fontId="132" fillId="0" borderId="0" applyFill="0"/>
    <xf numFmtId="0" fontId="10" fillId="0" borderId="0" applyNumberFormat="0" applyFont="0" applyBorder="0" applyAlignment="0"/>
    <xf numFmtId="0" fontId="142" fillId="0" borderId="0">
      <alignment horizontal="left" indent="3"/>
    </xf>
    <xf numFmtId="0" fontId="143" fillId="0" borderId="0" applyFill="0">
      <alignment horizontal="left" indent="3"/>
    </xf>
    <xf numFmtId="39" fontId="132" fillId="0" borderId="0" applyFill="0"/>
    <xf numFmtId="0" fontId="10" fillId="0" borderId="0" applyNumberFormat="0" applyFont="0" applyBorder="0" applyAlignment="0"/>
    <xf numFmtId="0" fontId="133" fillId="0" borderId="0">
      <alignment horizontal="left" indent="4"/>
    </xf>
    <xf numFmtId="0" fontId="10" fillId="0" borderId="0" applyFill="0">
      <alignment horizontal="left" indent="4"/>
    </xf>
    <xf numFmtId="39" fontId="132" fillId="0" borderId="0" applyFill="0"/>
    <xf numFmtId="0" fontId="10" fillId="0" borderId="0" applyNumberFormat="0" applyFont="0" applyBorder="0" applyAlignment="0"/>
    <xf numFmtId="0" fontId="135" fillId="0" borderId="0">
      <alignment horizontal="left" indent="5"/>
    </xf>
    <xf numFmtId="0" fontId="136" fillId="0" borderId="0" applyFill="0">
      <alignment horizontal="left" indent="5"/>
    </xf>
    <xf numFmtId="39" fontId="137" fillId="0" borderId="0" applyFill="0"/>
    <xf numFmtId="0" fontId="10" fillId="0" borderId="0" applyNumberFormat="0" applyFont="0" applyFill="0" applyBorder="0" applyAlignment="0"/>
    <xf numFmtId="0" fontId="138" fillId="0" borderId="0" applyFill="0">
      <alignment horizontal="left" indent="6"/>
    </xf>
    <xf numFmtId="0" fontId="134" fillId="0" borderId="0" applyFill="0">
      <alignment horizontal="left" indent="6"/>
    </xf>
    <xf numFmtId="0" fontId="3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6" fillId="0" borderId="0" applyNumberFormat="0" applyFont="0" applyFill="0" applyBorder="0" applyAlignment="0" applyProtection="0">
      <alignment horizontal="left"/>
    </xf>
    <xf numFmtId="185" fontId="144" fillId="0" borderId="43" applyNumberFormat="0" applyProtection="0">
      <alignment horizontal="right" vertical="center"/>
    </xf>
    <xf numFmtId="185" fontId="145" fillId="0" borderId="44" applyNumberFormat="0" applyProtection="0">
      <alignment horizontal="right" vertical="center"/>
    </xf>
    <xf numFmtId="0" fontId="145" fillId="77" borderId="45" applyNumberFormat="0" applyAlignment="0" applyProtection="0">
      <alignment horizontal="left" vertical="center" indent="1"/>
    </xf>
    <xf numFmtId="0" fontId="146" fillId="0" borderId="46" applyNumberFormat="0" applyFill="0" applyBorder="0" applyAlignment="0" applyProtection="0"/>
    <xf numFmtId="0" fontId="147" fillId="78" borderId="45" applyNumberFormat="0" applyAlignment="0" applyProtection="0">
      <alignment horizontal="left" vertical="center" indent="1"/>
    </xf>
    <xf numFmtId="0" fontId="147" fillId="79" borderId="45" applyNumberFormat="0" applyAlignment="0" applyProtection="0">
      <alignment horizontal="left" vertical="center" indent="1"/>
    </xf>
    <xf numFmtId="0" fontId="147" fillId="80" borderId="45" applyNumberFormat="0" applyAlignment="0" applyProtection="0">
      <alignment horizontal="left" vertical="center" indent="1"/>
    </xf>
    <xf numFmtId="0" fontId="147" fillId="81" borderId="45" applyNumberFormat="0" applyAlignment="0" applyProtection="0">
      <alignment horizontal="left" vertical="center" indent="1"/>
    </xf>
    <xf numFmtId="0" fontId="147" fillId="82" borderId="44" applyNumberFormat="0" applyAlignment="0" applyProtection="0">
      <alignment horizontal="left" vertical="center" indent="1"/>
    </xf>
    <xf numFmtId="185" fontId="144" fillId="83" borderId="45" applyNumberFormat="0" applyAlignment="0" applyProtection="0">
      <alignment horizontal="left" vertical="center" indent="1"/>
    </xf>
    <xf numFmtId="0" fontId="145" fillId="77" borderId="44" applyNumberFormat="0" applyAlignment="0" applyProtection="0">
      <alignment horizontal="left" vertical="center" indent="1"/>
    </xf>
    <xf numFmtId="38" fontId="10" fillId="84" borderId="0" applyNumberFormat="0" applyFont="0" applyBorder="0" applyAlignment="0" applyProtection="0"/>
    <xf numFmtId="186" fontId="66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48" fillId="57" borderId="29" applyNumberFormat="0" applyAlignment="0" applyProtection="0"/>
    <xf numFmtId="168" fontId="27" fillId="37" borderId="0">
      <alignment horizontal="left"/>
    </xf>
    <xf numFmtId="168" fontId="29" fillId="37" borderId="0">
      <alignment horizontal="right"/>
    </xf>
    <xf numFmtId="168" fontId="30" fillId="34" borderId="0">
      <alignment horizontal="center"/>
    </xf>
    <xf numFmtId="168" fontId="29" fillId="37" borderId="0">
      <alignment horizontal="right"/>
    </xf>
    <xf numFmtId="168" fontId="31" fillId="34" borderId="0">
      <alignment horizontal="left"/>
    </xf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49" fillId="56" borderId="29" applyNumberFormat="0" applyAlignment="0" applyProtection="0"/>
    <xf numFmtId="168" fontId="27" fillId="37" borderId="0">
      <alignment horizontal="left"/>
    </xf>
    <xf numFmtId="168" fontId="50" fillId="34" borderId="0">
      <alignment horizontal="left"/>
    </xf>
    <xf numFmtId="168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71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168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" borderId="6" applyNumberFormat="0" applyFont="0" applyAlignment="0" applyProtection="0"/>
    <xf numFmtId="0" fontId="34" fillId="18" borderId="20" applyNumberFormat="0" applyFont="0" applyAlignment="0" applyProtection="0"/>
    <xf numFmtId="0" fontId="5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5" fillId="0" borderId="0"/>
    <xf numFmtId="0" fontId="34" fillId="18" borderId="20" applyNumberFormat="0" applyFont="0" applyAlignment="0" applyProtection="0"/>
    <xf numFmtId="0" fontId="5" fillId="0" borderId="0"/>
    <xf numFmtId="0" fontId="34" fillId="18" borderId="20" applyNumberFormat="0" applyFont="0" applyAlignment="0" applyProtection="0"/>
    <xf numFmtId="0" fontId="34" fillId="18" borderId="20" applyNumberFormat="0" applyFont="0" applyAlignment="0" applyProtection="0"/>
    <xf numFmtId="0" fontId="5" fillId="0" borderId="0"/>
    <xf numFmtId="0" fontId="34" fillId="18" borderId="20" applyNumberFormat="0" applyFont="0" applyAlignment="0" applyProtection="0"/>
    <xf numFmtId="0" fontId="59" fillId="40" borderId="0">
      <alignment horizontal="center" vertical="center"/>
    </xf>
    <xf numFmtId="0" fontId="50" fillId="40" borderId="10"/>
    <xf numFmtId="0" fontId="59" fillId="40" borderId="0" applyBorder="0">
      <alignment horizontal="centerContinuous"/>
    </xf>
    <xf numFmtId="0" fontId="65" fillId="40" borderId="0" applyBorder="0">
      <alignment horizontal="centerContinuous"/>
    </xf>
    <xf numFmtId="168" fontId="50" fillId="22" borderId="0">
      <alignment horizontal="center"/>
    </xf>
    <xf numFmtId="168" fontId="29" fillId="37" borderId="0">
      <alignment horizontal="center"/>
    </xf>
    <xf numFmtId="168" fontId="29" fillId="37" borderId="0">
      <alignment horizontal="centerContinuous"/>
    </xf>
    <xf numFmtId="168" fontId="69" fillId="34" borderId="0">
      <alignment horizontal="left"/>
    </xf>
    <xf numFmtId="168" fontId="27" fillId="37" borderId="0">
      <alignment horizontal="left"/>
    </xf>
    <xf numFmtId="168" fontId="27" fillId="37" borderId="0">
      <alignment horizontal="centerContinuous"/>
    </xf>
    <xf numFmtId="168" fontId="27" fillId="37" borderId="0">
      <alignment horizontal="right"/>
    </xf>
    <xf numFmtId="168" fontId="29" fillId="37" borderId="0">
      <alignment horizontal="right"/>
    </xf>
    <xf numFmtId="168" fontId="69" fillId="20" borderId="0">
      <alignment horizontal="center"/>
    </xf>
    <xf numFmtId="168" fontId="70" fillId="20" borderId="0">
      <alignment horizontal="center"/>
    </xf>
    <xf numFmtId="168" fontId="77" fillId="34" borderId="0">
      <alignment horizontal="center"/>
    </xf>
    <xf numFmtId="43" fontId="10" fillId="0" borderId="0" applyFont="0" applyFill="0" applyBorder="0" applyAlignment="0" applyProtection="0"/>
    <xf numFmtId="166" fontId="10" fillId="0" borderId="0"/>
    <xf numFmtId="44" fontId="10" fillId="0" borderId="0" applyFont="0" applyFill="0" applyBorder="0" applyAlignment="0" applyProtection="0"/>
    <xf numFmtId="0" fontId="15" fillId="0" borderId="0"/>
    <xf numFmtId="166" fontId="10" fillId="0" borderId="0"/>
    <xf numFmtId="166" fontId="150" fillId="0" borderId="0"/>
    <xf numFmtId="0" fontId="10" fillId="0" borderId="0"/>
    <xf numFmtId="37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1">
    <xf numFmtId="0" fontId="0" fillId="0" borderId="0" xfId="0"/>
    <xf numFmtId="0" fontId="78" fillId="0" borderId="0" xfId="5126" applyFont="1" applyFill="1" applyBorder="1" applyAlignment="1">
      <alignment horizontal="left"/>
    </xf>
    <xf numFmtId="0" fontId="10" fillId="0" borderId="0" xfId="5126" applyFont="1" applyFill="1" applyBorder="1" applyAlignment="1">
      <alignment horizontal="left"/>
    </xf>
    <xf numFmtId="0" fontId="78" fillId="0" borderId="0" xfId="5126" applyFont="1" applyFill="1" applyBorder="1" applyAlignment="1">
      <alignment horizontal="right"/>
    </xf>
    <xf numFmtId="0" fontId="10" fillId="0" borderId="0" xfId="5126" applyFont="1" applyFill="1" applyBorder="1" applyAlignment="1">
      <alignment horizontal="right"/>
    </xf>
    <xf numFmtId="0" fontId="78" fillId="0" borderId="0" xfId="5126" applyFont="1" applyFill="1" applyBorder="1" applyAlignment="1">
      <alignment horizontal="left" vertical="top"/>
    </xf>
    <xf numFmtId="0" fontId="78" fillId="0" borderId="0" xfId="5126" applyFont="1" applyFill="1" applyBorder="1" applyAlignment="1">
      <alignment horizontal="center" wrapText="1"/>
    </xf>
    <xf numFmtId="0" fontId="10" fillId="0" borderId="0" xfId="5126" applyFont="1" applyFill="1" applyBorder="1" applyAlignment="1">
      <alignment horizontal="left" wrapText="1"/>
    </xf>
    <xf numFmtId="164" fontId="78" fillId="0" borderId="0" xfId="3950" applyNumberFormat="1" applyFont="1" applyFill="1" applyBorder="1" applyAlignment="1">
      <alignment horizontal="right" wrapText="1"/>
    </xf>
    <xf numFmtId="173" fontId="78" fillId="0" borderId="0" xfId="5126" applyNumberFormat="1" applyFont="1" applyFill="1" applyBorder="1" applyAlignment="1">
      <alignment horizontal="center" wrapText="1"/>
    </xf>
    <xf numFmtId="0" fontId="10" fillId="0" borderId="0" xfId="5126" applyFont="1" applyFill="1" applyBorder="1" applyAlignment="1">
      <alignment horizontal="center" wrapText="1"/>
    </xf>
    <xf numFmtId="0" fontId="10" fillId="0" borderId="0" xfId="5126" applyFont="1" applyFill="1" applyBorder="1" applyAlignment="1">
      <alignment horizontal="left" vertical="center" wrapText="1"/>
    </xf>
    <xf numFmtId="164" fontId="78" fillId="0" borderId="0" xfId="3950" applyNumberFormat="1" applyFont="1" applyFill="1" applyBorder="1" applyAlignment="1">
      <alignment horizontal="center" vertical="center" wrapText="1"/>
    </xf>
    <xf numFmtId="0" fontId="10" fillId="0" borderId="26" xfId="5126" applyFont="1" applyFill="1" applyBorder="1" applyAlignment="1">
      <alignment horizontal="center" wrapText="1"/>
    </xf>
    <xf numFmtId="164" fontId="78" fillId="0" borderId="2" xfId="3950" applyNumberFormat="1" applyFont="1" applyFill="1" applyBorder="1" applyAlignment="1">
      <alignment horizontal="right" wrapText="1"/>
    </xf>
    <xf numFmtId="164" fontId="78" fillId="0" borderId="27" xfId="3950" applyNumberFormat="1" applyFont="1" applyFill="1" applyBorder="1" applyAlignment="1">
      <alignment horizontal="right" wrapText="1"/>
    </xf>
    <xf numFmtId="0" fontId="9" fillId="0" borderId="0" xfId="5126" applyFont="1" applyFill="1" applyBorder="1" applyAlignment="1">
      <alignment horizontal="left" wrapText="1"/>
    </xf>
    <xf numFmtId="0" fontId="10" fillId="0" borderId="0" xfId="0" applyFont="1" applyBorder="1"/>
    <xf numFmtId="10" fontId="78" fillId="0" borderId="0" xfId="1" applyNumberFormat="1" applyFont="1" applyFill="1" applyBorder="1" applyAlignment="1">
      <alignment horizontal="right" wrapText="1"/>
    </xf>
    <xf numFmtId="174" fontId="78" fillId="0" borderId="0" xfId="3950" applyNumberFormat="1" applyFont="1" applyFill="1" applyBorder="1" applyAlignment="1">
      <alignment horizontal="right" wrapText="1"/>
    </xf>
    <xf numFmtId="0" fontId="78" fillId="0" borderId="1" xfId="5126" applyFont="1" applyFill="1" applyBorder="1" applyAlignment="1">
      <alignment horizontal="left"/>
    </xf>
    <xf numFmtId="0" fontId="10" fillId="0" borderId="2" xfId="5126" applyFont="1" applyFill="1" applyBorder="1" applyAlignment="1">
      <alignment horizontal="center" wrapText="1"/>
    </xf>
    <xf numFmtId="0" fontId="10" fillId="0" borderId="0" xfId="5126" applyFont="1" applyFill="1" applyBorder="1" applyAlignment="1"/>
    <xf numFmtId="0" fontId="10" fillId="0" borderId="0" xfId="5126" applyFont="1" applyFill="1" applyBorder="1" applyAlignment="1">
      <alignment horizontal="center" vertical="center" wrapText="1"/>
    </xf>
    <xf numFmtId="10" fontId="78" fillId="0" borderId="0" xfId="12089" applyNumberFormat="1" applyFont="1" applyFill="1" applyBorder="1" applyAlignment="1">
      <alignment horizontal="right" wrapText="1"/>
    </xf>
    <xf numFmtId="9" fontId="78" fillId="0" borderId="0" xfId="12089" applyFont="1" applyFill="1" applyBorder="1" applyAlignment="1">
      <alignment horizontal="right" wrapText="1"/>
    </xf>
    <xf numFmtId="10" fontId="78" fillId="0" borderId="0" xfId="12089" applyNumberFormat="1" applyFont="1" applyFill="1" applyBorder="1" applyAlignment="1">
      <alignment horizontal="right"/>
    </xf>
    <xf numFmtId="9" fontId="78" fillId="0" borderId="0" xfId="6764" applyFont="1" applyFill="1" applyBorder="1" applyAlignment="1">
      <alignment horizontal="left" vertical="top"/>
    </xf>
    <xf numFmtId="10" fontId="78" fillId="0" borderId="0" xfId="12089" applyNumberFormat="1" applyFont="1" applyFill="1" applyBorder="1" applyAlignment="1">
      <alignment horizontal="left" vertical="top"/>
    </xf>
    <xf numFmtId="9" fontId="78" fillId="0" borderId="0" xfId="12089" applyFont="1" applyFill="1" applyBorder="1" applyAlignment="1">
      <alignment horizontal="left" vertical="top"/>
    </xf>
    <xf numFmtId="10" fontId="78" fillId="0" borderId="2" xfId="12089" applyNumberFormat="1" applyFont="1" applyFill="1" applyBorder="1" applyAlignment="1">
      <alignment horizontal="right" wrapText="1"/>
    </xf>
    <xf numFmtId="10" fontId="78" fillId="0" borderId="27" xfId="12089" applyNumberFormat="1" applyFont="1" applyFill="1" applyBorder="1" applyAlignment="1">
      <alignment horizontal="right" wrapText="1"/>
    </xf>
    <xf numFmtId="164" fontId="78" fillId="0" borderId="0" xfId="5126" applyNumberFormat="1" applyFont="1" applyFill="1" applyBorder="1" applyAlignment="1">
      <alignment horizontal="left"/>
    </xf>
    <xf numFmtId="43" fontId="78" fillId="0" borderId="0" xfId="3950" applyNumberFormat="1" applyFont="1" applyFill="1" applyBorder="1" applyAlignment="1">
      <alignment horizontal="right" wrapText="1"/>
    </xf>
    <xf numFmtId="49" fontId="10" fillId="0" borderId="0" xfId="5126" applyNumberFormat="1" applyFont="1" applyFill="1" applyBorder="1" applyAlignment="1">
      <alignment horizontal="center"/>
    </xf>
    <xf numFmtId="164" fontId="78" fillId="0" borderId="0" xfId="1" applyNumberFormat="1" applyFont="1" applyFill="1" applyBorder="1" applyAlignment="1">
      <alignment horizontal="right" wrapText="1"/>
    </xf>
    <xf numFmtId="49" fontId="10" fillId="0" borderId="0" xfId="5126" applyNumberFormat="1" applyFont="1" applyFill="1" applyBorder="1" applyAlignment="1">
      <alignment horizontal="center"/>
    </xf>
    <xf numFmtId="164" fontId="78" fillId="0" borderId="47" xfId="3950" applyNumberFormat="1" applyFont="1" applyFill="1" applyBorder="1" applyAlignment="1">
      <alignment horizontal="right" wrapText="1"/>
    </xf>
    <xf numFmtId="10" fontId="10" fillId="0" borderId="0" xfId="5126" applyNumberFormat="1" applyFont="1" applyFill="1" applyBorder="1" applyAlignment="1">
      <alignment horizontal="center" vertical="center" wrapText="1"/>
    </xf>
    <xf numFmtId="49" fontId="10" fillId="0" borderId="0" xfId="5126" applyNumberFormat="1" applyFont="1" applyFill="1" applyBorder="1" applyAlignment="1"/>
    <xf numFmtId="0" fontId="10" fillId="0" borderId="0" xfId="4614" applyFont="1"/>
    <xf numFmtId="0" fontId="9" fillId="0" borderId="0" xfId="4614" applyFont="1"/>
    <xf numFmtId="43" fontId="78" fillId="0" borderId="0" xfId="1" applyNumberFormat="1" applyFont="1" applyFill="1" applyBorder="1" applyAlignment="1">
      <alignment horizontal="right" wrapText="1"/>
    </xf>
    <xf numFmtId="0" fontId="10" fillId="0" borderId="0" xfId="5126" applyFont="1" applyFill="1" applyBorder="1" applyAlignment="1">
      <alignment horizontal="center"/>
    </xf>
    <xf numFmtId="164" fontId="0" fillId="0" borderId="0" xfId="4" applyNumberFormat="1" applyFont="1"/>
    <xf numFmtId="164" fontId="0" fillId="0" borderId="0" xfId="4" applyNumberFormat="1" applyFont="1" applyBorder="1"/>
    <xf numFmtId="164" fontId="0" fillId="0" borderId="0" xfId="4" applyNumberFormat="1" applyFont="1" applyBorder="1" applyAlignment="1">
      <alignment horizontal="center"/>
    </xf>
    <xf numFmtId="0" fontId="151" fillId="0" borderId="0" xfId="0" applyFont="1" applyAlignment="1">
      <alignment horizontal="center"/>
    </xf>
    <xf numFmtId="164" fontId="151" fillId="0" borderId="0" xfId="4" applyNumberFormat="1" applyFont="1" applyAlignment="1">
      <alignment horizontal="center"/>
    </xf>
    <xf numFmtId="164" fontId="151" fillId="0" borderId="0" xfId="4" applyNumberFormat="1" applyFont="1" applyBorder="1" applyAlignment="1">
      <alignment horizontal="center"/>
    </xf>
    <xf numFmtId="164" fontId="0" fillId="0" borderId="0" xfId="4" quotePrefix="1" applyNumberFormat="1" applyFont="1" applyBorder="1" applyAlignment="1">
      <alignment horizontal="right"/>
    </xf>
    <xf numFmtId="164" fontId="0" fillId="0" borderId="51" xfId="4" applyNumberFormat="1" applyFont="1" applyBorder="1"/>
    <xf numFmtId="43" fontId="14" fillId="0" borderId="0" xfId="4" applyFont="1" applyAlignment="1">
      <alignment horizontal="left"/>
    </xf>
    <xf numFmtId="43" fontId="0" fillId="0" borderId="0" xfId="4" applyFont="1" applyAlignment="1">
      <alignment horizontal="left"/>
    </xf>
    <xf numFmtId="43" fontId="158" fillId="0" borderId="0" xfId="4" applyFont="1" applyAlignment="1">
      <alignment horizontal="left" wrapText="1"/>
    </xf>
    <xf numFmtId="164" fontId="158" fillId="0" borderId="0" xfId="4" applyNumberFormat="1" applyFont="1" applyAlignment="1">
      <alignment horizontal="center" wrapText="1"/>
    </xf>
    <xf numFmtId="164" fontId="0" fillId="0" borderId="2" xfId="4" applyNumberFormat="1" applyFont="1" applyBorder="1"/>
    <xf numFmtId="173" fontId="161" fillId="0" borderId="0" xfId="5126" applyNumberFormat="1" applyFont="1" applyFill="1" applyBorder="1" applyAlignment="1">
      <alignment horizontal="center" wrapText="1"/>
    </xf>
    <xf numFmtId="10" fontId="161" fillId="0" borderId="0" xfId="1" applyNumberFormat="1" applyFont="1" applyFill="1" applyBorder="1" applyAlignment="1">
      <alignment horizontal="right" wrapText="1"/>
    </xf>
    <xf numFmtId="164" fontId="161" fillId="0" borderId="0" xfId="3950" applyNumberFormat="1" applyFont="1" applyFill="1" applyBorder="1" applyAlignment="1">
      <alignment horizontal="right" wrapText="1"/>
    </xf>
    <xf numFmtId="188" fontId="161" fillId="0" borderId="0" xfId="3950" applyNumberFormat="1" applyFont="1" applyFill="1" applyBorder="1" applyAlignment="1">
      <alignment horizontal="right" wrapText="1"/>
    </xf>
    <xf numFmtId="10" fontId="161" fillId="0" borderId="27" xfId="12089" applyNumberFormat="1" applyFont="1" applyFill="1" applyBorder="1" applyAlignment="1">
      <alignment horizontal="right" wrapText="1"/>
    </xf>
    <xf numFmtId="173" fontId="78" fillId="0" borderId="0" xfId="5126" applyNumberFormat="1" applyFont="1" applyFill="1" applyBorder="1" applyAlignment="1">
      <alignment horizontal="left" wrapText="1"/>
    </xf>
    <xf numFmtId="0" fontId="14" fillId="0" borderId="0" xfId="0" applyFont="1"/>
    <xf numFmtId="164" fontId="151" fillId="0" borderId="54" xfId="4" applyNumberFormat="1" applyFont="1" applyBorder="1" applyAlignment="1">
      <alignment horizontal="center"/>
    </xf>
    <xf numFmtId="0" fontId="0" fillId="0" borderId="0" xfId="0" quotePrefix="1" applyAlignment="1">
      <alignment horizontal="right"/>
    </xf>
    <xf numFmtId="164" fontId="0" fillId="0" borderId="55" xfId="4" applyNumberFormat="1" applyFont="1" applyBorder="1"/>
    <xf numFmtId="164" fontId="151" fillId="0" borderId="55" xfId="4" applyNumberFormat="1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51" xfId="0" applyNumberFormat="1" applyBorder="1"/>
    <xf numFmtId="164" fontId="0" fillId="0" borderId="59" xfId="0" applyNumberFormat="1" applyBorder="1"/>
    <xf numFmtId="164" fontId="0" fillId="0" borderId="0" xfId="0" applyNumberFormat="1"/>
    <xf numFmtId="0" fontId="162" fillId="0" borderId="0" xfId="0" applyFont="1"/>
    <xf numFmtId="0" fontId="163" fillId="0" borderId="0" xfId="0" applyFont="1"/>
    <xf numFmtId="43" fontId="157" fillId="0" borderId="0" xfId="4" applyFont="1"/>
    <xf numFmtId="43" fontId="0" fillId="0" borderId="0" xfId="4" applyFont="1"/>
    <xf numFmtId="43" fontId="0" fillId="0" borderId="0" xfId="0" applyNumberFormat="1"/>
    <xf numFmtId="49" fontId="10" fillId="0" borderId="0" xfId="5126" applyNumberFormat="1" applyFont="1" applyFill="1" applyBorder="1" applyAlignment="1">
      <alignment horizontal="center"/>
    </xf>
    <xf numFmtId="0" fontId="10" fillId="0" borderId="0" xfId="5126" applyFont="1" applyFill="1" applyBorder="1" applyAlignment="1">
      <alignment horizontal="center"/>
    </xf>
    <xf numFmtId="43" fontId="78" fillId="0" borderId="0" xfId="5126" applyNumberFormat="1" applyFont="1" applyFill="1" applyBorder="1" applyAlignment="1">
      <alignment horizontal="left" vertical="top"/>
    </xf>
    <xf numFmtId="175" fontId="10" fillId="0" borderId="0" xfId="5126" applyNumberFormat="1" applyFont="1" applyFill="1" applyBorder="1" applyAlignment="1">
      <alignment horizontal="left" wrapText="1"/>
    </xf>
    <xf numFmtId="9" fontId="78" fillId="0" borderId="0" xfId="6764" applyFont="1" applyFill="1" applyBorder="1" applyAlignment="1">
      <alignment horizontal="right" wrapText="1"/>
    </xf>
    <xf numFmtId="0" fontId="10" fillId="0" borderId="0" xfId="4614" applyFont="1" applyBorder="1"/>
    <xf numFmtId="189" fontId="78" fillId="0" borderId="27" xfId="6764" applyNumberFormat="1" applyFont="1" applyFill="1" applyBorder="1" applyAlignment="1">
      <alignment horizontal="right" wrapText="1"/>
    </xf>
    <xf numFmtId="10" fontId="78" fillId="0" borderId="0" xfId="6764" applyNumberFormat="1" applyFont="1" applyFill="1" applyBorder="1" applyAlignment="1">
      <alignment horizontal="right" wrapText="1"/>
    </xf>
    <xf numFmtId="164" fontId="78" fillId="0" borderId="0" xfId="6764" applyNumberFormat="1" applyFont="1" applyFill="1" applyBorder="1" applyAlignment="1">
      <alignment horizontal="right" wrapText="1"/>
    </xf>
    <xf numFmtId="0" fontId="3" fillId="0" borderId="0" xfId="14646"/>
    <xf numFmtId="10" fontId="78" fillId="0" borderId="0" xfId="14647" applyNumberFormat="1" applyFont="1" applyFill="1" applyBorder="1" applyAlignment="1">
      <alignment horizontal="center"/>
    </xf>
    <xf numFmtId="166" fontId="10" fillId="0" borderId="0" xfId="5126" applyNumberFormat="1" applyFont="1" applyFill="1" applyBorder="1" applyAlignment="1">
      <alignment horizontal="center"/>
    </xf>
    <xf numFmtId="164" fontId="78" fillId="0" borderId="0" xfId="14648" applyNumberFormat="1" applyFont="1" applyFill="1" applyBorder="1" applyAlignment="1">
      <alignment horizontal="center" vertical="center" wrapText="1"/>
    </xf>
    <xf numFmtId="164" fontId="78" fillId="0" borderId="0" xfId="14648" applyNumberFormat="1" applyFont="1" applyFill="1" applyBorder="1" applyAlignment="1">
      <alignment horizontal="center" vertical="center"/>
    </xf>
    <xf numFmtId="190" fontId="78" fillId="0" borderId="0" xfId="14648" applyNumberFormat="1" applyFont="1" applyFill="1" applyBorder="1" applyAlignment="1">
      <alignment horizontal="right"/>
    </xf>
    <xf numFmtId="0" fontId="10" fillId="0" borderId="0" xfId="11004" applyFont="1" applyBorder="1"/>
    <xf numFmtId="10" fontId="78" fillId="0" borderId="27" xfId="6764" applyNumberFormat="1" applyFont="1" applyFill="1" applyBorder="1" applyAlignment="1">
      <alignment horizontal="right" wrapText="1"/>
    </xf>
    <xf numFmtId="189" fontId="78" fillId="0" borderId="0" xfId="12089" applyNumberFormat="1" applyFont="1" applyFill="1" applyBorder="1" applyAlignment="1">
      <alignment horizontal="right" wrapText="1"/>
    </xf>
    <xf numFmtId="17" fontId="10" fillId="0" borderId="0" xfId="5126" applyNumberFormat="1" applyFont="1" applyFill="1" applyBorder="1" applyAlignment="1">
      <alignment horizontal="left" wrapText="1"/>
    </xf>
    <xf numFmtId="189" fontId="78" fillId="0" borderId="0" xfId="14647" applyNumberFormat="1" applyFont="1" applyFill="1" applyBorder="1" applyAlignment="1">
      <alignment horizontal="center"/>
    </xf>
    <xf numFmtId="0" fontId="152" fillId="85" borderId="0" xfId="14646" applyFont="1" applyFill="1"/>
    <xf numFmtId="0" fontId="153" fillId="0" borderId="0" xfId="14646" applyFont="1" applyFill="1"/>
    <xf numFmtId="0" fontId="154" fillId="0" borderId="0" xfId="14646" applyFont="1" applyFill="1"/>
    <xf numFmtId="0" fontId="155" fillId="0" borderId="0" xfId="14646" applyFont="1"/>
    <xf numFmtId="0" fontId="156" fillId="0" borderId="0" xfId="14646" applyFont="1" applyFill="1"/>
    <xf numFmtId="0" fontId="3" fillId="0" borderId="0" xfId="14646" applyFont="1"/>
    <xf numFmtId="17" fontId="157" fillId="86" borderId="0" xfId="14646" applyNumberFormat="1" applyFont="1" applyFill="1" applyAlignment="1">
      <alignment horizontal="center" wrapText="1"/>
    </xf>
    <xf numFmtId="17" fontId="158" fillId="0" borderId="0" xfId="14646" applyNumberFormat="1" applyFont="1" applyAlignment="1">
      <alignment horizontal="center" wrapText="1"/>
    </xf>
    <xf numFmtId="191" fontId="0" fillId="0" borderId="0" xfId="14647" applyNumberFormat="1" applyFont="1"/>
    <xf numFmtId="0" fontId="3" fillId="0" borderId="0" xfId="14646" applyAlignment="1">
      <alignment vertical="top"/>
    </xf>
    <xf numFmtId="191" fontId="158" fillId="0" borderId="0" xfId="14647" applyNumberFormat="1" applyFont="1"/>
    <xf numFmtId="0" fontId="3" fillId="0" borderId="0" xfId="14646" applyAlignment="1">
      <alignment horizontal="left" indent="2"/>
    </xf>
    <xf numFmtId="191" fontId="159" fillId="0" borderId="0" xfId="14647" applyNumberFormat="1" applyFont="1"/>
    <xf numFmtId="164" fontId="0" fillId="0" borderId="0" xfId="14648" applyNumberFormat="1" applyFont="1"/>
    <xf numFmtId="164" fontId="158" fillId="0" borderId="0" xfId="14648" applyNumberFormat="1" applyFont="1"/>
    <xf numFmtId="164" fontId="159" fillId="0" borderId="0" xfId="14648" applyNumberFormat="1" applyFont="1"/>
    <xf numFmtId="49" fontId="10" fillId="0" borderId="0" xfId="5126" applyNumberFormat="1" applyFont="1" applyFill="1" applyBorder="1" applyAlignment="1">
      <alignment horizontal="center"/>
    </xf>
    <xf numFmtId="0" fontId="154" fillId="0" borderId="0" xfId="14650" applyFont="1"/>
    <xf numFmtId="0" fontId="164" fillId="0" borderId="0" xfId="14650" applyFont="1" applyFill="1"/>
    <xf numFmtId="0" fontId="166" fillId="0" borderId="0" xfId="14650" applyFont="1" applyFill="1" applyAlignment="1">
      <alignment horizontal="center"/>
    </xf>
    <xf numFmtId="0" fontId="156" fillId="0" borderId="0" xfId="14650" applyFont="1" applyAlignment="1">
      <alignment horizontal="center" wrapText="1"/>
    </xf>
    <xf numFmtId="0" fontId="167" fillId="0" borderId="0" xfId="14650" applyFont="1" applyAlignment="1">
      <alignment horizontal="center" wrapText="1"/>
    </xf>
    <xf numFmtId="0" fontId="168" fillId="0" borderId="0" xfId="14650" applyFont="1" applyAlignment="1">
      <alignment horizontal="center" wrapText="1"/>
    </xf>
    <xf numFmtId="0" fontId="157" fillId="0" borderId="0" xfId="14650" applyFont="1" applyAlignment="1">
      <alignment horizontal="center" wrapText="1"/>
    </xf>
    <xf numFmtId="0" fontId="168" fillId="0" borderId="0" xfId="14650" applyFont="1" applyAlignment="1">
      <alignment horizontal="left"/>
    </xf>
    <xf numFmtId="0" fontId="168" fillId="0" borderId="0" xfId="14650" applyFont="1" applyAlignment="1">
      <alignment horizontal="left" indent="1"/>
    </xf>
    <xf numFmtId="187" fontId="156" fillId="0" borderId="0" xfId="14651" applyNumberFormat="1" applyFont="1"/>
    <xf numFmtId="164" fontId="156" fillId="0" borderId="0" xfId="14652" applyNumberFormat="1" applyFont="1"/>
    <xf numFmtId="10" fontId="156" fillId="0" borderId="0" xfId="14653" applyNumberFormat="1" applyFont="1"/>
    <xf numFmtId="0" fontId="156" fillId="0" borderId="0" xfId="14650" applyFont="1"/>
    <xf numFmtId="187" fontId="156" fillId="0" borderId="0" xfId="14650" applyNumberFormat="1" applyFont="1"/>
    <xf numFmtId="0" fontId="168" fillId="87" borderId="0" xfId="14650" applyFont="1" applyFill="1" applyAlignment="1">
      <alignment horizontal="left" indent="1"/>
    </xf>
    <xf numFmtId="164" fontId="156" fillId="87" borderId="0" xfId="14652" applyNumberFormat="1" applyFont="1" applyFill="1"/>
    <xf numFmtId="10" fontId="156" fillId="87" borderId="0" xfId="14653" applyNumberFormat="1" applyFont="1" applyFill="1"/>
    <xf numFmtId="0" fontId="168" fillId="0" borderId="0" xfId="14650" applyFont="1" applyFill="1" applyAlignment="1">
      <alignment horizontal="left" indent="1"/>
    </xf>
    <xf numFmtId="164" fontId="156" fillId="0" borderId="0" xfId="14652" applyNumberFormat="1" applyFont="1" applyFill="1"/>
    <xf numFmtId="10" fontId="156" fillId="0" borderId="0" xfId="14653" applyNumberFormat="1" applyFont="1" applyFill="1"/>
    <xf numFmtId="0" fontId="156" fillId="0" borderId="0" xfId="14650" applyFont="1" applyFill="1"/>
    <xf numFmtId="164" fontId="156" fillId="88" borderId="0" xfId="14652" applyNumberFormat="1" applyFont="1" applyFill="1"/>
    <xf numFmtId="164" fontId="156" fillId="89" borderId="0" xfId="14652" applyNumberFormat="1" applyFont="1" applyFill="1"/>
    <xf numFmtId="164" fontId="169" fillId="0" borderId="0" xfId="14652" applyNumberFormat="1" applyFont="1"/>
    <xf numFmtId="0" fontId="168" fillId="0" borderId="0" xfId="14650" applyFont="1"/>
    <xf numFmtId="187" fontId="170" fillId="0" borderId="0" xfId="14651" applyNumberFormat="1" applyFont="1"/>
    <xf numFmtId="0" fontId="165" fillId="87" borderId="0" xfId="14650" applyFont="1" applyFill="1" applyAlignment="1">
      <alignment horizontal="center" wrapText="1"/>
    </xf>
    <xf numFmtId="9" fontId="156" fillId="0" borderId="0" xfId="14653" applyNumberFormat="1" applyFont="1"/>
    <xf numFmtId="9" fontId="156" fillId="87" borderId="0" xfId="14653" applyNumberFormat="1" applyFont="1" applyFill="1"/>
    <xf numFmtId="9" fontId="156" fillId="0" borderId="0" xfId="14653" applyNumberFormat="1" applyFont="1" applyFill="1"/>
    <xf numFmtId="0" fontId="4" fillId="0" borderId="0" xfId="14643" applyFill="1"/>
    <xf numFmtId="0" fontId="10" fillId="0" borderId="0" xfId="0" applyFont="1" applyFill="1"/>
    <xf numFmtId="43" fontId="1" fillId="0" borderId="0" xfId="4" applyFont="1" applyFill="1" applyAlignment="1">
      <alignment horizontal="left"/>
    </xf>
    <xf numFmtId="164" fontId="10" fillId="0" borderId="0" xfId="4" applyNumberFormat="1" applyFont="1" applyFill="1"/>
    <xf numFmtId="164" fontId="1" fillId="0" borderId="0" xfId="4" applyNumberFormat="1" applyFont="1" applyFill="1" applyBorder="1"/>
    <xf numFmtId="49" fontId="10" fillId="0" borderId="0" xfId="5126" applyNumberFormat="1" applyFont="1" applyFill="1" applyBorder="1" applyAlignment="1">
      <alignment horizontal="center"/>
    </xf>
    <xf numFmtId="49" fontId="10" fillId="0" borderId="0" xfId="5126" applyNumberFormat="1" applyFont="1" applyFill="1" applyBorder="1" applyAlignment="1">
      <alignment horizontal="center"/>
    </xf>
    <xf numFmtId="0" fontId="10" fillId="0" borderId="0" xfId="5126" applyFont="1" applyFill="1" applyBorder="1" applyAlignment="1">
      <alignment horizontal="center"/>
    </xf>
    <xf numFmtId="49" fontId="10" fillId="0" borderId="0" xfId="5126" applyNumberFormat="1" applyFont="1" applyFill="1" applyBorder="1" applyAlignment="1">
      <alignment horizontal="center"/>
    </xf>
    <xf numFmtId="183" fontId="78" fillId="0" borderId="0" xfId="12089" applyNumberFormat="1" applyFont="1" applyFill="1" applyBorder="1" applyAlignment="1">
      <alignment horizontal="right" wrapText="1"/>
    </xf>
    <xf numFmtId="183" fontId="78" fillId="0" borderId="2" xfId="12089" applyNumberFormat="1" applyFont="1" applyFill="1" applyBorder="1" applyAlignment="1">
      <alignment horizontal="right" wrapText="1"/>
    </xf>
    <xf numFmtId="192" fontId="78" fillId="0" borderId="0" xfId="12089" applyNumberFormat="1" applyFont="1" applyFill="1" applyBorder="1" applyAlignment="1">
      <alignment horizontal="left" vertical="top"/>
    </xf>
    <xf numFmtId="183" fontId="78" fillId="0" borderId="27" xfId="12089" applyNumberFormat="1" applyFont="1" applyFill="1" applyBorder="1" applyAlignment="1">
      <alignment horizontal="right" wrapText="1"/>
    </xf>
    <xf numFmtId="193" fontId="78" fillId="0" borderId="0" xfId="12089" applyNumberFormat="1" applyFont="1" applyFill="1" applyBorder="1" applyAlignment="1">
      <alignment horizontal="right" wrapText="1"/>
    </xf>
    <xf numFmtId="49" fontId="10" fillId="0" borderId="0" xfId="5126" applyNumberFormat="1" applyFont="1" applyFill="1" applyBorder="1" applyAlignment="1">
      <alignment horizontal="center"/>
    </xf>
    <xf numFmtId="0" fontId="10" fillId="0" borderId="0" xfId="5126" applyFont="1" applyFill="1" applyBorder="1" applyAlignment="1">
      <alignment horizontal="center"/>
    </xf>
    <xf numFmtId="0" fontId="78" fillId="0" borderId="26" xfId="5126" applyFont="1" applyFill="1" applyBorder="1" applyAlignment="1">
      <alignment horizontal="center"/>
    </xf>
    <xf numFmtId="0" fontId="152" fillId="85" borderId="0" xfId="14650" applyFont="1" applyFill="1" applyAlignment="1">
      <alignment horizontal="center"/>
    </xf>
    <xf numFmtId="0" fontId="165" fillId="87" borderId="0" xfId="14650" applyFont="1" applyFill="1" applyAlignment="1">
      <alignment horizontal="center" wrapText="1"/>
    </xf>
    <xf numFmtId="164" fontId="0" fillId="0" borderId="48" xfId="4" applyNumberFormat="1" applyFont="1" applyBorder="1" applyAlignment="1">
      <alignment horizontal="center"/>
    </xf>
    <xf numFmtId="164" fontId="0" fillId="0" borderId="49" xfId="4" applyNumberFormat="1" applyFont="1" applyBorder="1" applyAlignment="1">
      <alignment horizontal="center"/>
    </xf>
    <xf numFmtId="164" fontId="0" fillId="0" borderId="50" xfId="4" applyNumberFormat="1" applyFont="1" applyBorder="1" applyAlignment="1">
      <alignment horizontal="center"/>
    </xf>
    <xf numFmtId="164" fontId="0" fillId="0" borderId="56" xfId="4" applyNumberFormat="1" applyFont="1" applyBorder="1" applyAlignment="1">
      <alignment horizontal="center"/>
    </xf>
    <xf numFmtId="164" fontId="0" fillId="0" borderId="57" xfId="4" applyNumberFormat="1" applyFont="1" applyBorder="1" applyAlignment="1">
      <alignment horizontal="center"/>
    </xf>
    <xf numFmtId="164" fontId="0" fillId="0" borderId="58" xfId="4" applyNumberFormat="1" applyFont="1" applyBorder="1" applyAlignment="1">
      <alignment horizontal="center"/>
    </xf>
    <xf numFmtId="164" fontId="0" fillId="0" borderId="52" xfId="4" applyNumberFormat="1" applyFont="1" applyBorder="1" applyAlignment="1">
      <alignment horizontal="center"/>
    </xf>
    <xf numFmtId="164" fontId="0" fillId="0" borderId="53" xfId="4" applyNumberFormat="1" applyFont="1" applyBorder="1" applyAlignment="1">
      <alignment horizontal="center"/>
    </xf>
  </cellXfs>
  <cellStyles count="14654">
    <cellStyle name="%" xfId="14316"/>
    <cellStyle name="_Ebill Paper Bill ARC Recovery" xfId="14317"/>
    <cellStyle name="_MTC Resource Unit Baseline by state 050920 v2" xfId="14318"/>
    <cellStyle name="_Row1" xfId="10"/>
    <cellStyle name="_Row1 2" xfId="11"/>
    <cellStyle name="_Term for Change of Control" xfId="14319"/>
    <cellStyle name="_Term for Convenience" xfId="14320"/>
    <cellStyle name="_Transformation Projects Cap vs Exp Master" xfId="14321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2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3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4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46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3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17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5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6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7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56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6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29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8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59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0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66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19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1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1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2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3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4"/>
    <cellStyle name="20% - Accent4 2 3 2 2 3" xfId="722"/>
    <cellStyle name="20% - Accent4 2 3 2 2 4" xfId="723"/>
    <cellStyle name="20% - Accent4 2 3 2 2 5" xfId="14465"/>
    <cellStyle name="20% - Accent4 2 3 2 3" xfId="724"/>
    <cellStyle name="20% - Accent4 2 3 2 3 2" xfId="725"/>
    <cellStyle name="20% - Accent4 2 3 2 3 3" xfId="14466"/>
    <cellStyle name="20% - Accent4 2 3 2 4" xfId="726"/>
    <cellStyle name="20% - Accent4 2 3 2 5" xfId="727"/>
    <cellStyle name="20% - Accent4 2 3 2 6" xfId="14467"/>
    <cellStyle name="20% - Accent4 2 3 3" xfId="728"/>
    <cellStyle name="20% - Accent4 2 3 3 2" xfId="729"/>
    <cellStyle name="20% - Accent4 2 3 3 2 2" xfId="730"/>
    <cellStyle name="20% - Accent4 2 3 3 2 3" xfId="14468"/>
    <cellStyle name="20% - Accent4 2 3 3 3" xfId="731"/>
    <cellStyle name="20% - Accent4 2 3 3 4" xfId="732"/>
    <cellStyle name="20% - Accent4 2 3 3 5" xfId="14469"/>
    <cellStyle name="20% - Accent4 2 3 4" xfId="733"/>
    <cellStyle name="20% - Accent4 2 3 4 2" xfId="734"/>
    <cellStyle name="20% - Accent4 2 3 4 3" xfId="14470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1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2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3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4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5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6"/>
    <cellStyle name="20% - Accent4 3 3 2 2 3" xfId="802"/>
    <cellStyle name="20% - Accent4 3 3 2 2 4" xfId="803"/>
    <cellStyle name="20% - Accent4 3 3 2 2 5" xfId="14477"/>
    <cellStyle name="20% - Accent4 3 3 2 3" xfId="804"/>
    <cellStyle name="20% - Accent4 3 3 2 3 2" xfId="805"/>
    <cellStyle name="20% - Accent4 3 3 2 3 3" xfId="14478"/>
    <cellStyle name="20% - Accent4 3 3 2 4" xfId="806"/>
    <cellStyle name="20% - Accent4 3 3 2 5" xfId="807"/>
    <cellStyle name="20% - Accent4 3 3 2 6" xfId="14479"/>
    <cellStyle name="20% - Accent4 3 3 3" xfId="808"/>
    <cellStyle name="20% - Accent4 3 3 3 2" xfId="809"/>
    <cellStyle name="20% - Accent4 3 3 3 2 2" xfId="810"/>
    <cellStyle name="20% - Accent4 3 3 3 2 3" xfId="14480"/>
    <cellStyle name="20% - Accent4 3 3 3 3" xfId="811"/>
    <cellStyle name="20% - Accent4 3 3 3 4" xfId="812"/>
    <cellStyle name="20% - Accent4 3 3 3 5" xfId="14481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2 4" xfId="14482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2 6" xfId="14483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3 4" xfId="14484"/>
    <cellStyle name="20% - Accent4 4 2 2 4" xfId="856"/>
    <cellStyle name="20% - Accent4 4 2 2 4 2" xfId="857"/>
    <cellStyle name="20% - Accent4 4 2 2 5" xfId="858"/>
    <cellStyle name="20% - Accent4 4 2 2 6" xfId="859"/>
    <cellStyle name="20% - Accent4 4 2 2 7" xfId="14485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2 4" xfId="14486"/>
    <cellStyle name="20% - Accent4 4 2 3 3" xfId="865"/>
    <cellStyle name="20% - Accent4 4 2 3 3 2" xfId="866"/>
    <cellStyle name="20% - Accent4 4 2 3 4" xfId="867"/>
    <cellStyle name="20% - Accent4 4 2 3 5" xfId="868"/>
    <cellStyle name="20% - Accent4 4 2 3 6" xfId="14487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3"/>
    <cellStyle name="20% - Accent4 4 2 5" xfId="873"/>
    <cellStyle name="20% - Accent4 4 2 5 2" xfId="874"/>
    <cellStyle name="20% - Accent4 4 2 6" xfId="875"/>
    <cellStyle name="20% - Accent4 4 2 7" xfId="876"/>
    <cellStyle name="20% - Accent4 4 2 8" xfId="8794"/>
    <cellStyle name="20% - Accent4 4 2 9" xfId="8795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2 3" xfId="14488"/>
    <cellStyle name="20% - Accent4 4 3 2 2 3" xfId="882"/>
    <cellStyle name="20% - Accent4 4 3 2 2 4" xfId="883"/>
    <cellStyle name="20% - Accent4 4 3 2 2 5" xfId="14489"/>
    <cellStyle name="20% - Accent4 4 3 2 3" xfId="884"/>
    <cellStyle name="20% - Accent4 4 3 2 3 2" xfId="885"/>
    <cellStyle name="20% - Accent4 4 3 2 3 3" xfId="14490"/>
    <cellStyle name="20% - Accent4 4 3 2 4" xfId="886"/>
    <cellStyle name="20% - Accent4 4 3 2 5" xfId="887"/>
    <cellStyle name="20% - Accent4 4 3 2 6" xfId="14491"/>
    <cellStyle name="20% - Accent4 4 3 3" xfId="888"/>
    <cellStyle name="20% - Accent4 4 3 3 2" xfId="889"/>
    <cellStyle name="20% - Accent4 4 3 3 2 2" xfId="890"/>
    <cellStyle name="20% - Accent4 4 3 3 2 3" xfId="14492"/>
    <cellStyle name="20% - Accent4 4 3 3 3" xfId="891"/>
    <cellStyle name="20% - Accent4 4 3 3 4" xfId="892"/>
    <cellStyle name="20% - Accent4 4 3 3 5" xfId="14493"/>
    <cellStyle name="20% - Accent4 4 3 4" xfId="893"/>
    <cellStyle name="20% - Accent4 4 3 4 2" xfId="894"/>
    <cellStyle name="20% - Accent4 4 3 4 3" xfId="8796"/>
    <cellStyle name="20% - Accent4 4 3 4 4" xfId="8797"/>
    <cellStyle name="20% - Accent4 4 3 5" xfId="895"/>
    <cellStyle name="20% - Accent4 4 3 5 2" xfId="8798"/>
    <cellStyle name="20% - Accent4 4 3 6" xfId="896"/>
    <cellStyle name="20% - Accent4 4 3 7" xfId="8799"/>
    <cellStyle name="20% - Accent4 4 3 8" xfId="8800"/>
    <cellStyle name="20% - Accent4 4 3 9" xfId="8801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2"/>
    <cellStyle name="20% - Accent4 4 4 2 2 3" xfId="901"/>
    <cellStyle name="20% - Accent4 4 4 2 2 4" xfId="8803"/>
    <cellStyle name="20% - Accent4 4 4 2 3" xfId="902"/>
    <cellStyle name="20% - Accent4 4 4 2 3 2" xfId="8804"/>
    <cellStyle name="20% - Accent4 4 4 2 4" xfId="903"/>
    <cellStyle name="20% - Accent4 4 4 2 5" xfId="8805"/>
    <cellStyle name="20% - Accent4 4 4 3" xfId="904"/>
    <cellStyle name="20% - Accent4 4 4 3 2" xfId="905"/>
    <cellStyle name="20% - Accent4 4 4 3 2 2" xfId="8806"/>
    <cellStyle name="20% - Accent4 4 4 3 3" xfId="906"/>
    <cellStyle name="20% - Accent4 4 4 3 4" xfId="8807"/>
    <cellStyle name="20% - Accent4 4 4 4" xfId="907"/>
    <cellStyle name="20% - Accent4 4 4 4 2" xfId="8808"/>
    <cellStyle name="20% - Accent4 4 4 5" xfId="908"/>
    <cellStyle name="20% - Accent4 4 4 6" xfId="8809"/>
    <cellStyle name="20% - Accent4 4 5" xfId="909"/>
    <cellStyle name="20% - Accent4 4 5 2" xfId="910"/>
    <cellStyle name="20% - Accent4 4 5 2 2" xfId="911"/>
    <cellStyle name="20% - Accent4 4 5 2 2 2" xfId="8810"/>
    <cellStyle name="20% - Accent4 4 5 2 3" xfId="912"/>
    <cellStyle name="20% - Accent4 4 5 2 4" xfId="8811"/>
    <cellStyle name="20% - Accent4 4 5 3" xfId="913"/>
    <cellStyle name="20% - Accent4 4 5 3 2" xfId="8812"/>
    <cellStyle name="20% - Accent4 4 5 4" xfId="914"/>
    <cellStyle name="20% - Accent4 4 5 5" xfId="8813"/>
    <cellStyle name="20% - Accent4 4 6" xfId="915"/>
    <cellStyle name="20% - Accent4 4 6 2" xfId="916"/>
    <cellStyle name="20% - Accent4 4 6 2 2" xfId="8814"/>
    <cellStyle name="20% - Accent4 4 6 3" xfId="917"/>
    <cellStyle name="20% - Accent4 4 6 4" xfId="8815"/>
    <cellStyle name="20% - Accent4 4 7" xfId="918"/>
    <cellStyle name="20% - Accent4 4 7 2" xfId="8816"/>
    <cellStyle name="20% - Accent4 4 7 3" xfId="8817"/>
    <cellStyle name="20% - Accent4 4 7 4" xfId="8818"/>
    <cellStyle name="20% - Accent4 4 8" xfId="919"/>
    <cellStyle name="20% - Accent4 4 9" xfId="13553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4"/>
    <cellStyle name="20% - Accent4 6 2 2 3" xfId="958"/>
    <cellStyle name="20% - Accent4 6 2 2 4" xfId="14495"/>
    <cellStyle name="20% - Accent4 6 2 3" xfId="959"/>
    <cellStyle name="20% - Accent4 6 2 3 2" xfId="960"/>
    <cellStyle name="20% - Accent4 6 2 3 3" xfId="14496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7"/>
    <cellStyle name="20% - Accent4 6 3 3" xfId="965"/>
    <cellStyle name="20% - Accent4 6 3 4" xfId="14498"/>
    <cellStyle name="20% - Accent4 6 4" xfId="966"/>
    <cellStyle name="20% - Accent4 6 4 2" xfId="967"/>
    <cellStyle name="20% - Accent4 6 4 3" xfId="14499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0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1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2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4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29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65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3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4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5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4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2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77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6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7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8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4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5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89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09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0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1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4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68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1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2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3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4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4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1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3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5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6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7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4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4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25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8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19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0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4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7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3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1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2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3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4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0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49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2" xfId="2729"/>
    <cellStyle name="60% - Accent1 2 2" xfId="2730"/>
    <cellStyle name="60% - Accent1 2 2 2" xfId="14189"/>
    <cellStyle name="60% - Accent1 2 3" xfId="13655"/>
    <cellStyle name="60% - Accent1 3" xfId="2731"/>
    <cellStyle name="60% - Accent1 3 2" xfId="13656"/>
    <cellStyle name="60% - Accent1 4" xfId="2732"/>
    <cellStyle name="60% - Accent1 4 2" xfId="13657"/>
    <cellStyle name="60% - Accent1 5" xfId="8932"/>
    <cellStyle name="60% - Accent1 6" xfId="8933"/>
    <cellStyle name="60% - Accent1 7" xfId="8934"/>
    <cellStyle name="60% - Accent1 8" xfId="8935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2" xfId="2733"/>
    <cellStyle name="60% - Accent2 2 2" xfId="2734"/>
    <cellStyle name="60% - Accent2 2 2 2" xfId="14191"/>
    <cellStyle name="60% - Accent2 2 3" xfId="13658"/>
    <cellStyle name="60% - Accent2 3" xfId="2735"/>
    <cellStyle name="60% - Accent2 3 2" xfId="13659"/>
    <cellStyle name="60% - Accent2 4" xfId="2736"/>
    <cellStyle name="60% - Accent2 4 2" xfId="13660"/>
    <cellStyle name="60% - Accent2 5" xfId="8945"/>
    <cellStyle name="60% - Accent2 6" xfId="8946"/>
    <cellStyle name="60% - Accent2 7" xfId="8947"/>
    <cellStyle name="60% - Accent2 8" xfId="8948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2" xfId="2737"/>
    <cellStyle name="60% - Accent3 2 2" xfId="2738"/>
    <cellStyle name="60% - Accent3 2 2 2" xfId="14193"/>
    <cellStyle name="60% - Accent3 2 3" xfId="13661"/>
    <cellStyle name="60% - Accent3 3" xfId="2739"/>
    <cellStyle name="60% - Accent3 3 2" xfId="13662"/>
    <cellStyle name="60% - Accent3 4" xfId="2740"/>
    <cellStyle name="60% - Accent3 4 2" xfId="13663"/>
    <cellStyle name="60% - Accent3 5" xfId="8958"/>
    <cellStyle name="60% - Accent3 6" xfId="8959"/>
    <cellStyle name="60% - Accent3 7" xfId="8960"/>
    <cellStyle name="60% - Accent3 8" xfId="8961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2" xfId="2741"/>
    <cellStyle name="60% - Accent4 2 2" xfId="2742"/>
    <cellStyle name="60% - Accent4 2 2 2" xfId="14195"/>
    <cellStyle name="60% - Accent4 2 3" xfId="13664"/>
    <cellStyle name="60% - Accent4 3" xfId="2743"/>
    <cellStyle name="60% - Accent4 3 2" xfId="13665"/>
    <cellStyle name="60% - Accent4 4" xfId="2744"/>
    <cellStyle name="60% - Accent4 4 2" xfId="13666"/>
    <cellStyle name="60% - Accent4 5" xfId="8971"/>
    <cellStyle name="60% - Accent4 6" xfId="8972"/>
    <cellStyle name="60% - Accent4 7" xfId="8973"/>
    <cellStyle name="60% - Accent4 8" xfId="897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2" xfId="2745"/>
    <cellStyle name="60% - Accent5 2 2" xfId="2746"/>
    <cellStyle name="60% - Accent5 2 2 2" xfId="14197"/>
    <cellStyle name="60% - Accent5 2 3" xfId="13667"/>
    <cellStyle name="60% - Accent5 3" xfId="2747"/>
    <cellStyle name="60% - Accent5 3 2" xfId="13668"/>
    <cellStyle name="60% - Accent5 4" xfId="2748"/>
    <cellStyle name="60% - Accent5 4 2" xfId="13669"/>
    <cellStyle name="60% - Accent5 5" xfId="8984"/>
    <cellStyle name="60% - Accent5 6" xfId="8985"/>
    <cellStyle name="60% - Accent5 7" xfId="8986"/>
    <cellStyle name="60% - Accent5 8" xfId="8987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2" xfId="2749"/>
    <cellStyle name="60% - Accent6 2 2" xfId="2750"/>
    <cellStyle name="60% - Accent6 2 2 2" xfId="14199"/>
    <cellStyle name="60% - Accent6 2 3" xfId="13670"/>
    <cellStyle name="60% - Accent6 3" xfId="2751"/>
    <cellStyle name="60% - Accent6 3 2" xfId="13671"/>
    <cellStyle name="60% - Accent6 4" xfId="2752"/>
    <cellStyle name="60% - Accent6 4 2" xfId="13672"/>
    <cellStyle name="60% - Accent6 5" xfId="8997"/>
    <cellStyle name="60% - Accent6 6" xfId="8998"/>
    <cellStyle name="60% - Accent6 7" xfId="8999"/>
    <cellStyle name="60% - Accent6 8" xfId="9000"/>
    <cellStyle name="60% - Accent6 9" xfId="9001"/>
    <cellStyle name="ac" xfId="9002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2" xfId="2753"/>
    <cellStyle name="Accent1 2 2" xfId="2754"/>
    <cellStyle name="Accent1 2 2 2" xfId="14201"/>
    <cellStyle name="Accent1 2 3" xfId="13673"/>
    <cellStyle name="Accent1 3" xfId="2755"/>
    <cellStyle name="Accent1 3 2" xfId="13674"/>
    <cellStyle name="Accent1 4" xfId="2756"/>
    <cellStyle name="Accent1 4 2" xfId="13675"/>
    <cellStyle name="Accent1 5" xfId="9011"/>
    <cellStyle name="Accent1 6" xfId="9012"/>
    <cellStyle name="Accent1 7" xfId="9013"/>
    <cellStyle name="Accent1 8" xfId="9014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2" xfId="2757"/>
    <cellStyle name="Accent2 2 2" xfId="2758"/>
    <cellStyle name="Accent2 2 2 2" xfId="14203"/>
    <cellStyle name="Accent2 2 3" xfId="13676"/>
    <cellStyle name="Accent2 3" xfId="2759"/>
    <cellStyle name="Accent2 3 2" xfId="13677"/>
    <cellStyle name="Accent2 4" xfId="2760"/>
    <cellStyle name="Accent2 4 2" xfId="13678"/>
    <cellStyle name="Accent2 5" xfId="9024"/>
    <cellStyle name="Accent2 6" xfId="9025"/>
    <cellStyle name="Accent2 7" xfId="9026"/>
    <cellStyle name="Accent2 8" xfId="9027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2" xfId="2761"/>
    <cellStyle name="Accent3 2 2" xfId="2762"/>
    <cellStyle name="Accent3 2 2 2" xfId="14205"/>
    <cellStyle name="Accent3 2 3" xfId="13679"/>
    <cellStyle name="Accent3 3" xfId="2763"/>
    <cellStyle name="Accent3 3 2" xfId="13680"/>
    <cellStyle name="Accent3 4" xfId="2764"/>
    <cellStyle name="Accent3 4 2" xfId="13681"/>
    <cellStyle name="Accent3 5" xfId="9037"/>
    <cellStyle name="Accent3 6" xfId="9038"/>
    <cellStyle name="Accent3 7" xfId="9039"/>
    <cellStyle name="Accent3 8" xfId="9040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2" xfId="2765"/>
    <cellStyle name="Accent4 2 2" xfId="2766"/>
    <cellStyle name="Accent4 2 2 2" xfId="14207"/>
    <cellStyle name="Accent4 2 3" xfId="13682"/>
    <cellStyle name="Accent4 3" xfId="2767"/>
    <cellStyle name="Accent4 3 2" xfId="13683"/>
    <cellStyle name="Accent4 4" xfId="2768"/>
    <cellStyle name="Accent4 4 2" xfId="13684"/>
    <cellStyle name="Accent4 5" xfId="9050"/>
    <cellStyle name="Accent4 6" xfId="9051"/>
    <cellStyle name="Accent4 7" xfId="9052"/>
    <cellStyle name="Accent4 8" xfId="9053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2" xfId="2769"/>
    <cellStyle name="Accent5 2 2" xfId="2770"/>
    <cellStyle name="Accent5 2 2 2" xfId="14208"/>
    <cellStyle name="Accent5 2 3" xfId="13685"/>
    <cellStyle name="Accent5 3" xfId="2771"/>
    <cellStyle name="Accent5 3 2" xfId="13686"/>
    <cellStyle name="Accent5 4" xfId="2772"/>
    <cellStyle name="Accent5 4 2" xfId="13687"/>
    <cellStyle name="Accent5 5" xfId="9063"/>
    <cellStyle name="Accent5 6" xfId="9064"/>
    <cellStyle name="Accent5 7" xfId="9065"/>
    <cellStyle name="Accent5 8" xfId="9066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2" xfId="2773"/>
    <cellStyle name="Accent6 2 2" xfId="2774"/>
    <cellStyle name="Accent6 2 2 2" xfId="14210"/>
    <cellStyle name="Accent6 2 3" xfId="13688"/>
    <cellStyle name="Accent6 3" xfId="2775"/>
    <cellStyle name="Accent6 3 2" xfId="13689"/>
    <cellStyle name="Accent6 4" xfId="2776"/>
    <cellStyle name="Accent6 4 2" xfId="13690"/>
    <cellStyle name="Accent6 5" xfId="9076"/>
    <cellStyle name="Accent6 6" xfId="9077"/>
    <cellStyle name="Accent6 7" xfId="9078"/>
    <cellStyle name="Accent6 8" xfId="9079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2" xfId="2777"/>
    <cellStyle name="Bad 2 2" xfId="2778"/>
    <cellStyle name="Bad 2 2 2" xfId="14212"/>
    <cellStyle name="Bad 2 3" xfId="13691"/>
    <cellStyle name="Bad 3" xfId="2779"/>
    <cellStyle name="Bad 3 2" xfId="13692"/>
    <cellStyle name="Bad 4" xfId="9089"/>
    <cellStyle name="Bad 5" xfId="9090"/>
    <cellStyle name="Bad 6" xfId="9091"/>
    <cellStyle name="Bad 7" xfId="9092"/>
    <cellStyle name="Bad 8" xfId="9093"/>
    <cellStyle name="Bad 9" xfId="9094"/>
    <cellStyle name="c" xfId="9095"/>
    <cellStyle name="C00A" xfId="14322"/>
    <cellStyle name="C00B" xfId="14323"/>
    <cellStyle name="C00L" xfId="14324"/>
    <cellStyle name="C01A" xfId="14325"/>
    <cellStyle name="C01B" xfId="14326"/>
    <cellStyle name="C01H" xfId="14327"/>
    <cellStyle name="C01L" xfId="14328"/>
    <cellStyle name="C02A" xfId="14329"/>
    <cellStyle name="C02B" xfId="14330"/>
    <cellStyle name="C02H" xfId="14331"/>
    <cellStyle name="C02L" xfId="14332"/>
    <cellStyle name="C03A" xfId="14333"/>
    <cellStyle name="C03B" xfId="14334"/>
    <cellStyle name="C03H" xfId="14335"/>
    <cellStyle name="C03L" xfId="14336"/>
    <cellStyle name="C04A" xfId="14337"/>
    <cellStyle name="C04B" xfId="14338"/>
    <cellStyle name="C04H" xfId="14339"/>
    <cellStyle name="C04L" xfId="14340"/>
    <cellStyle name="C05A" xfId="14341"/>
    <cellStyle name="C05B" xfId="14342"/>
    <cellStyle name="C05H" xfId="14343"/>
    <cellStyle name="C05L" xfId="14344"/>
    <cellStyle name="C06A" xfId="14345"/>
    <cellStyle name="C06B" xfId="14346"/>
    <cellStyle name="C06H" xfId="14347"/>
    <cellStyle name="C06L" xfId="14348"/>
    <cellStyle name="C07A" xfId="14349"/>
    <cellStyle name="C07B" xfId="14350"/>
    <cellStyle name="C07H" xfId="14351"/>
    <cellStyle name="C07L" xfId="14352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4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2" xfId="3150"/>
    <cellStyle name="Check Cell 2 2" xfId="3151"/>
    <cellStyle name="Check Cell 2 2 2" xfId="14215"/>
    <cellStyle name="Check Cell 2 3" xfId="13708"/>
    <cellStyle name="Check Cell 3" xfId="3152"/>
    <cellStyle name="Check Cell 3 2" xfId="13709"/>
    <cellStyle name="Check Cell 4" xfId="9403"/>
    <cellStyle name="Check Cell 5" xfId="9404"/>
    <cellStyle name="Check Cell 6" xfId="9405"/>
    <cellStyle name="Check Cell 7" xfId="9406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5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6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7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8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29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0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56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28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57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3"/>
    <cellStyle name="Comma 101" xfId="14354"/>
    <cellStyle name="Comma 102" xfId="14355"/>
    <cellStyle name="Comma 103" xfId="14356"/>
    <cellStyle name="Comma 104" xfId="14357"/>
    <cellStyle name="Comma 105" xfId="14358"/>
    <cellStyle name="Comma 106" xfId="14359"/>
    <cellStyle name="Comma 107" xfId="14402"/>
    <cellStyle name="Comma 108" xfId="14403"/>
    <cellStyle name="Comma 109" xfId="14404"/>
    <cellStyle name="Comma 11" xfId="3243"/>
    <cellStyle name="Comma 11 10" xfId="9417"/>
    <cellStyle name="Comma 11 2" xfId="3244"/>
    <cellStyle name="Comma 11 2 2" xfId="3245"/>
    <cellStyle name="Comma 11 2 2 2" xfId="3246"/>
    <cellStyle name="Comma 11 2 2 2 2" xfId="3247"/>
    <cellStyle name="Comma 11 2 2 2 3" xfId="13958"/>
    <cellStyle name="Comma 11 2 2 3" xfId="3248"/>
    <cellStyle name="Comma 11 2 2 3 2" xfId="13959"/>
    <cellStyle name="Comma 11 2 2 4" xfId="9418"/>
    <cellStyle name="Comma 11 2 2 5" xfId="9419"/>
    <cellStyle name="Comma 11 2 3" xfId="3249"/>
    <cellStyle name="Comma 11 2 3 2" xfId="3250"/>
    <cellStyle name="Comma 11 2 3 3" xfId="13960"/>
    <cellStyle name="Comma 11 2 4" xfId="3251"/>
    <cellStyle name="Comma 11 2 4 2" xfId="13961"/>
    <cellStyle name="Comma 11 2 5" xfId="9420"/>
    <cellStyle name="Comma 11 2 6" xfId="9421"/>
    <cellStyle name="Comma 11 3" xfId="3252"/>
    <cellStyle name="Comma 11 3 2" xfId="3253"/>
    <cellStyle name="Comma 11 3 2 2" xfId="3254"/>
    <cellStyle name="Comma 11 3 2 2 2" xfId="9422"/>
    <cellStyle name="Comma 11 3 2 3" xfId="9423"/>
    <cellStyle name="Comma 11 3 2 4" xfId="9424"/>
    <cellStyle name="Comma 11 3 2 5" xfId="9425"/>
    <cellStyle name="Comma 11 3 3" xfId="3255"/>
    <cellStyle name="Comma 11 3 3 2" xfId="9426"/>
    <cellStyle name="Comma 11 3 4" xfId="9427"/>
    <cellStyle name="Comma 11 3 5" xfId="9428"/>
    <cellStyle name="Comma 11 3 6" xfId="9429"/>
    <cellStyle name="Comma 11 4" xfId="3256"/>
    <cellStyle name="Comma 11 4 2" xfId="3257"/>
    <cellStyle name="Comma 11 4 2 2" xfId="9430"/>
    <cellStyle name="Comma 11 4 3" xfId="9431"/>
    <cellStyle name="Comma 11 4 4" xfId="9432"/>
    <cellStyle name="Comma 11 4 5" xfId="9433"/>
    <cellStyle name="Comma 11 5" xfId="3258"/>
    <cellStyle name="Comma 11 5 2" xfId="3259"/>
    <cellStyle name="Comma 11 5 2 2" xfId="9434"/>
    <cellStyle name="Comma 11 5 3" xfId="9435"/>
    <cellStyle name="Comma 11 5 4" xfId="9436"/>
    <cellStyle name="Comma 11 5 5" xfId="9437"/>
    <cellStyle name="Comma 11 6" xfId="3260"/>
    <cellStyle name="Comma 11 6 2" xfId="9438"/>
    <cellStyle name="Comma 11 6 3" xfId="9439"/>
    <cellStyle name="Comma 11 7" xfId="9440"/>
    <cellStyle name="Comma 11 7 2" xfId="9441"/>
    <cellStyle name="Comma 11 8" xfId="9442"/>
    <cellStyle name="Comma 11 9" xfId="9443"/>
    <cellStyle name="Comma 110" xfId="14405"/>
    <cellStyle name="Comma 111" xfId="14406"/>
    <cellStyle name="Comma 112" xfId="14407"/>
    <cellStyle name="Comma 113" xfId="14408"/>
    <cellStyle name="Comma 114" xfId="14409"/>
    <cellStyle name="Comma 115" xfId="14410"/>
    <cellStyle name="Comma 116" xfId="14630"/>
    <cellStyle name="Comma 117" xfId="14644"/>
    <cellStyle name="Comma 118" xfId="14648"/>
    <cellStyle name="Comma 119" xfId="14652"/>
    <cellStyle name="Comma 12" xfId="3261"/>
    <cellStyle name="Comma 12 2" xfId="3262"/>
    <cellStyle name="Comma 12 2 2" xfId="9444"/>
    <cellStyle name="Comma 12 2 3" xfId="9445"/>
    <cellStyle name="Comma 12 3" xfId="9446"/>
    <cellStyle name="Comma 12 3 2" xfId="9447"/>
    <cellStyle name="Comma 12 4" xfId="9448"/>
    <cellStyle name="Comma 12 5" xfId="9449"/>
    <cellStyle name="Comma 12 6" xfId="9450"/>
    <cellStyle name="Comma 13" xfId="3263"/>
    <cellStyle name="Comma 13 2" xfId="9451"/>
    <cellStyle name="Comma 13 2 2" xfId="9452"/>
    <cellStyle name="Comma 13 2 3" xfId="9453"/>
    <cellStyle name="Comma 13 2 4" xfId="13962"/>
    <cellStyle name="Comma 13 3" xfId="9454"/>
    <cellStyle name="Comma 13 3 2" xfId="9455"/>
    <cellStyle name="Comma 13 4" xfId="9456"/>
    <cellStyle name="Comma 13 5" xfId="9457"/>
    <cellStyle name="Comma 13 6" xfId="9458"/>
    <cellStyle name="Comma 14" xfId="3264"/>
    <cellStyle name="Comma 14 2" xfId="3265"/>
    <cellStyle name="Comma 14 2 2" xfId="9459"/>
    <cellStyle name="Comma 14 3" xfId="9460"/>
    <cellStyle name="Comma 14 4" xfId="9461"/>
    <cellStyle name="Comma 14 5" xfId="9462"/>
    <cellStyle name="Comma 15" xfId="3266"/>
    <cellStyle name="Comma 15 2" xfId="3267"/>
    <cellStyle name="Comma 15 2 2" xfId="9463"/>
    <cellStyle name="Comma 15 3" xfId="9464"/>
    <cellStyle name="Comma 15 4" xfId="9465"/>
    <cellStyle name="Comma 15 5" xfId="9466"/>
    <cellStyle name="Comma 16" xfId="3268"/>
    <cellStyle name="Comma 16 2" xfId="3269"/>
    <cellStyle name="Comma 16 2 2" xfId="9467"/>
    <cellStyle name="Comma 16 3" xfId="9468"/>
    <cellStyle name="Comma 16 4" xfId="9469"/>
    <cellStyle name="Comma 16 5" xfId="9470"/>
    <cellStyle name="Comma 17" xfId="3270"/>
    <cellStyle name="Comma 17 2" xfId="3271"/>
    <cellStyle name="Comma 17 2 2" xfId="9471"/>
    <cellStyle name="Comma 17 3" xfId="9472"/>
    <cellStyle name="Comma 17 4" xfId="9473"/>
    <cellStyle name="Comma 17 5" xfId="9474"/>
    <cellStyle name="Comma 18" xfId="3272"/>
    <cellStyle name="Comma 18 2" xfId="3273"/>
    <cellStyle name="Comma 18 2 2" xfId="9475"/>
    <cellStyle name="Comma 18 3" xfId="9476"/>
    <cellStyle name="Comma 18 4" xfId="9477"/>
    <cellStyle name="Comma 18 5" xfId="9478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3" xfId="13966"/>
    <cellStyle name="Comma 2 2 4" xfId="9510"/>
    <cellStyle name="Comma 2 2 5" xfId="13716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1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1" xfId="3545"/>
    <cellStyle name="Comma 21 2" xfId="9802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2"/>
    <cellStyle name="Comma 3" xfId="3554"/>
    <cellStyle name="Comma 3 10" xfId="3555"/>
    <cellStyle name="Comma 3 11" xfId="3556"/>
    <cellStyle name="Comma 3 12" xfId="14532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3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4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5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6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7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8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39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0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1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2"/>
    <cellStyle name="Comma 3 4 2 2 3" xfId="3681"/>
    <cellStyle name="Comma 3 4 2 2 4" xfId="3682"/>
    <cellStyle name="Comma 3 4 2 2 5" xfId="14543"/>
    <cellStyle name="Comma 3 4 2 3" xfId="3683"/>
    <cellStyle name="Comma 3 4 2 3 2" xfId="3684"/>
    <cellStyle name="Comma 3 4 2 3 3" xfId="14544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5"/>
    <cellStyle name="Comma 3 4 3 3" xfId="3690"/>
    <cellStyle name="Comma 3 4 3 4" xfId="3691"/>
    <cellStyle name="Comma 3 4 3 5" xfId="14546"/>
    <cellStyle name="Comma 3 4 4" xfId="3692"/>
    <cellStyle name="Comma 3 4 4 2" xfId="3693"/>
    <cellStyle name="Comma 3 4 4 3" xfId="14547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8"/>
    <cellStyle name="Comma 3 5 2 3" xfId="3702"/>
    <cellStyle name="Comma 3 5 2 3 2" xfId="3703"/>
    <cellStyle name="Comma 3 5 2 4" xfId="3704"/>
    <cellStyle name="Comma 3 5 2 5" xfId="3705"/>
    <cellStyle name="Comma 3 5 2 6" xfId="14549"/>
    <cellStyle name="Comma 3 5 3" xfId="3706"/>
    <cellStyle name="Comma 3 5 3 2" xfId="3707"/>
    <cellStyle name="Comma 3 5 3 2 2" xfId="3708"/>
    <cellStyle name="Comma 3 5 3 3" xfId="3709"/>
    <cellStyle name="Comma 3 5 3 4" xfId="14550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1"/>
    <cellStyle name="Comma 3 6 3" xfId="3720"/>
    <cellStyle name="Comma 3 6 3 2" xfId="3721"/>
    <cellStyle name="Comma 3 6 4" xfId="3722"/>
    <cellStyle name="Comma 3 6 5" xfId="3723"/>
    <cellStyle name="Comma 3 6 6" xfId="14552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3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14631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1" xfId="9836"/>
    <cellStyle name="Comma 6 12" xfId="9837"/>
    <cellStyle name="Comma 6 13" xfId="9838"/>
    <cellStyle name="Comma 6 2" xfId="3850"/>
    <cellStyle name="Comma 6 2 2" xfId="3851"/>
    <cellStyle name="Comma 6 2 2 2" xfId="9839"/>
    <cellStyle name="Comma 6 2 3" xfId="9840"/>
    <cellStyle name="Comma 6 2 3 2" xfId="9841"/>
    <cellStyle name="Comma 6 2 3 3" xfId="9842"/>
    <cellStyle name="Comma 6 2 3 4" xfId="14029"/>
    <cellStyle name="Comma 6 2 4" xfId="9843"/>
    <cellStyle name="Comma 6 2 4 2" xfId="9844"/>
    <cellStyle name="Comma 6 2 5" xfId="9845"/>
    <cellStyle name="Comma 6 2 6" xfId="9846"/>
    <cellStyle name="Comma 6 2 7" xfId="9847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0"/>
    <cellStyle name="Comma 6 3 2 2 3" xfId="3857"/>
    <cellStyle name="Comma 6 3 2 2 3 2" xfId="14031"/>
    <cellStyle name="Comma 6 3 2 2 4" xfId="9848"/>
    <cellStyle name="Comma 6 3 2 2 5" xfId="9849"/>
    <cellStyle name="Comma 6 3 2 3" xfId="3858"/>
    <cellStyle name="Comma 6 3 2 3 2" xfId="3859"/>
    <cellStyle name="Comma 6 3 2 3 3" xfId="14032"/>
    <cellStyle name="Comma 6 3 2 4" xfId="3860"/>
    <cellStyle name="Comma 6 3 2 4 2" xfId="14033"/>
    <cellStyle name="Comma 6 3 2 5" xfId="9850"/>
    <cellStyle name="Comma 6 3 2 6" xfId="9851"/>
    <cellStyle name="Comma 6 3 3" xfId="3861"/>
    <cellStyle name="Comma 6 3 3 2" xfId="3862"/>
    <cellStyle name="Comma 6 3 3 2 2" xfId="3863"/>
    <cellStyle name="Comma 6 3 3 2 2 2" xfId="9852"/>
    <cellStyle name="Comma 6 3 3 2 3" xfId="9853"/>
    <cellStyle name="Comma 6 3 3 2 4" xfId="9854"/>
    <cellStyle name="Comma 6 3 3 2 5" xfId="9855"/>
    <cellStyle name="Comma 6 3 3 3" xfId="3864"/>
    <cellStyle name="Comma 6 3 3 3 2" xfId="9856"/>
    <cellStyle name="Comma 6 3 3 4" xfId="9857"/>
    <cellStyle name="Comma 6 3 3 5" xfId="9858"/>
    <cellStyle name="Comma 6 3 3 6" xfId="9859"/>
    <cellStyle name="Comma 6 3 4" xfId="3865"/>
    <cellStyle name="Comma 6 3 4 2" xfId="3866"/>
    <cellStyle name="Comma 6 3 4 2 2" xfId="9860"/>
    <cellStyle name="Comma 6 3 4 3" xfId="9861"/>
    <cellStyle name="Comma 6 3 4 4" xfId="9862"/>
    <cellStyle name="Comma 6 3 4 5" xfId="9863"/>
    <cellStyle name="Comma 6 3 5" xfId="3867"/>
    <cellStyle name="Comma 6 3 5 2" xfId="3868"/>
    <cellStyle name="Comma 6 3 5 2 2" xfId="9864"/>
    <cellStyle name="Comma 6 3 5 3" xfId="9865"/>
    <cellStyle name="Comma 6 3 5 4" xfId="9866"/>
    <cellStyle name="Comma 6 3 5 5" xfId="9867"/>
    <cellStyle name="Comma 6 3 6" xfId="3869"/>
    <cellStyle name="Comma 6 3 6 2" xfId="9868"/>
    <cellStyle name="Comma 6 3 6 3" xfId="9869"/>
    <cellStyle name="Comma 6 3 7" xfId="9870"/>
    <cellStyle name="Comma 6 3 8" xfId="9871"/>
    <cellStyle name="Comma 6 3 9" xfId="9872"/>
    <cellStyle name="Comma 6 4" xfId="3870"/>
    <cellStyle name="Comma 6 4 2" xfId="3871"/>
    <cellStyle name="Comma 6 4 2 2" xfId="3872"/>
    <cellStyle name="Comma 6 4 2 2 2" xfId="3873"/>
    <cellStyle name="Comma 6 4 2 2 3" xfId="14034"/>
    <cellStyle name="Comma 6 4 2 3" xfId="3874"/>
    <cellStyle name="Comma 6 4 2 3 2" xfId="14035"/>
    <cellStyle name="Comma 6 4 2 4" xfId="9873"/>
    <cellStyle name="Comma 6 4 2 5" xfId="9874"/>
    <cellStyle name="Comma 6 4 3" xfId="3875"/>
    <cellStyle name="Comma 6 4 3 2" xfId="3876"/>
    <cellStyle name="Comma 6 4 3 3" xfId="14036"/>
    <cellStyle name="Comma 6 4 4" xfId="3877"/>
    <cellStyle name="Comma 6 4 4 2" xfId="14037"/>
    <cellStyle name="Comma 6 4 5" xfId="9875"/>
    <cellStyle name="Comma 6 4 6" xfId="9876"/>
    <cellStyle name="Comma 6 5" xfId="3878"/>
    <cellStyle name="Comma 6 5 2" xfId="3879"/>
    <cellStyle name="Comma 6 5 2 2" xfId="3880"/>
    <cellStyle name="Comma 6 5 2 2 2" xfId="9877"/>
    <cellStyle name="Comma 6 5 2 3" xfId="9878"/>
    <cellStyle name="Comma 6 5 2 4" xfId="9879"/>
    <cellStyle name="Comma 6 5 2 5" xfId="9880"/>
    <cellStyle name="Comma 6 5 3" xfId="3881"/>
    <cellStyle name="Comma 6 5 3 2" xfId="9881"/>
    <cellStyle name="Comma 6 5 4" xfId="9882"/>
    <cellStyle name="Comma 6 5 5" xfId="9883"/>
    <cellStyle name="Comma 6 5 6" xfId="9884"/>
    <cellStyle name="Comma 6 6" xfId="3882"/>
    <cellStyle name="Comma 6 6 2" xfId="3883"/>
    <cellStyle name="Comma 6 6 2 2" xfId="9885"/>
    <cellStyle name="Comma 6 6 3" xfId="9886"/>
    <cellStyle name="Comma 6 6 4" xfId="9887"/>
    <cellStyle name="Comma 6 6 5" xfId="9888"/>
    <cellStyle name="Comma 6 7" xfId="3884"/>
    <cellStyle name="Comma 6 7 2" xfId="3885"/>
    <cellStyle name="Comma 6 7 2 2" xfId="9889"/>
    <cellStyle name="Comma 6 7 3" xfId="9890"/>
    <cellStyle name="Comma 6 7 4" xfId="9891"/>
    <cellStyle name="Comma 6 7 5" xfId="9892"/>
    <cellStyle name="Comma 6 8" xfId="3886"/>
    <cellStyle name="Comma 6 8 2" xfId="9893"/>
    <cellStyle name="Comma 6 8 2 2" xfId="9894"/>
    <cellStyle name="Comma 6 8 3" xfId="9895"/>
    <cellStyle name="Comma 6 8 4" xfId="9896"/>
    <cellStyle name="Comma 6 8 5" xfId="9897"/>
    <cellStyle name="Comma 6 9" xfId="9898"/>
    <cellStyle name="Comma 6 9 2" xfId="9899"/>
    <cellStyle name="Comma 6 9 3" xfId="9900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4"/>
    <cellStyle name="Comma 7 2" xfId="3909"/>
    <cellStyle name="Comma 7 2 2" xfId="3910"/>
    <cellStyle name="Comma 7 2 2 2" xfId="3911"/>
    <cellStyle name="Comma 7 2 2 2 2" xfId="9901"/>
    <cellStyle name="Comma 7 2 2 2 2 2" xfId="9902"/>
    <cellStyle name="Comma 7 2 2 2 3" xfId="9903"/>
    <cellStyle name="Comma 7 2 2 2 4" xfId="9904"/>
    <cellStyle name="Comma 7 2 2 2 5" xfId="14038"/>
    <cellStyle name="Comma 7 2 2 3" xfId="9905"/>
    <cellStyle name="Comma 7 2 2 3 2" xfId="9906"/>
    <cellStyle name="Comma 7 2 2 4" xfId="9907"/>
    <cellStyle name="Comma 7 2 2 4 2" xfId="9908"/>
    <cellStyle name="Comma 7 2 2 5" xfId="9909"/>
    <cellStyle name="Comma 7 2 2 6" xfId="9910"/>
    <cellStyle name="Comma 7 2 3" xfId="3912"/>
    <cellStyle name="Comma 7 2 3 2" xfId="9911"/>
    <cellStyle name="Comma 7 2 3 2 2" xfId="9912"/>
    <cellStyle name="Comma 7 2 3 3" xfId="9913"/>
    <cellStyle name="Comma 7 2 3 4" xfId="9914"/>
    <cellStyle name="Comma 7 2 3 5" xfId="14039"/>
    <cellStyle name="Comma 7 2 4" xfId="9915"/>
    <cellStyle name="Comma 7 2 4 2" xfId="9916"/>
    <cellStyle name="Comma 7 2 5" xfId="9917"/>
    <cellStyle name="Comma 7 2 5 2" xfId="9918"/>
    <cellStyle name="Comma 7 2 6" xfId="9919"/>
    <cellStyle name="Comma 7 2 7" xfId="9920"/>
    <cellStyle name="Comma 7 3" xfId="3913"/>
    <cellStyle name="Comma 7 3 2" xfId="3914"/>
    <cellStyle name="Comma 7 3 2 2" xfId="9921"/>
    <cellStyle name="Comma 7 3 2 2 2" xfId="9922"/>
    <cellStyle name="Comma 7 3 2 3" xfId="9923"/>
    <cellStyle name="Comma 7 3 2 4" xfId="9924"/>
    <cellStyle name="Comma 7 3 3" xfId="9925"/>
    <cellStyle name="Comma 7 3 3 2" xfId="9926"/>
    <cellStyle name="Comma 7 3 4" xfId="9927"/>
    <cellStyle name="Comma 7 3 5" xfId="9928"/>
    <cellStyle name="Comma 7 3 6" xfId="14040"/>
    <cellStyle name="Comma 7 4" xfId="3915"/>
    <cellStyle name="Comma 7 4 2" xfId="3916"/>
    <cellStyle name="Comma 7 4 2 2" xfId="9929"/>
    <cellStyle name="Comma 7 4 2 2 2" xfId="9930"/>
    <cellStyle name="Comma 7 4 2 3" xfId="9931"/>
    <cellStyle name="Comma 7 4 2 4" xfId="9932"/>
    <cellStyle name="Comma 7 4 3" xfId="9933"/>
    <cellStyle name="Comma 7 4 3 2" xfId="9934"/>
    <cellStyle name="Comma 7 4 4" xfId="9935"/>
    <cellStyle name="Comma 7 4 5" xfId="9936"/>
    <cellStyle name="Comma 7 5" xfId="3917"/>
    <cellStyle name="Comma 7 5 2" xfId="3918"/>
    <cellStyle name="Comma 7 5 2 2" xfId="9937"/>
    <cellStyle name="Comma 7 5 2 2 2" xfId="9938"/>
    <cellStyle name="Comma 7 5 2 3" xfId="9939"/>
    <cellStyle name="Comma 7 5 2 4" xfId="9940"/>
    <cellStyle name="Comma 7 5 3" xfId="9941"/>
    <cellStyle name="Comma 7 5 3 2" xfId="9942"/>
    <cellStyle name="Comma 7 5 4" xfId="9943"/>
    <cellStyle name="Comma 7 5 5" xfId="9944"/>
    <cellStyle name="Comma 7 6" xfId="3919"/>
    <cellStyle name="Comma 7 6 2" xfId="3920"/>
    <cellStyle name="Comma 7 6 2 2" xfId="9945"/>
    <cellStyle name="Comma 7 6 2 2 2" xfId="9946"/>
    <cellStyle name="Comma 7 6 2 3" xfId="9947"/>
    <cellStyle name="Comma 7 6 2 4" xfId="9948"/>
    <cellStyle name="Comma 7 6 3" xfId="9949"/>
    <cellStyle name="Comma 7 6 3 2" xfId="9950"/>
    <cellStyle name="Comma 7 6 4" xfId="9951"/>
    <cellStyle name="Comma 7 6 5" xfId="9952"/>
    <cellStyle name="Comma 7 7" xfId="3921"/>
    <cellStyle name="Comma 7 7 2" xfId="9953"/>
    <cellStyle name="Comma 7 7 2 2" xfId="9954"/>
    <cellStyle name="Comma 7 7 3" xfId="9955"/>
    <cellStyle name="Comma 7 7 4" xfId="9956"/>
    <cellStyle name="Comma 7 8" xfId="3922"/>
    <cellStyle name="Comma 7 8 2" xfId="14555"/>
    <cellStyle name="Comma 7 8 3" xfId="14556"/>
    <cellStyle name="Comma 7 9" xfId="14557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7"/>
    <cellStyle name="Comma 8 2 2 2 2" xfId="9958"/>
    <cellStyle name="Comma 8 2 2 3" xfId="9959"/>
    <cellStyle name="Comma 8 2 2 3 2" xfId="9960"/>
    <cellStyle name="Comma 8 2 2 4" xfId="9961"/>
    <cellStyle name="Comma 8 2 2 5" xfId="9962"/>
    <cellStyle name="Comma 8 2 3" xfId="9963"/>
    <cellStyle name="Comma 8 2 3 2" xfId="9964"/>
    <cellStyle name="Comma 8 2 3 3" xfId="9965"/>
    <cellStyle name="Comma 8 2 3 4" xfId="9966"/>
    <cellStyle name="Comma 8 2 3 5" xfId="14041"/>
    <cellStyle name="Comma 8 2 4" xfId="9967"/>
    <cellStyle name="Comma 8 2 4 2" xfId="9968"/>
    <cellStyle name="Comma 8 2 5" xfId="9969"/>
    <cellStyle name="Comma 8 2 6" xfId="9970"/>
    <cellStyle name="Comma 8 2 7" xfId="9971"/>
    <cellStyle name="Comma 8 2 8" xfId="9972"/>
    <cellStyle name="Comma 8 3" xfId="3941"/>
    <cellStyle name="Comma 8 3 2" xfId="9973"/>
    <cellStyle name="Comma 8 3 2 2" xfId="9974"/>
    <cellStyle name="Comma 8 3 3" xfId="9975"/>
    <cellStyle name="Comma 8 3 3 2" xfId="9976"/>
    <cellStyle name="Comma 8 3 4" xfId="9977"/>
    <cellStyle name="Comma 8 3 5" xfId="9978"/>
    <cellStyle name="Comma 8 4" xfId="3942"/>
    <cellStyle name="Comma 8 4 2" xfId="9979"/>
    <cellStyle name="Comma 8 4 3" xfId="9980"/>
    <cellStyle name="Comma 8 4 3 2" xfId="9981"/>
    <cellStyle name="Comma 8 4 4" xfId="9982"/>
    <cellStyle name="Comma 8 4 5" xfId="9983"/>
    <cellStyle name="Comma 8 5" xfId="3943"/>
    <cellStyle name="Comma 8 5 2" xfId="9984"/>
    <cellStyle name="Comma 8 6" xfId="9985"/>
    <cellStyle name="Comma 8 7" xfId="9986"/>
    <cellStyle name="Comma 8 8" xfId="9987"/>
    <cellStyle name="Comma 8 9" xfId="9988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0"/>
    <cellStyle name="Comma 89" xfId="14361"/>
    <cellStyle name="Comma 9" xfId="3951"/>
    <cellStyle name="Comma 9 10" xfId="14558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2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3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0" xfId="14411"/>
    <cellStyle name="Comma 91" xfId="14362"/>
    <cellStyle name="Comma 92" xfId="14363"/>
    <cellStyle name="Comma 93" xfId="14364"/>
    <cellStyle name="Comma 94" xfId="14365"/>
    <cellStyle name="Comma 95" xfId="14366"/>
    <cellStyle name="Comma 96" xfId="14367"/>
    <cellStyle name="Comma 97" xfId="14412"/>
    <cellStyle name="Comma 98" xfId="14368"/>
    <cellStyle name="Comma 99" xfId="14369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59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3"/>
    <cellStyle name="Currency 165" xfId="14414"/>
    <cellStyle name="Currency 166" xfId="14415"/>
    <cellStyle name="Currency 167" xfId="14416"/>
    <cellStyle name="Currency 168" xfId="14417"/>
    <cellStyle name="Currency 169" xfId="14418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19"/>
    <cellStyle name="Currency 171" xfId="14420"/>
    <cellStyle name="Currency 172" xfId="14421"/>
    <cellStyle name="Currency 173" xfId="14422"/>
    <cellStyle name="Currency 174" xfId="14423"/>
    <cellStyle name="Currency 175" xfId="14632"/>
    <cellStyle name="Currency 176" xfId="14645"/>
    <cellStyle name="Currency 177" xfId="14649"/>
    <cellStyle name="Currency 178" xfId="14651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2" xfId="4058"/>
    <cellStyle name="Currency 2 2 2" xfId="4059"/>
    <cellStyle name="Currency 2 2 2 2" xfId="10122"/>
    <cellStyle name="Currency 2 2 3" xfId="10123"/>
    <cellStyle name="Currency 2 3" xfId="4060"/>
    <cellStyle name="Currency 2 3 2" xfId="10124"/>
    <cellStyle name="Currency 2 3 2 2" xfId="14048"/>
    <cellStyle name="Currency 2 3 3" xfId="13723"/>
    <cellStyle name="Currency 2 4" xfId="10125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19"/>
    <cellStyle name="Currency 4 2 2 2 2" xfId="10220"/>
    <cellStyle name="Currency 4 2 2 3" xfId="10221"/>
    <cellStyle name="Currency 4 2 2 4" xfId="10222"/>
    <cellStyle name="Currency 4 2 3" xfId="4103"/>
    <cellStyle name="Currency 4 2 3 2" xfId="10223"/>
    <cellStyle name="Currency 4 2 3 2 2" xfId="10224"/>
    <cellStyle name="Currency 4 2 3 3" xfId="10225"/>
    <cellStyle name="Currency 4 2 3 4" xfId="10226"/>
    <cellStyle name="Currency 4 2 4" xfId="10227"/>
    <cellStyle name="Currency 4 2 4 2" xfId="10228"/>
    <cellStyle name="Currency 4 2 4 3" xfId="10229"/>
    <cellStyle name="Currency 4 2 4 4" xfId="10230"/>
    <cellStyle name="Currency 4 2 5" xfId="10231"/>
    <cellStyle name="Currency 4 2 6" xfId="13829"/>
    <cellStyle name="Currency 4 3" xfId="4104"/>
    <cellStyle name="Currency 4 3 2" xfId="10232"/>
    <cellStyle name="Currency 4 3 2 2" xfId="10233"/>
    <cellStyle name="Currency 4 3 3" xfId="10234"/>
    <cellStyle name="Currency 4 3 4" xfId="10235"/>
    <cellStyle name="Currency 4 3 5" xfId="14050"/>
    <cellStyle name="Currency 4 4" xfId="4105"/>
    <cellStyle name="Currency 4 4 2" xfId="10236"/>
    <cellStyle name="Currency 4 4 2 2" xfId="10237"/>
    <cellStyle name="Currency 4 4 3" xfId="10238"/>
    <cellStyle name="Currency 4 4 4" xfId="10239"/>
    <cellStyle name="Currency 4 5" xfId="4106"/>
    <cellStyle name="Currency 4 6" xfId="14560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1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2" xfId="4186"/>
    <cellStyle name="Explanatory Text 2 2" xfId="4187"/>
    <cellStyle name="Explanatory Text 2 2 2" xfId="14247"/>
    <cellStyle name="Explanatory Text 2 3" xfId="13725"/>
    <cellStyle name="Explanatory Text 3" xfId="4188"/>
    <cellStyle name="Explanatory Text 3 2" xfId="13726"/>
    <cellStyle name="Explanatory Text 4" xfId="10362"/>
    <cellStyle name="Explanatory Text 5" xfId="10363"/>
    <cellStyle name="Explanatory Text 6" xfId="10364"/>
    <cellStyle name="Explanatory Text 7" xfId="10365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2" xfId="4209"/>
    <cellStyle name="Good 2 2" xfId="4210"/>
    <cellStyle name="Good 2 2 2" xfId="14249"/>
    <cellStyle name="Good 2 3" xfId="13727"/>
    <cellStyle name="Good 3" xfId="4211"/>
    <cellStyle name="Good 3 2" xfId="13728"/>
    <cellStyle name="Good 4" xfId="10450"/>
    <cellStyle name="Good 5" xfId="10451"/>
    <cellStyle name="Good 6" xfId="10452"/>
    <cellStyle name="Good 7" xfId="10453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2" xfId="4212"/>
    <cellStyle name="Heading 1 2 2" xfId="4213"/>
    <cellStyle name="Heading 1 2 2 2" xfId="10466"/>
    <cellStyle name="Heading 1 3" xfId="4214"/>
    <cellStyle name="Heading 1 3 2" xfId="4215"/>
    <cellStyle name="Heading 1 3 2 2" xfId="10467"/>
    <cellStyle name="Heading 1 4" xfId="10468"/>
    <cellStyle name="Heading 1 5" xfId="10469"/>
    <cellStyle name="Heading 1 6" xfId="10470"/>
    <cellStyle name="Heading 1 7" xfId="10471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2" xfId="4216"/>
    <cellStyle name="Heading 2 2 2" xfId="4217"/>
    <cellStyle name="Heading 2 2 2 2" xfId="10484"/>
    <cellStyle name="Heading 2 3" xfId="4218"/>
    <cellStyle name="Heading 2 3 2" xfId="4219"/>
    <cellStyle name="Heading 2 3 2 2" xfId="10485"/>
    <cellStyle name="Heading 2 4" xfId="10486"/>
    <cellStyle name="Heading 2 5" xfId="10487"/>
    <cellStyle name="Heading 2 6" xfId="10488"/>
    <cellStyle name="Heading 2 7" xfId="10489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3" xfId="4223"/>
    <cellStyle name="Heading 3 3 2" xfId="1373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7" xfId="10501"/>
    <cellStyle name="Heading 3 8" xfId="10502"/>
    <cellStyle name="Heading 3 9" xfId="10503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2" xfId="4226"/>
    <cellStyle name="Heading 4 2 2" xfId="4227"/>
    <cellStyle name="Heading 4 2 2 2" xfId="14255"/>
    <cellStyle name="Heading 4 2 3" xfId="13733"/>
    <cellStyle name="Heading 4 3" xfId="4228"/>
    <cellStyle name="Heading 4 3 2" xfId="13734"/>
    <cellStyle name="Heading 4 4" xfId="10512"/>
    <cellStyle name="Heading 4 5" xfId="10513"/>
    <cellStyle name="Heading 4 6" xfId="10514"/>
    <cellStyle name="Heading 4 7" xfId="10515"/>
    <cellStyle name="Heading 4 8" xfId="10516"/>
    <cellStyle name="Heading 4 9" xfId="10517"/>
    <cellStyle name="Hyperlink 2" xfId="4229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2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3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4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2" xfId="4607"/>
    <cellStyle name="Linked Cell 2 2" xfId="4608"/>
    <cellStyle name="Linked Cell 2 2 2" xfId="14259"/>
    <cellStyle name="Linked Cell 2 3" xfId="13750"/>
    <cellStyle name="Linked Cell 3" xfId="4609"/>
    <cellStyle name="Linked Cell 3 2" xfId="13751"/>
    <cellStyle name="Linked Cell 4" xfId="10830"/>
    <cellStyle name="Linked Cell 5" xfId="10831"/>
    <cellStyle name="Linked Cell 6" xfId="10832"/>
    <cellStyle name="Linked Cell 7" xfId="10833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2" xfId="4610"/>
    <cellStyle name="Neutral 2 2" xfId="4611"/>
    <cellStyle name="Neutral 2 2 2" xfId="14261"/>
    <cellStyle name="Neutral 2 3" xfId="13752"/>
    <cellStyle name="Neutral 3" xfId="4612"/>
    <cellStyle name="Neutral 3 2" xfId="13753"/>
    <cellStyle name="Neutral 4" xfId="10848"/>
    <cellStyle name="Neutral 5" xfId="10849"/>
    <cellStyle name="Neutral 6" xfId="10850"/>
    <cellStyle name="Neutral 7" xfId="10851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4" xfId="14565"/>
    <cellStyle name="Normal 11" xfId="4616"/>
    <cellStyle name="Normal 11 2" xfId="4617"/>
    <cellStyle name="Normal 11 2 2" xfId="10864"/>
    <cellStyle name="Normal 11 3" xfId="10865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6"/>
    <cellStyle name="Normal 13 2 2 2" xfId="14566"/>
    <cellStyle name="Normal 13 2 3" xfId="10867"/>
    <cellStyle name="Normal 13 2 4" xfId="14567"/>
    <cellStyle name="Normal 13 3" xfId="10868"/>
    <cellStyle name="Normal 13 3 2" xfId="14568"/>
    <cellStyle name="Normal 13 4" xfId="14569"/>
    <cellStyle name="Normal 13 5" xfId="14570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5" xfId="4692"/>
    <cellStyle name="Normal 15 2" xfId="4693"/>
    <cellStyle name="Normal 15 2 10" xfId="10886"/>
    <cellStyle name="Normal 15 2 11" xfId="10887"/>
    <cellStyle name="Normal 15 2 2" xfId="4694"/>
    <cellStyle name="Normal 15 2 2 2" xfId="4695"/>
    <cellStyle name="Normal 15 2 2 2 2" xfId="4696"/>
    <cellStyle name="Normal 15 2 2 2 2 2" xfId="4697"/>
    <cellStyle name="Normal 15 2 2 2 2 3" xfId="14061"/>
    <cellStyle name="Normal 15 2 2 2 3" xfId="4698"/>
    <cellStyle name="Normal 15 2 2 2 3 2" xfId="14062"/>
    <cellStyle name="Normal 15 2 2 2 4" xfId="10888"/>
    <cellStyle name="Normal 15 2 2 2 5" xfId="10889"/>
    <cellStyle name="Normal 15 2 2 2 6" xfId="10890"/>
    <cellStyle name="Normal 15 2 2 3" xfId="4699"/>
    <cellStyle name="Normal 15 2 2 3 2" xfId="4700"/>
    <cellStyle name="Normal 15 2 2 3 3" xfId="14063"/>
    <cellStyle name="Normal 15 2 2 4" xfId="4701"/>
    <cellStyle name="Normal 15 2 2 4 2" xfId="14064"/>
    <cellStyle name="Normal 15 2 2 5" xfId="10891"/>
    <cellStyle name="Normal 15 2 2 6" xfId="10892"/>
    <cellStyle name="Normal 15 2 2 7" xfId="10893"/>
    <cellStyle name="Normal 15 2 3" xfId="4702"/>
    <cellStyle name="Normal 15 2 3 2" xfId="4703"/>
    <cellStyle name="Normal 15 2 3 2 2" xfId="4704"/>
    <cellStyle name="Normal 15 2 3 2 2 2" xfId="10894"/>
    <cellStyle name="Normal 15 2 3 2 3" xfId="10895"/>
    <cellStyle name="Normal 15 2 3 2 4" xfId="10896"/>
    <cellStyle name="Normal 15 2 3 2 5" xfId="10897"/>
    <cellStyle name="Normal 15 2 3 2 6" xfId="10898"/>
    <cellStyle name="Normal 15 2 3 3" xfId="4705"/>
    <cellStyle name="Normal 15 2 3 3 2" xfId="10899"/>
    <cellStyle name="Normal 15 2 3 4" xfId="10900"/>
    <cellStyle name="Normal 15 2 3 5" xfId="10901"/>
    <cellStyle name="Normal 15 2 3 6" xfId="10902"/>
    <cellStyle name="Normal 15 2 3 7" xfId="10903"/>
    <cellStyle name="Normal 15 2 4" xfId="4706"/>
    <cellStyle name="Normal 15 2 4 2" xfId="4707"/>
    <cellStyle name="Normal 15 2 4 2 2" xfId="10904"/>
    <cellStyle name="Normal 15 2 4 3" xfId="10905"/>
    <cellStyle name="Normal 15 2 4 4" xfId="10906"/>
    <cellStyle name="Normal 15 2 4 5" xfId="10907"/>
    <cellStyle name="Normal 15 2 4 6" xfId="10908"/>
    <cellStyle name="Normal 15 2 5" xfId="4708"/>
    <cellStyle name="Normal 15 2 5 2" xfId="4709"/>
    <cellStyle name="Normal 15 2 5 2 2" xfId="10909"/>
    <cellStyle name="Normal 15 2 5 3" xfId="10910"/>
    <cellStyle name="Normal 15 2 5 4" xfId="10911"/>
    <cellStyle name="Normal 15 2 5 5" xfId="10912"/>
    <cellStyle name="Normal 15 2 6" xfId="4710"/>
    <cellStyle name="Normal 15 2 6 2" xfId="10913"/>
    <cellStyle name="Normal 15 2 7" xfId="10914"/>
    <cellStyle name="Normal 15 2 8" xfId="10915"/>
    <cellStyle name="Normal 15 2 9" xfId="10916"/>
    <cellStyle name="Normal 15 3" xfId="4711"/>
    <cellStyle name="Normal 15 3 2" xfId="4712"/>
    <cellStyle name="Normal 15 3 2 2" xfId="4713"/>
    <cellStyle name="Normal 15 3 2 2 2" xfId="4714"/>
    <cellStyle name="Normal 15 3 2 2 3" xfId="14065"/>
    <cellStyle name="Normal 15 3 2 3" xfId="4715"/>
    <cellStyle name="Normal 15 3 2 3 2" xfId="14066"/>
    <cellStyle name="Normal 15 3 2 4" xfId="10917"/>
    <cellStyle name="Normal 15 3 2 5" xfId="10918"/>
    <cellStyle name="Normal 15 3 2 6" xfId="10919"/>
    <cellStyle name="Normal 15 3 3" xfId="4716"/>
    <cellStyle name="Normal 15 3 3 2" xfId="4717"/>
    <cellStyle name="Normal 15 3 3 3" xfId="14067"/>
    <cellStyle name="Normal 15 3 4" xfId="4718"/>
    <cellStyle name="Normal 15 3 4 2" xfId="14068"/>
    <cellStyle name="Normal 15 3 5" xfId="10920"/>
    <cellStyle name="Normal 15 3 6" xfId="10921"/>
    <cellStyle name="Normal 15 3 7" xfId="10922"/>
    <cellStyle name="Normal 15 4" xfId="4719"/>
    <cellStyle name="Normal 15 4 2" xfId="4720"/>
    <cellStyle name="Normal 15 4 2 2" xfId="4721"/>
    <cellStyle name="Normal 15 4 2 2 2" xfId="10923"/>
    <cellStyle name="Normal 15 4 2 3" xfId="10924"/>
    <cellStyle name="Normal 15 4 2 4" xfId="10925"/>
    <cellStyle name="Normal 15 4 2 5" xfId="10926"/>
    <cellStyle name="Normal 15 4 2 6" xfId="10927"/>
    <cellStyle name="Normal 15 4 3" xfId="4722"/>
    <cellStyle name="Normal 15 4 3 2" xfId="10928"/>
    <cellStyle name="Normal 15 4 4" xfId="10929"/>
    <cellStyle name="Normal 15 4 5" xfId="10930"/>
    <cellStyle name="Normal 15 4 6" xfId="10931"/>
    <cellStyle name="Normal 15 4 7" xfId="10932"/>
    <cellStyle name="Normal 15 5" xfId="4723"/>
    <cellStyle name="Normal 15 5 2" xfId="4724"/>
    <cellStyle name="Normal 15 5 2 2" xfId="10933"/>
    <cellStyle name="Normal 15 5 2 3" xfId="10934"/>
    <cellStyle name="Normal 15 5 3" xfId="10935"/>
    <cellStyle name="Normal 15 5 4" xfId="10936"/>
    <cellStyle name="Normal 15 5 5" xfId="10937"/>
    <cellStyle name="Normal 15 6" xfId="4725"/>
    <cellStyle name="Normal 15 6 2" xfId="4726"/>
    <cellStyle name="Normal 15 6 2 2" xfId="10938"/>
    <cellStyle name="Normal 15 6 3" xfId="10939"/>
    <cellStyle name="Normal 15 6 4" xfId="10940"/>
    <cellStyle name="Normal 15 6 5" xfId="10941"/>
    <cellStyle name="Normal 15 7" xfId="4727"/>
    <cellStyle name="Normal 15 7 2" xfId="10942"/>
    <cellStyle name="Normal 15 7 2 2" xfId="10943"/>
    <cellStyle name="Normal 15 7 3" xfId="10944"/>
    <cellStyle name="Normal 15 7 4" xfId="10945"/>
    <cellStyle name="Normal 15 7 5" xfId="10946"/>
    <cellStyle name="Normal 15 8" xfId="14633"/>
    <cellStyle name="Normal 16" xfId="4728"/>
    <cellStyle name="Normal 16 2" xfId="4729"/>
    <cellStyle name="Normal 16 2 2" xfId="10947"/>
    <cellStyle name="Normal 16 2 2 2" xfId="14571"/>
    <cellStyle name="Normal 16 2 3" xfId="14572"/>
    <cellStyle name="Normal 16 2 4" xfId="14573"/>
    <cellStyle name="Normal 16 3" xfId="14424"/>
    <cellStyle name="Normal 16 3 2" xfId="14574"/>
    <cellStyle name="Normal 16 4" xfId="14575"/>
    <cellStyle name="Normal 16 5" xfId="14576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69"/>
    <cellStyle name="Normal 17 2 2 3" xfId="4735"/>
    <cellStyle name="Normal 17 2 2 3 2" xfId="14070"/>
    <cellStyle name="Normal 17 2 2 4" xfId="10948"/>
    <cellStyle name="Normal 17 2 2 5" xfId="10949"/>
    <cellStyle name="Normal 17 2 2 6" xfId="10950"/>
    <cellStyle name="Normal 17 2 3" xfId="4736"/>
    <cellStyle name="Normal 17 2 3 2" xfId="4737"/>
    <cellStyle name="Normal 17 2 3 3" xfId="14071"/>
    <cellStyle name="Normal 17 2 4" xfId="4738"/>
    <cellStyle name="Normal 17 2 4 2" xfId="14072"/>
    <cellStyle name="Normal 17 2 5" xfId="10951"/>
    <cellStyle name="Normal 17 2 6" xfId="10952"/>
    <cellStyle name="Normal 17 2 7" xfId="10953"/>
    <cellStyle name="Normal 17 2 8" xfId="10954"/>
    <cellStyle name="Normal 17 3" xfId="4739"/>
    <cellStyle name="Normal 17 3 2" xfId="4740"/>
    <cellStyle name="Normal 17 3 2 2" xfId="4741"/>
    <cellStyle name="Normal 17 3 2 2 2" xfId="10955"/>
    <cellStyle name="Normal 17 3 2 3" xfId="10956"/>
    <cellStyle name="Normal 17 3 2 4" xfId="10957"/>
    <cellStyle name="Normal 17 3 2 5" xfId="10958"/>
    <cellStyle name="Normal 17 3 3" xfId="4742"/>
    <cellStyle name="Normal 17 3 3 2" xfId="10959"/>
    <cellStyle name="Normal 17 3 4" xfId="10960"/>
    <cellStyle name="Normal 17 3 5" xfId="10961"/>
    <cellStyle name="Normal 17 3 6" xfId="10962"/>
    <cellStyle name="Normal 17 3 7" xfId="10963"/>
    <cellStyle name="Normal 17 4" xfId="4743"/>
    <cellStyle name="Normal 17 4 2" xfId="4744"/>
    <cellStyle name="Normal 17 4 2 2" xfId="10964"/>
    <cellStyle name="Normal 17 4 3" xfId="10965"/>
    <cellStyle name="Normal 17 4 4" xfId="10966"/>
    <cellStyle name="Normal 17 4 5" xfId="10967"/>
    <cellStyle name="Normal 17 5" xfId="4745"/>
    <cellStyle name="Normal 17 5 2" xfId="4746"/>
    <cellStyle name="Normal 17 5 2 2" xfId="10968"/>
    <cellStyle name="Normal 17 5 3" xfId="10969"/>
    <cellStyle name="Normal 17 5 4" xfId="10970"/>
    <cellStyle name="Normal 17 5 5" xfId="10971"/>
    <cellStyle name="Normal 17 6" xfId="4747"/>
    <cellStyle name="Normal 17 6 2" xfId="10972"/>
    <cellStyle name="Normal 17 6 2 2" xfId="10973"/>
    <cellStyle name="Normal 17 6 3" xfId="10974"/>
    <cellStyle name="Normal 17 6 4" xfId="10975"/>
    <cellStyle name="Normal 17 6 5" xfId="10976"/>
    <cellStyle name="Normal 17 7" xfId="10977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9" xfId="4752"/>
    <cellStyle name="Normal 19 2" xfId="4753"/>
    <cellStyle name="Normal 19 2 2" xfId="10992"/>
    <cellStyle name="Normal 19 2 2 2" xfId="14577"/>
    <cellStyle name="Normal 19 2 3" xfId="14578"/>
    <cellStyle name="Normal 19 2 4" xfId="14579"/>
    <cellStyle name="Normal 19 3" xfId="14425"/>
    <cellStyle name="Normal 19 3 2" xfId="14580"/>
    <cellStyle name="Normal 19 4" xfId="14581"/>
    <cellStyle name="Normal 19 5" xfId="14582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3" xfId="4762"/>
    <cellStyle name="Normal 2 2 2 3 2" xfId="11006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3" xfId="110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3" xfId="11069"/>
    <cellStyle name="Normal 2 4 3" xfId="4774"/>
    <cellStyle name="Normal 2 4 3 2" xfId="11070"/>
    <cellStyle name="Normal 2 4 4" xfId="4775"/>
    <cellStyle name="Normal 2 4 4 2" xfId="11071"/>
    <cellStyle name="Normal 2 4 5" xfId="11072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3"/>
    <cellStyle name="Normal 2 6 3" xfId="11095"/>
    <cellStyle name="Normal 2 6 4" xfId="14584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14634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1" xfId="4803"/>
    <cellStyle name="Normal 21 2" xfId="4804"/>
    <cellStyle name="Normal 21 2 2" xfId="14585"/>
    <cellStyle name="Normal 21 3" xfId="14586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4" xfId="14587"/>
    <cellStyle name="Normal 23" xfId="4808"/>
    <cellStyle name="Normal 23 2" xfId="4809"/>
    <cellStyle name="Normal 23 2 2" xfId="11133"/>
    <cellStyle name="Normal 23 2 2 2" xfId="14588"/>
    <cellStyle name="Normal 23 2 3" xfId="11134"/>
    <cellStyle name="Normal 23 2 4" xfId="11135"/>
    <cellStyle name="Normal 23 2 5" xfId="11136"/>
    <cellStyle name="Normal 23 3" xfId="4810"/>
    <cellStyle name="Normal 23 3 2" xfId="14589"/>
    <cellStyle name="Normal 23 3 3" xfId="14590"/>
    <cellStyle name="Normal 23 4" xfId="14591"/>
    <cellStyle name="Normal 23 5" xfId="14592"/>
    <cellStyle name="Normal 24" xfId="4811"/>
    <cellStyle name="Normal 24 2" xfId="4812"/>
    <cellStyle name="Normal 24 2 2" xfId="14593"/>
    <cellStyle name="Normal 24 3" xfId="4813"/>
    <cellStyle name="Normal 24 4" xfId="14594"/>
    <cellStyle name="Normal 25" xfId="4814"/>
    <cellStyle name="Normal 25 2" xfId="4815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5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14635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14636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14637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6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14638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14639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14640"/>
    <cellStyle name="Normal 70" xfId="11633"/>
    <cellStyle name="Normal 71" xfId="13499"/>
    <cellStyle name="Normal 72" xfId="14315"/>
    <cellStyle name="Normal 73" xfId="14426"/>
    <cellStyle name="Normal 74" xfId="14427"/>
    <cellStyle name="Normal 75" xfId="14428"/>
    <cellStyle name="Normal 76" xfId="14429"/>
    <cellStyle name="Normal 77" xfId="14430"/>
    <cellStyle name="Normal 78" xfId="14431"/>
    <cellStyle name="Normal 79" xfId="14432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14641"/>
    <cellStyle name="Normal 80" xfId="14433"/>
    <cellStyle name="Normal 81" xfId="14434"/>
    <cellStyle name="Normal 82" xfId="14435"/>
    <cellStyle name="Normal 83" xfId="14436"/>
    <cellStyle name="Normal 84" xfId="14643"/>
    <cellStyle name="Normal 85" xfId="14646"/>
    <cellStyle name="Normal 86" xfId="14650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7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8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599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0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1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2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3"/>
    <cellStyle name="Note 3" xfId="6422"/>
    <cellStyle name="Note 3 10" xfId="6423"/>
    <cellStyle name="Note 3 10 2" xfId="11887"/>
    <cellStyle name="Note 3 11" xfId="6424"/>
    <cellStyle name="Note 3 12" xfId="6425"/>
    <cellStyle name="Note 3 13" xfId="14604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5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6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7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8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09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1" xfId="6592"/>
    <cellStyle name="Note 5 12" xfId="6593"/>
    <cellStyle name="Note 5 13" xfId="13788"/>
    <cellStyle name="Note 5 2" xfId="6594"/>
    <cellStyle name="Note 5 2 10" xfId="6595"/>
    <cellStyle name="Note 5 2 11" xfId="6596"/>
    <cellStyle name="Note 5 2 12" xfId="13789"/>
    <cellStyle name="Note 5 2 2" xfId="6597"/>
    <cellStyle name="Note 5 2 2 2" xfId="6598"/>
    <cellStyle name="Note 5 2 2 2 2" xfId="14610"/>
    <cellStyle name="Note 5 2 2 3" xfId="6599"/>
    <cellStyle name="Note 5 2 2 4" xfId="14611"/>
    <cellStyle name="Note 5 2 3" xfId="6600"/>
    <cellStyle name="Note 5 2 3 2" xfId="6601"/>
    <cellStyle name="Note 5 2 3 3" xfId="14612"/>
    <cellStyle name="Note 5 2 4" xfId="6602"/>
    <cellStyle name="Note 5 2 4 2" xfId="11901"/>
    <cellStyle name="Note 5 2 5" xfId="6603"/>
    <cellStyle name="Note 5 2 5 2" xfId="11902"/>
    <cellStyle name="Note 5 2 6" xfId="6604"/>
    <cellStyle name="Note 5 2 6 2" xfId="11903"/>
    <cellStyle name="Note 5 2 7" xfId="6605"/>
    <cellStyle name="Note 5 2 7 2" xfId="11904"/>
    <cellStyle name="Note 5 2 8" xfId="6606"/>
    <cellStyle name="Note 5 2 8 2" xfId="11905"/>
    <cellStyle name="Note 5 2 9" xfId="6607"/>
    <cellStyle name="Note 5 2 9 2" xfId="11906"/>
    <cellStyle name="Note 5 3" xfId="6608"/>
    <cellStyle name="Note 5 3 2" xfId="6609"/>
    <cellStyle name="Note 5 3 2 2" xfId="14613"/>
    <cellStyle name="Note 5 3 3" xfId="6610"/>
    <cellStyle name="Note 5 3 4" xfId="13790"/>
    <cellStyle name="Note 5 4" xfId="6611"/>
    <cellStyle name="Note 5 4 2" xfId="6612"/>
    <cellStyle name="Note 5 4 3" xfId="14614"/>
    <cellStyle name="Note 5 5" xfId="6613"/>
    <cellStyle name="Note 5 5 2" xfId="11907"/>
    <cellStyle name="Note 5 6" xfId="6614"/>
    <cellStyle name="Note 5 6 2" xfId="11908"/>
    <cellStyle name="Note 5 7" xfId="6615"/>
    <cellStyle name="Note 5 7 2" xfId="11909"/>
    <cellStyle name="Note 5 8" xfId="6616"/>
    <cellStyle name="Note 5 8 2" xfId="11910"/>
    <cellStyle name="Note 5 9" xfId="6617"/>
    <cellStyle name="Note 5 9 2" xfId="1191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5" xfId="11979"/>
    <cellStyle name="Output 6" xfId="11980"/>
    <cellStyle name="Output 7" xfId="11981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5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6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7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8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7"/>
    <cellStyle name="Percent 17" xfId="14642"/>
    <cellStyle name="Percent 18" xfId="14647"/>
    <cellStyle name="Percent 19" xfId="14653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4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6" xfId="7004"/>
    <cellStyle name="Percent 6 2" xfId="7005"/>
    <cellStyle name="Percent 6 3" xfId="13811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8"/>
    <cellStyle name="PSDate" xfId="7024"/>
    <cellStyle name="PSDec" xfId="7025"/>
    <cellStyle name="PSHeading" xfId="7026"/>
    <cellStyle name="PSInt" xfId="7027"/>
    <cellStyle name="PSSpacer" xfId="7028"/>
    <cellStyle name="R00A" xfId="14370"/>
    <cellStyle name="R00B" xfId="14371"/>
    <cellStyle name="R00L" xfId="14372"/>
    <cellStyle name="R01A" xfId="14373"/>
    <cellStyle name="R01B" xfId="14374"/>
    <cellStyle name="R01H" xfId="14375"/>
    <cellStyle name="R01L" xfId="14376"/>
    <cellStyle name="R02A" xfId="14377"/>
    <cellStyle name="R02B" xfId="14378"/>
    <cellStyle name="R02H" xfId="14379"/>
    <cellStyle name="R02L" xfId="14380"/>
    <cellStyle name="R03A" xfId="14381"/>
    <cellStyle name="R03B" xfId="14382"/>
    <cellStyle name="R03H" xfId="14383"/>
    <cellStyle name="R03L" xfId="14384"/>
    <cellStyle name="R04A" xfId="14385"/>
    <cellStyle name="R04B" xfId="14386"/>
    <cellStyle name="R04H" xfId="14387"/>
    <cellStyle name="R04L" xfId="14388"/>
    <cellStyle name="R05A" xfId="14389"/>
    <cellStyle name="R05B" xfId="14390"/>
    <cellStyle name="R05H" xfId="14391"/>
    <cellStyle name="R05L" xfId="14392"/>
    <cellStyle name="R06A" xfId="14393"/>
    <cellStyle name="R06B" xfId="14394"/>
    <cellStyle name="R06H" xfId="14395"/>
    <cellStyle name="R06L" xfId="14396"/>
    <cellStyle name="R07A" xfId="14397"/>
    <cellStyle name="R07B" xfId="14398"/>
    <cellStyle name="R07H" xfId="14399"/>
    <cellStyle name="R07L" xfId="14400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19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0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1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2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3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4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5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6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7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8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39"/>
    <cellStyle name="SAPDataTotalCell" xfId="14440"/>
    <cellStyle name="SAPDimensionCell" xfId="14441"/>
    <cellStyle name="SAPEmphasized" xfId="14442"/>
    <cellStyle name="SAPHierarchyCell0" xfId="14443"/>
    <cellStyle name="SAPHierarchyCell1" xfId="14444"/>
    <cellStyle name="SAPHierarchyCell2" xfId="14445"/>
    <cellStyle name="SAPHierarchyCell3" xfId="14446"/>
    <cellStyle name="SAPHierarchyCell4" xfId="14447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8"/>
    <cellStyle name="SAPMemberTotalCell" xfId="14449"/>
    <cellStyle name="Shade" xfId="14450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1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6" xfId="13479"/>
    <cellStyle name="Total 7" xfId="1348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29"/>
    <cellStyle name="Währung_KURSE3Q" xfId="14451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2" xfId="8676"/>
    <cellStyle name="Warning Text 2 2" xfId="8677"/>
    <cellStyle name="Warning Text 2 2 2" xfId="14314"/>
    <cellStyle name="Warning Text 2 3" xfId="13814"/>
    <cellStyle name="Warning Text 3" xfId="8678"/>
    <cellStyle name="Warning Text 3 2" xfId="13815"/>
    <cellStyle name="Warning Text 4" xfId="8679"/>
    <cellStyle name="Warning Text 4 2" xfId="13816"/>
    <cellStyle name="Warning Text 5" xfId="13494"/>
    <cellStyle name="Warning Text 6" xfId="13495"/>
    <cellStyle name="Warning Text 7" xfId="13496"/>
    <cellStyle name="Warning Text 8" xfId="13497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venue%20Volume%20Analysis%20Reports\2016\Revenue%20Volume%20Analysis%202016-06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Home"/>
      <sheetName val="PVA"/>
      <sheetName val="RBC Summary"/>
      <sheetName val="RBC Detail"/>
      <sheetName val="Information for SEC Table"/>
      <sheetName val="A216810396964DCDB399904ED81BA8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Weather Summary"/>
      <sheetName val="Electronic Evidence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M29">
            <v>1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06"/>
  <sheetViews>
    <sheetView tabSelected="1" zoomScale="85" zoomScaleNormal="85" workbookViewId="0">
      <selection activeCell="B20" sqref="B20"/>
    </sheetView>
  </sheetViews>
  <sheetFormatPr defaultRowHeight="12.75" x14ac:dyDescent="0.2"/>
  <cols>
    <col min="1" max="1" width="6.85546875" style="5" customWidth="1"/>
    <col min="2" max="2" width="77.7109375" style="5" customWidth="1"/>
    <col min="3" max="4" width="22.7109375" style="5" customWidth="1"/>
    <col min="5" max="7" width="16.7109375" style="5" customWidth="1"/>
    <col min="8" max="16384" width="9.140625" style="5"/>
  </cols>
  <sheetData>
    <row r="1" spans="1:7" ht="20.100000000000001" customHeight="1" x14ac:dyDescent="0.2">
      <c r="F1" s="3"/>
      <c r="G1" s="3" t="s">
        <v>256</v>
      </c>
    </row>
    <row r="2" spans="1:7" ht="20.100000000000001" customHeight="1" x14ac:dyDescent="0.2">
      <c r="F2" s="3"/>
      <c r="G2" s="3" t="s">
        <v>278</v>
      </c>
    </row>
    <row r="3" spans="1:7" ht="20.100000000000001" customHeight="1" x14ac:dyDescent="0.2">
      <c r="F3" s="3"/>
      <c r="G3" s="3" t="s">
        <v>263</v>
      </c>
    </row>
    <row r="4" spans="1:7" s="1" customFormat="1" ht="20.100000000000001" customHeight="1" x14ac:dyDescent="0.2">
      <c r="A4" s="158" t="s">
        <v>0</v>
      </c>
      <c r="B4" s="158"/>
      <c r="C4" s="158"/>
      <c r="D4" s="158"/>
      <c r="E4" s="158"/>
      <c r="F4" s="158"/>
      <c r="G4" s="158"/>
    </row>
    <row r="5" spans="1:7" s="1" customFormat="1" ht="20.100000000000001" customHeight="1" x14ac:dyDescent="0.2">
      <c r="A5" s="158" t="s">
        <v>253</v>
      </c>
      <c r="B5" s="158"/>
      <c r="C5" s="158"/>
      <c r="D5" s="158"/>
      <c r="E5" s="158"/>
      <c r="F5" s="158"/>
      <c r="G5" s="158"/>
    </row>
    <row r="6" spans="1:7" s="1" customFormat="1" ht="20.100000000000001" customHeight="1" x14ac:dyDescent="0.2">
      <c r="A6" s="159" t="s">
        <v>5</v>
      </c>
      <c r="B6" s="159"/>
      <c r="C6" s="159"/>
      <c r="D6" s="159"/>
      <c r="E6" s="159"/>
      <c r="F6" s="159"/>
      <c r="G6" s="159"/>
    </row>
    <row r="7" spans="1:7" s="1" customFormat="1" ht="20.100000000000001" customHeight="1" x14ac:dyDescent="0.2">
      <c r="C7" s="3"/>
      <c r="D7" s="3"/>
    </row>
    <row r="8" spans="1:7" s="1" customFormat="1" ht="20.100000000000001" customHeight="1" x14ac:dyDescent="0.2"/>
    <row r="9" spans="1:7" ht="71.25" customHeight="1" x14ac:dyDescent="0.2">
      <c r="A9" s="13" t="s">
        <v>3</v>
      </c>
      <c r="B9" s="13" t="s">
        <v>1</v>
      </c>
      <c r="C9" s="13" t="s">
        <v>254</v>
      </c>
      <c r="D9" s="13" t="s">
        <v>255</v>
      </c>
      <c r="E9" s="13" t="s">
        <v>60</v>
      </c>
      <c r="F9" s="13" t="s">
        <v>246</v>
      </c>
      <c r="G9" s="13" t="s">
        <v>245</v>
      </c>
    </row>
    <row r="10" spans="1:7" ht="18.95" customHeight="1" x14ac:dyDescent="0.2">
      <c r="A10" s="6"/>
      <c r="B10" s="11"/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</row>
    <row r="11" spans="1:7" ht="18.95" customHeight="1" x14ac:dyDescent="0.2">
      <c r="A11" s="6"/>
      <c r="B11" s="7"/>
      <c r="C11" s="8"/>
      <c r="D11" s="8"/>
      <c r="E11" s="8"/>
      <c r="F11" s="8"/>
      <c r="G11" s="8"/>
    </row>
    <row r="12" spans="1:7" ht="18.95" customHeight="1" x14ac:dyDescent="0.2">
      <c r="A12" s="9">
        <v>1</v>
      </c>
      <c r="B12" s="7" t="s">
        <v>31</v>
      </c>
      <c r="C12" s="8">
        <f>'Cost of Capital (PG2) (35%)'!J21</f>
        <v>3696723410.4801311</v>
      </c>
      <c r="D12" s="8">
        <f>'Cost of Capital (PG3) (21%)'!$J21</f>
        <v>3696723410.4801311</v>
      </c>
      <c r="E12" s="8">
        <f>D12-C12</f>
        <v>0</v>
      </c>
      <c r="F12" s="8"/>
      <c r="G12" s="8"/>
    </row>
    <row r="13" spans="1:7" ht="18.95" customHeight="1" x14ac:dyDescent="0.2">
      <c r="A13" s="9"/>
      <c r="B13" s="7"/>
      <c r="C13" s="8"/>
      <c r="D13" s="8"/>
      <c r="E13" s="8"/>
      <c r="F13" s="8"/>
      <c r="G13" s="8"/>
    </row>
    <row r="14" spans="1:7" ht="18.95" customHeight="1" x14ac:dyDescent="0.2">
      <c r="A14" s="9">
        <v>2</v>
      </c>
      <c r="B14" s="7" t="s">
        <v>55</v>
      </c>
      <c r="C14" s="18">
        <f>'Cost of Capital (PG2) (35%)'!O21</f>
        <v>0.10371818055147233</v>
      </c>
      <c r="D14" s="18">
        <f>'Cost of Capital (PG3) (21%)'!O21</f>
        <v>8.8882568858434402E-2</v>
      </c>
      <c r="E14" s="18">
        <f>D14-C14</f>
        <v>-1.4835611693037931E-2</v>
      </c>
      <c r="F14" s="18"/>
      <c r="G14" s="18"/>
    </row>
    <row r="15" spans="1:7" ht="18.95" customHeight="1" x14ac:dyDescent="0.2">
      <c r="A15" s="9"/>
      <c r="B15" s="7"/>
      <c r="C15" s="8"/>
      <c r="D15" s="8"/>
      <c r="E15" s="8"/>
      <c r="F15" s="8"/>
      <c r="G15" s="8"/>
    </row>
    <row r="16" spans="1:7" ht="18.95" customHeight="1" x14ac:dyDescent="0.2">
      <c r="A16" s="9">
        <v>3</v>
      </c>
      <c r="B16" s="17" t="s">
        <v>269</v>
      </c>
      <c r="C16" s="8">
        <f>C12*C14</f>
        <v>383417426.13703281</v>
      </c>
      <c r="D16" s="8">
        <f>D12*D14</f>
        <v>328574273.08258671</v>
      </c>
      <c r="E16" s="8">
        <f>D16-C16</f>
        <v>-54843153.054446101</v>
      </c>
      <c r="F16" s="8"/>
      <c r="G16" s="8"/>
    </row>
    <row r="17" spans="1:7" ht="18.95" customHeight="1" x14ac:dyDescent="0.2">
      <c r="A17" s="9"/>
      <c r="B17" s="17"/>
      <c r="C17" s="8"/>
      <c r="D17" s="8"/>
      <c r="E17" s="8"/>
      <c r="F17" s="8"/>
      <c r="G17" s="8"/>
    </row>
    <row r="18" spans="1:7" ht="18.95" customHeight="1" x14ac:dyDescent="0.2">
      <c r="A18" s="9">
        <v>4</v>
      </c>
      <c r="B18" s="17" t="s">
        <v>61</v>
      </c>
      <c r="C18" s="8"/>
      <c r="D18" s="8"/>
      <c r="E18" s="33">
        <f>16/12</f>
        <v>1.3333333333333333</v>
      </c>
      <c r="F18" s="33"/>
      <c r="G18" s="33"/>
    </row>
    <row r="19" spans="1:7" ht="18.95" customHeight="1" x14ac:dyDescent="0.2">
      <c r="A19" s="9"/>
      <c r="B19" s="17"/>
      <c r="C19" s="8"/>
      <c r="D19" s="8"/>
      <c r="E19" s="8"/>
      <c r="F19" s="8"/>
      <c r="G19" s="8"/>
    </row>
    <row r="20" spans="1:7" ht="18.95" customHeight="1" x14ac:dyDescent="0.2">
      <c r="A20" s="9">
        <v>5</v>
      </c>
      <c r="B20" s="17" t="s">
        <v>270</v>
      </c>
      <c r="C20" s="19"/>
      <c r="D20" s="19"/>
      <c r="E20" s="8">
        <f>E16*E18</f>
        <v>-73124204.072594792</v>
      </c>
      <c r="F20" s="8"/>
      <c r="G20" s="8"/>
    </row>
    <row r="21" spans="1:7" ht="18.95" customHeight="1" x14ac:dyDescent="0.2">
      <c r="B21" s="17"/>
    </row>
    <row r="22" spans="1:7" ht="18.95" customHeight="1" x14ac:dyDescent="0.2">
      <c r="A22" s="9">
        <v>6</v>
      </c>
      <c r="B22" s="17" t="s">
        <v>129</v>
      </c>
      <c r="C22" s="8"/>
      <c r="D22" s="8">
        <f>-'Excess DIT'!D35</f>
        <v>-11459996.700417886</v>
      </c>
      <c r="E22" s="8"/>
      <c r="F22" s="8"/>
      <c r="G22" s="8"/>
    </row>
    <row r="23" spans="1:7" ht="18.95" customHeight="1" x14ac:dyDescent="0.2">
      <c r="A23" s="9"/>
      <c r="B23" s="17"/>
      <c r="C23" s="8"/>
      <c r="D23" s="8"/>
      <c r="E23" s="8"/>
      <c r="F23" s="8"/>
      <c r="G23" s="8"/>
    </row>
    <row r="24" spans="1:7" ht="18.95" customHeight="1" x14ac:dyDescent="0.2">
      <c r="A24" s="9">
        <v>7</v>
      </c>
      <c r="B24" s="17" t="s">
        <v>128</v>
      </c>
      <c r="C24" s="8"/>
      <c r="D24" s="8">
        <f>-'Excess DIT'!D36</f>
        <v>-850809.87865411106</v>
      </c>
      <c r="E24" s="8"/>
      <c r="F24" s="8"/>
      <c r="G24" s="8"/>
    </row>
    <row r="25" spans="1:7" ht="18.95" customHeight="1" x14ac:dyDescent="0.2">
      <c r="A25" s="9"/>
      <c r="B25" s="17"/>
      <c r="C25" s="8"/>
      <c r="D25" s="8"/>
      <c r="E25" s="8"/>
      <c r="F25" s="8"/>
      <c r="G25" s="8"/>
    </row>
    <row r="26" spans="1:7" ht="18.95" customHeight="1" x14ac:dyDescent="0.2">
      <c r="A26" s="9">
        <v>8</v>
      </c>
      <c r="B26" s="17" t="s">
        <v>271</v>
      </c>
      <c r="C26" s="8"/>
      <c r="D26" s="8">
        <f>SUM(D22:D24)</f>
        <v>-12310806.579071997</v>
      </c>
      <c r="E26" s="8"/>
      <c r="F26" s="8"/>
      <c r="G26" s="8"/>
    </row>
    <row r="27" spans="1:7" ht="18.95" customHeight="1" x14ac:dyDescent="0.2">
      <c r="B27" s="17"/>
    </row>
    <row r="28" spans="1:7" ht="18.95" customHeight="1" x14ac:dyDescent="0.2">
      <c r="A28" s="9">
        <v>9</v>
      </c>
      <c r="B28" s="17" t="str">
        <f>CONCATENATE("GROSS-UP FACTOR USING ",TEXT('Composite Tax Rate (PG9) (21%)'!E27,"0.00%")," EFFECTIVE TAX RATE")</f>
        <v>GROSS-UP FACTOR USING 25.61% EFFECTIVE TAX RATE</v>
      </c>
      <c r="C28" s="35"/>
      <c r="D28" s="42">
        <f>1/(1-'Composite Tax Rate (PG9) (21%)'!E27)</f>
        <v>1.3442246114241649</v>
      </c>
      <c r="E28" s="35"/>
      <c r="F28" s="35"/>
      <c r="G28" s="35"/>
    </row>
    <row r="29" spans="1:7" ht="18.95" customHeight="1" x14ac:dyDescent="0.2">
      <c r="A29" s="9"/>
      <c r="B29" s="7"/>
    </row>
    <row r="30" spans="1:7" ht="18.95" customHeight="1" x14ac:dyDescent="0.2">
      <c r="A30" s="9">
        <v>10</v>
      </c>
      <c r="B30" s="7" t="s">
        <v>272</v>
      </c>
      <c r="C30" s="18"/>
      <c r="D30" s="18"/>
      <c r="E30" s="8">
        <f>D26*D28</f>
        <v>-16548489.190071108</v>
      </c>
      <c r="F30" s="8"/>
      <c r="G30" s="8"/>
    </row>
    <row r="31" spans="1:7" ht="18.95" customHeight="1" x14ac:dyDescent="0.2">
      <c r="B31" s="17"/>
      <c r="G31" s="79"/>
    </row>
    <row r="32" spans="1:7" ht="18.95" customHeight="1" x14ac:dyDescent="0.2">
      <c r="A32" s="57">
        <v>11</v>
      </c>
      <c r="B32" s="16" t="s">
        <v>273</v>
      </c>
      <c r="C32" s="58"/>
      <c r="D32" s="58"/>
      <c r="E32" s="59">
        <f>E20+E30</f>
        <v>-89672693.262665898</v>
      </c>
      <c r="F32" s="59">
        <f>E32*'TY TARIFF BILLING'!K7</f>
        <v>-34972350.372439705</v>
      </c>
      <c r="G32" s="59">
        <f>E32-F32</f>
        <v>-54700342.890226193</v>
      </c>
    </row>
    <row r="33" spans="1:7" ht="18.95" customHeight="1" x14ac:dyDescent="0.2"/>
    <row r="34" spans="1:7" ht="18.95" customHeight="1" x14ac:dyDescent="0.2">
      <c r="A34" s="9">
        <v>12</v>
      </c>
      <c r="B34" s="7" t="s">
        <v>126</v>
      </c>
      <c r="C34" s="18"/>
      <c r="D34" s="18"/>
      <c r="E34" s="8"/>
      <c r="F34" s="8">
        <f>'TY KWH-RS vs Non-RS'!B$5/12*13</f>
        <v>6599267393.0774231</v>
      </c>
      <c r="G34" s="8">
        <f>'TY KWH-RS vs Non-RS'!B$6/12*13</f>
        <v>13258143181.572523</v>
      </c>
    </row>
    <row r="35" spans="1:7" ht="18.95" customHeight="1" x14ac:dyDescent="0.2"/>
    <row r="36" spans="1:7" ht="18.95" customHeight="1" x14ac:dyDescent="0.2">
      <c r="A36" s="9">
        <v>13</v>
      </c>
      <c r="B36" s="7" t="s">
        <v>274</v>
      </c>
      <c r="C36" s="18"/>
      <c r="D36" s="18"/>
      <c r="E36" s="60"/>
      <c r="F36" s="60">
        <f t="shared" ref="F36:G36" si="0">F32/F34</f>
        <v>-5.299429207721665E-3</v>
      </c>
      <c r="G36" s="60">
        <f t="shared" si="0"/>
        <v>-4.12579213703576E-3</v>
      </c>
    </row>
    <row r="37" spans="1:7" ht="18.95" customHeight="1" x14ac:dyDescent="0.2">
      <c r="A37" s="9"/>
      <c r="B37" s="7"/>
      <c r="C37" s="18"/>
      <c r="D37" s="18"/>
      <c r="E37" s="60"/>
      <c r="F37" s="60"/>
      <c r="G37" s="60"/>
    </row>
    <row r="38" spans="1:7" ht="18.95" customHeight="1" x14ac:dyDescent="0.2">
      <c r="B38" s="7" t="s">
        <v>205</v>
      </c>
    </row>
    <row r="39" spans="1:7" ht="18.95" customHeight="1" x14ac:dyDescent="0.2">
      <c r="A39" s="57">
        <v>14</v>
      </c>
      <c r="B39" s="16" t="s">
        <v>275</v>
      </c>
      <c r="E39" s="59">
        <f>E32/16</f>
        <v>-5604543.3289166186</v>
      </c>
      <c r="F39" s="59">
        <f>F32/16</f>
        <v>-2185771.8982774816</v>
      </c>
      <c r="G39" s="59">
        <f>G32/16</f>
        <v>-3418771.430639137</v>
      </c>
    </row>
    <row r="40" spans="1:7" ht="18.95" customHeight="1" x14ac:dyDescent="0.2"/>
    <row r="41" spans="1:7" ht="18.95" customHeight="1" x14ac:dyDescent="0.2">
      <c r="A41" s="9">
        <v>15</v>
      </c>
      <c r="B41" s="7" t="s">
        <v>139</v>
      </c>
      <c r="E41" s="8">
        <f>'TY KWH-RS vs Non-RS'!B$7/12</f>
        <v>1527493121.1269188</v>
      </c>
      <c r="F41" s="8">
        <f>'TY KWH-RS vs Non-RS'!B$5/12</f>
        <v>507635953.31364793</v>
      </c>
      <c r="G41" s="8">
        <f>'TY KWH-RS vs Non-RS'!B$6/12</f>
        <v>1019857167.813271</v>
      </c>
    </row>
    <row r="42" spans="1:7" ht="18.95" customHeight="1" x14ac:dyDescent="0.2"/>
    <row r="43" spans="1:7" ht="18.95" customHeight="1" x14ac:dyDescent="0.2">
      <c r="A43" s="9">
        <v>16</v>
      </c>
      <c r="B43" s="7" t="s">
        <v>276</v>
      </c>
      <c r="E43" s="60">
        <f>E39/E41</f>
        <v>-3.6691119923223138E-3</v>
      </c>
      <c r="F43" s="60">
        <f t="shared" ref="F43:G43" si="1">F39/F41</f>
        <v>-4.3057862312738523E-3</v>
      </c>
      <c r="G43" s="60">
        <f t="shared" si="1"/>
        <v>-3.3522061113415548E-3</v>
      </c>
    </row>
    <row r="44" spans="1:7" ht="18.95" customHeight="1" x14ac:dyDescent="0.2">
      <c r="C44" s="8"/>
      <c r="D44" s="8"/>
      <c r="E44" s="10"/>
      <c r="F44" s="10"/>
      <c r="G44" s="10"/>
    </row>
    <row r="45" spans="1:7" ht="18.95" customHeight="1" x14ac:dyDescent="0.2">
      <c r="C45" s="8"/>
      <c r="D45" s="8"/>
      <c r="E45" s="10"/>
      <c r="F45" s="10"/>
      <c r="G45" s="10"/>
    </row>
    <row r="46" spans="1:7" ht="18.95" customHeight="1" x14ac:dyDescent="0.2">
      <c r="E46" s="10"/>
      <c r="F46" s="10"/>
      <c r="G46" s="10"/>
    </row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</sheetData>
  <mergeCells count="3">
    <mergeCell ref="A4:G4"/>
    <mergeCell ref="A5:G5"/>
    <mergeCell ref="A6:G6"/>
  </mergeCells>
  <printOptions horizontalCentered="1"/>
  <pageMargins left="0.75" right="0.75" top="0.75" bottom="0.75" header="0.3" footer="0.3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K3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G24" sqref="G24"/>
    </sheetView>
  </sheetViews>
  <sheetFormatPr defaultRowHeight="15" outlineLevelRow="1" x14ac:dyDescent="0.25"/>
  <cols>
    <col min="1" max="1" width="48.7109375" style="126" customWidth="1"/>
    <col min="2" max="2" width="15.7109375" style="126" customWidth="1"/>
    <col min="3" max="3" width="2.7109375" style="126" customWidth="1"/>
    <col min="4" max="5" width="13.7109375" style="126" customWidth="1"/>
    <col min="6" max="6" width="2.7109375" style="126" customWidth="1"/>
    <col min="7" max="7" width="15.7109375" style="126" customWidth="1"/>
    <col min="8" max="8" width="13.7109375" style="126" customWidth="1"/>
    <col min="9" max="9" width="3.5703125" style="126" customWidth="1"/>
    <col min="10" max="10" width="15.28515625" style="126" bestFit="1" customWidth="1"/>
    <col min="11" max="11" width="10.140625" style="126" bestFit="1" customWidth="1"/>
    <col min="12" max="16384" width="9.140625" style="126"/>
  </cols>
  <sheetData>
    <row r="1" spans="1:11" s="114" customFormat="1" ht="18.75" x14ac:dyDescent="0.3">
      <c r="B1" s="161" t="s">
        <v>62</v>
      </c>
      <c r="C1" s="161"/>
      <c r="D1" s="161"/>
      <c r="E1" s="161"/>
      <c r="F1" s="161"/>
      <c r="G1" s="161"/>
      <c r="H1" s="161"/>
    </row>
    <row r="2" spans="1:11" s="115" customFormat="1" ht="39" customHeight="1" x14ac:dyDescent="0.45">
      <c r="D2" s="162" t="s">
        <v>211</v>
      </c>
      <c r="E2" s="162"/>
      <c r="F2" s="116"/>
      <c r="H2" s="140"/>
    </row>
    <row r="3" spans="1:11" s="117" customFormat="1" ht="51.75" x14ac:dyDescent="0.4">
      <c r="B3" s="118" t="s">
        <v>212</v>
      </c>
      <c r="C3" s="119"/>
      <c r="D3" s="120" t="s">
        <v>213</v>
      </c>
      <c r="E3" s="118" t="s">
        <v>214</v>
      </c>
      <c r="F3" s="119"/>
      <c r="G3" s="118" t="s">
        <v>249</v>
      </c>
      <c r="H3" s="120" t="s">
        <v>243</v>
      </c>
    </row>
    <row r="4" spans="1:11" s="117" customFormat="1" ht="17.25" x14ac:dyDescent="0.4">
      <c r="A4" s="121" t="s">
        <v>215</v>
      </c>
      <c r="B4" s="118"/>
      <c r="C4" s="119"/>
      <c r="D4" s="118"/>
      <c r="E4" s="118"/>
      <c r="F4" s="119"/>
      <c r="G4" s="118"/>
      <c r="H4" s="118"/>
    </row>
    <row r="5" spans="1:11" x14ac:dyDescent="0.25">
      <c r="A5" s="122" t="s">
        <v>216</v>
      </c>
      <c r="B5" s="123">
        <v>622779410.78847742</v>
      </c>
      <c r="C5" s="124"/>
      <c r="D5" s="123">
        <v>20421226</v>
      </c>
      <c r="E5" s="125">
        <f t="shared" ref="E5:E25" si="0">IF(B5=0,0,D5/B5)</f>
        <v>3.2790464241817918E-2</v>
      </c>
      <c r="F5" s="124"/>
      <c r="G5" s="123">
        <f>B5+D5</f>
        <v>643200636.78847742</v>
      </c>
      <c r="H5" s="141">
        <f>G5/G$25</f>
        <v>0.38981153219094655</v>
      </c>
      <c r="J5" s="127">
        <f>D5+B5</f>
        <v>643200636.78847742</v>
      </c>
    </row>
    <row r="6" spans="1:11" x14ac:dyDescent="0.25">
      <c r="A6" s="122" t="s">
        <v>217</v>
      </c>
      <c r="B6" s="124">
        <v>30441.377400766949</v>
      </c>
      <c r="C6" s="124"/>
      <c r="D6" s="124">
        <v>1000</v>
      </c>
      <c r="E6" s="125">
        <f t="shared" si="0"/>
        <v>3.285002471585946E-2</v>
      </c>
      <c r="F6" s="124"/>
      <c r="G6" s="124">
        <f t="shared" ref="G6:G15" si="1">B6+D6</f>
        <v>31441.377400766949</v>
      </c>
      <c r="H6" s="141">
        <f t="shared" ref="H6:H25" si="2">G6/G$25</f>
        <v>1.9055036325807206E-5</v>
      </c>
      <c r="J6" s="127">
        <f>D6+B6</f>
        <v>31441.377400766949</v>
      </c>
    </row>
    <row r="7" spans="1:11" x14ac:dyDescent="0.25">
      <c r="A7" s="122" t="s">
        <v>218</v>
      </c>
      <c r="B7" s="124">
        <v>239171376.68404651</v>
      </c>
      <c r="C7" s="124"/>
      <c r="D7" s="124">
        <v>7618843</v>
      </c>
      <c r="E7" s="125">
        <f t="shared" si="0"/>
        <v>3.1855162208915787E-2</v>
      </c>
      <c r="F7" s="124"/>
      <c r="G7" s="124">
        <f t="shared" si="1"/>
        <v>246790219.68404651</v>
      </c>
      <c r="H7" s="141">
        <f t="shared" si="2"/>
        <v>0.14956713063145691</v>
      </c>
      <c r="J7" s="127">
        <f>SUM(J5:J6)</f>
        <v>643232078.16587818</v>
      </c>
      <c r="K7" s="125">
        <f>ROUND(J7/J25,2)</f>
        <v>0.39</v>
      </c>
    </row>
    <row r="8" spans="1:11" x14ac:dyDescent="0.25">
      <c r="A8" s="122" t="s">
        <v>219</v>
      </c>
      <c r="B8" s="124">
        <v>14562100.123204114</v>
      </c>
      <c r="C8" s="124"/>
      <c r="D8" s="124">
        <v>464318</v>
      </c>
      <c r="E8" s="125">
        <f t="shared" si="0"/>
        <v>3.1885373405730687E-2</v>
      </c>
      <c r="F8" s="124"/>
      <c r="G8" s="124">
        <f t="shared" si="1"/>
        <v>15026418.123204114</v>
      </c>
      <c r="H8" s="141">
        <f t="shared" si="2"/>
        <v>9.1067557103092344E-3</v>
      </c>
    </row>
    <row r="9" spans="1:11" outlineLevel="1" x14ac:dyDescent="0.25">
      <c r="A9" s="128" t="s">
        <v>220</v>
      </c>
      <c r="B9" s="129">
        <v>179716172</v>
      </c>
      <c r="C9" s="129"/>
      <c r="D9" s="129">
        <v>5730358</v>
      </c>
      <c r="E9" s="130">
        <f t="shared" si="0"/>
        <v>3.1885600145099911E-2</v>
      </c>
      <c r="F9" s="129"/>
      <c r="G9" s="129">
        <f t="shared" si="1"/>
        <v>185446530</v>
      </c>
      <c r="H9" s="142">
        <f t="shared" si="2"/>
        <v>0.11238980788286644</v>
      </c>
    </row>
    <row r="10" spans="1:11" outlineLevel="1" x14ac:dyDescent="0.25">
      <c r="A10" s="128" t="s">
        <v>221</v>
      </c>
      <c r="B10" s="129">
        <v>14972312.428139996</v>
      </c>
      <c r="C10" s="129"/>
      <c r="D10" s="129">
        <v>479112</v>
      </c>
      <c r="E10" s="130">
        <f t="shared" si="0"/>
        <v>3.1999866573684629E-2</v>
      </c>
      <c r="F10" s="129"/>
      <c r="G10" s="129">
        <f t="shared" si="1"/>
        <v>15451424.428139996</v>
      </c>
      <c r="H10" s="142">
        <f t="shared" si="2"/>
        <v>9.3643306401866005E-3</v>
      </c>
    </row>
    <row r="11" spans="1:11" s="134" customFormat="1" x14ac:dyDescent="0.25">
      <c r="A11" s="131" t="s">
        <v>222</v>
      </c>
      <c r="B11" s="132">
        <f>SUM(B9:B10)</f>
        <v>194688484.42813998</v>
      </c>
      <c r="C11" s="132"/>
      <c r="D11" s="132">
        <f>SUM(D9:D10)</f>
        <v>6209470</v>
      </c>
      <c r="E11" s="133">
        <f t="shared" si="0"/>
        <v>3.1894387684197785E-2</v>
      </c>
      <c r="F11" s="132"/>
      <c r="G11" s="132">
        <f t="shared" si="1"/>
        <v>200897954.42813998</v>
      </c>
      <c r="H11" s="143">
        <f t="shared" si="2"/>
        <v>0.12175413852305303</v>
      </c>
    </row>
    <row r="12" spans="1:11" x14ac:dyDescent="0.25">
      <c r="A12" s="122" t="s">
        <v>223</v>
      </c>
      <c r="B12" s="124">
        <v>111361703.46595718</v>
      </c>
      <c r="C12" s="124"/>
      <c r="D12" s="124">
        <v>3534112</v>
      </c>
      <c r="E12" s="125">
        <f t="shared" si="0"/>
        <v>3.1735434085563924E-2</v>
      </c>
      <c r="F12" s="124"/>
      <c r="G12" s="124">
        <f t="shared" si="1"/>
        <v>114895815.46595718</v>
      </c>
      <c r="H12" s="141">
        <f t="shared" si="2"/>
        <v>6.9632570783417738E-2</v>
      </c>
    </row>
    <row r="13" spans="1:11" x14ac:dyDescent="0.25">
      <c r="A13" s="122" t="s">
        <v>224</v>
      </c>
      <c r="B13" s="124">
        <v>262428533.3952243</v>
      </c>
      <c r="C13" s="124"/>
      <c r="D13" s="124">
        <v>8489773</v>
      </c>
      <c r="E13" s="125">
        <f t="shared" si="0"/>
        <v>3.2350800007002967E-2</v>
      </c>
      <c r="F13" s="124"/>
      <c r="G13" s="124">
        <f t="shared" si="1"/>
        <v>270918306.39522433</v>
      </c>
      <c r="H13" s="141">
        <f t="shared" si="2"/>
        <v>0.16418994956503533</v>
      </c>
    </row>
    <row r="14" spans="1:11" x14ac:dyDescent="0.25">
      <c r="A14" s="122" t="s">
        <v>225</v>
      </c>
      <c r="B14" s="124">
        <v>89717941.026858285</v>
      </c>
      <c r="C14" s="124"/>
      <c r="D14" s="124">
        <v>2880507</v>
      </c>
      <c r="E14" s="125">
        <f t="shared" si="0"/>
        <v>3.2106253966948273E-2</v>
      </c>
      <c r="F14" s="124"/>
      <c r="G14" s="124">
        <f t="shared" si="1"/>
        <v>92598448.026858285</v>
      </c>
      <c r="H14" s="141">
        <f t="shared" si="2"/>
        <v>5.6119258656337198E-2</v>
      </c>
    </row>
    <row r="15" spans="1:11" x14ac:dyDescent="0.25">
      <c r="A15" s="122" t="s">
        <v>226</v>
      </c>
      <c r="B15" s="124">
        <v>30814610.295082595</v>
      </c>
      <c r="C15" s="124"/>
      <c r="D15" s="124">
        <v>980351</v>
      </c>
      <c r="E15" s="125">
        <f t="shared" si="0"/>
        <v>3.1814486394995713E-2</v>
      </c>
      <c r="F15" s="124"/>
      <c r="G15" s="124">
        <f t="shared" si="1"/>
        <v>31794961.295082595</v>
      </c>
      <c r="H15" s="141">
        <f t="shared" si="2"/>
        <v>1.9269325727461751E-2</v>
      </c>
    </row>
    <row r="16" spans="1:11" outlineLevel="1" x14ac:dyDescent="0.25">
      <c r="A16" s="128" t="s">
        <v>227</v>
      </c>
      <c r="B16" s="135"/>
      <c r="C16" s="129"/>
      <c r="D16" s="135"/>
      <c r="E16" s="130">
        <f t="shared" si="0"/>
        <v>0</v>
      </c>
      <c r="F16" s="129"/>
      <c r="G16" s="135"/>
      <c r="H16" s="142">
        <f t="shared" si="2"/>
        <v>0</v>
      </c>
    </row>
    <row r="17" spans="1:10" outlineLevel="1" x14ac:dyDescent="0.25">
      <c r="A17" s="128" t="s">
        <v>228</v>
      </c>
      <c r="B17" s="135"/>
      <c r="C17" s="129"/>
      <c r="D17" s="135"/>
      <c r="E17" s="130">
        <f t="shared" si="0"/>
        <v>0</v>
      </c>
      <c r="F17" s="129"/>
      <c r="G17" s="135"/>
      <c r="H17" s="142">
        <f t="shared" si="2"/>
        <v>0</v>
      </c>
    </row>
    <row r="18" spans="1:10" s="134" customFormat="1" x14ac:dyDescent="0.25">
      <c r="A18" s="131" t="s">
        <v>229</v>
      </c>
      <c r="B18" s="132">
        <v>-17395776</v>
      </c>
      <c r="C18" s="132"/>
      <c r="D18" s="132">
        <v>1357806</v>
      </c>
      <c r="E18" s="133">
        <f t="shared" si="0"/>
        <v>-7.8053775813162918E-2</v>
      </c>
      <c r="F18" s="132"/>
      <c r="G18" s="132">
        <f t="shared" ref="G18:G24" si="3">B18+D18</f>
        <v>-16037970</v>
      </c>
      <c r="H18" s="143">
        <f t="shared" si="2"/>
        <v>-9.7198063891040468E-3</v>
      </c>
    </row>
    <row r="19" spans="1:10" x14ac:dyDescent="0.25">
      <c r="A19" s="122" t="s">
        <v>230</v>
      </c>
      <c r="B19" s="124">
        <v>35467.485174180503</v>
      </c>
      <c r="C19" s="124"/>
      <c r="D19" s="124">
        <v>0</v>
      </c>
      <c r="E19" s="125">
        <f t="shared" si="0"/>
        <v>0</v>
      </c>
      <c r="F19" s="124"/>
      <c r="G19" s="124">
        <f t="shared" si="3"/>
        <v>35467.485174180503</v>
      </c>
      <c r="H19" s="141">
        <f t="shared" si="2"/>
        <v>2.1495057604014271E-5</v>
      </c>
    </row>
    <row r="20" spans="1:10" x14ac:dyDescent="0.25">
      <c r="A20" s="122" t="s">
        <v>231</v>
      </c>
      <c r="B20" s="124">
        <v>173457.22905495041</v>
      </c>
      <c r="C20" s="124"/>
      <c r="D20" s="124">
        <v>4155</v>
      </c>
      <c r="E20" s="125">
        <f t="shared" si="0"/>
        <v>2.3954031911138832E-2</v>
      </c>
      <c r="F20" s="124"/>
      <c r="G20" s="124">
        <f t="shared" si="3"/>
        <v>177612.22905495041</v>
      </c>
      <c r="H20" s="141">
        <f t="shared" si="2"/>
        <v>1.0764183239844685E-4</v>
      </c>
    </row>
    <row r="21" spans="1:10" outlineLevel="1" x14ac:dyDescent="0.25">
      <c r="A21" s="128" t="s">
        <v>232</v>
      </c>
      <c r="B21" s="129">
        <v>26150821.489857558</v>
      </c>
      <c r="C21" s="129"/>
      <c r="D21" s="136"/>
      <c r="E21" s="130">
        <f t="shared" si="0"/>
        <v>0</v>
      </c>
      <c r="F21" s="129"/>
      <c r="G21" s="129">
        <f t="shared" si="3"/>
        <v>26150821.489857558</v>
      </c>
      <c r="H21" s="142">
        <f t="shared" si="2"/>
        <v>1.5848696674045214E-2</v>
      </c>
    </row>
    <row r="22" spans="1:10" outlineLevel="1" x14ac:dyDescent="0.25">
      <c r="A22" s="128" t="s">
        <v>233</v>
      </c>
      <c r="B22" s="129">
        <v>4238872.2721082512</v>
      </c>
      <c r="C22" s="129"/>
      <c r="D22" s="136"/>
      <c r="E22" s="130">
        <f t="shared" si="0"/>
        <v>0</v>
      </c>
      <c r="F22" s="129"/>
      <c r="G22" s="129">
        <f t="shared" si="3"/>
        <v>4238872.2721082512</v>
      </c>
      <c r="H22" s="142">
        <f t="shared" si="2"/>
        <v>2.5689671319396265E-3</v>
      </c>
    </row>
    <row r="23" spans="1:10" s="134" customFormat="1" x14ac:dyDescent="0.25">
      <c r="A23" s="131" t="s">
        <v>234</v>
      </c>
      <c r="B23" s="132">
        <f>SUM(B21:B22)</f>
        <v>30389693.761965811</v>
      </c>
      <c r="C23" s="132"/>
      <c r="D23" s="132">
        <v>344445</v>
      </c>
      <c r="E23" s="133">
        <f t="shared" si="0"/>
        <v>1.1334270187055646E-2</v>
      </c>
      <c r="F23" s="132"/>
      <c r="G23" s="132">
        <f t="shared" si="3"/>
        <v>30734138.761965811</v>
      </c>
      <c r="H23" s="143">
        <f t="shared" si="2"/>
        <v>1.862641458377623E-2</v>
      </c>
    </row>
    <row r="24" spans="1:10" ht="17.25" x14ac:dyDescent="0.4">
      <c r="A24" s="122" t="s">
        <v>235</v>
      </c>
      <c r="B24" s="137">
        <v>19714166</v>
      </c>
      <c r="C24" s="124"/>
      <c r="D24" s="137">
        <v>-747835.83999999613</v>
      </c>
      <c r="E24" s="125">
        <f t="shared" si="0"/>
        <v>-3.7933932381415278E-2</v>
      </c>
      <c r="F24" s="124"/>
      <c r="G24" s="137">
        <f t="shared" si="3"/>
        <v>18966330.160000004</v>
      </c>
      <c r="H24" s="141">
        <f t="shared" si="2"/>
        <v>1.1494538090981891E-2</v>
      </c>
    </row>
    <row r="25" spans="1:10" ht="17.25" x14ac:dyDescent="0.4">
      <c r="A25" s="138" t="s">
        <v>236</v>
      </c>
      <c r="B25" s="139">
        <f>SUM(B5:B8,B11:B15,B18:B20,B23:B24)</f>
        <v>1598471610.060586</v>
      </c>
      <c r="D25" s="139">
        <f>SUM(D5:D8,D11:D15,D18:D20,D23:D24)</f>
        <v>51558170.160000004</v>
      </c>
      <c r="E25" s="125">
        <f t="shared" si="0"/>
        <v>3.2254667418238243E-2</v>
      </c>
      <c r="G25" s="139">
        <f>SUM(G5:G8,G11:G15,G18:G20,G23:G24)</f>
        <v>1650029780.2205861</v>
      </c>
      <c r="H25" s="143">
        <f t="shared" si="2"/>
        <v>1</v>
      </c>
      <c r="J25" s="127">
        <f>D25+B25</f>
        <v>1650029780.2205861</v>
      </c>
    </row>
    <row r="27" spans="1:10" x14ac:dyDescent="0.25">
      <c r="A27" s="138" t="s">
        <v>237</v>
      </c>
    </row>
    <row r="28" spans="1:10" x14ac:dyDescent="0.25">
      <c r="A28" s="122" t="s">
        <v>238</v>
      </c>
      <c r="B28" s="123">
        <v>3857505.2961587054</v>
      </c>
      <c r="D28" s="123">
        <v>0</v>
      </c>
      <c r="E28" s="125">
        <f>IF(B28=0,0,D28/B28)</f>
        <v>0</v>
      </c>
      <c r="G28" s="123">
        <f t="shared" ref="G28:G31" si="4">B28+D28</f>
        <v>3857505.2961587054</v>
      </c>
      <c r="H28" s="125"/>
    </row>
    <row r="29" spans="1:10" x14ac:dyDescent="0.25">
      <c r="A29" s="122" t="s">
        <v>239</v>
      </c>
      <c r="B29" s="124">
        <v>2108281.586779655</v>
      </c>
      <c r="D29" s="124">
        <v>0</v>
      </c>
      <c r="E29" s="125">
        <f>IF(B29=0,0,D29/B29)</f>
        <v>0</v>
      </c>
      <c r="G29" s="124">
        <f t="shared" si="4"/>
        <v>2108281.586779655</v>
      </c>
      <c r="H29" s="125"/>
    </row>
    <row r="30" spans="1:10" x14ac:dyDescent="0.25">
      <c r="A30" s="122" t="s">
        <v>240</v>
      </c>
      <c r="B30" s="124">
        <v>3142644.6954118521</v>
      </c>
      <c r="D30" s="124">
        <v>19720</v>
      </c>
      <c r="E30" s="125">
        <f>IF(B30=0,0,D30/B30)</f>
        <v>6.274969623129999E-3</v>
      </c>
      <c r="G30" s="124">
        <f t="shared" si="4"/>
        <v>3162364.6954118521</v>
      </c>
      <c r="H30" s="125"/>
    </row>
    <row r="31" spans="1:10" ht="17.25" x14ac:dyDescent="0.4">
      <c r="A31" s="122" t="s">
        <v>241</v>
      </c>
      <c r="B31" s="137">
        <v>22338060.122524951</v>
      </c>
      <c r="D31" s="137">
        <v>0</v>
      </c>
      <c r="E31" s="125">
        <f>IF(B31=0,0,D31/B31)</f>
        <v>0</v>
      </c>
      <c r="G31" s="137">
        <f t="shared" si="4"/>
        <v>22338060.122524951</v>
      </c>
      <c r="H31" s="125"/>
    </row>
    <row r="32" spans="1:10" ht="17.25" x14ac:dyDescent="0.4">
      <c r="A32" s="138" t="s">
        <v>242</v>
      </c>
      <c r="B32" s="139">
        <f>SUM(B25:B31)</f>
        <v>1629918101.7614613</v>
      </c>
      <c r="D32" s="139">
        <f>SUM(D25:D31)</f>
        <v>51577890.160000004</v>
      </c>
      <c r="E32" s="125">
        <f>IF(B32=0,0,D32/B32)</f>
        <v>3.1644467353457516E-2</v>
      </c>
      <c r="G32" s="139">
        <f>SUM(G25:G31)</f>
        <v>1681495991.9214613</v>
      </c>
      <c r="H32" s="133"/>
    </row>
  </sheetData>
  <mergeCells count="2">
    <mergeCell ref="B1:H1"/>
    <mergeCell ref="D2:E2"/>
  </mergeCells>
  <printOptions horizontalCentered="1"/>
  <pageMargins left="1" right="1" top="1" bottom="1" header="0.3" footer="0.3"/>
  <pageSetup scale="86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7"/>
  <sheetViews>
    <sheetView zoomScale="85" zoomScaleNormal="85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D20" sqref="D20"/>
    </sheetView>
  </sheetViews>
  <sheetFormatPr defaultRowHeight="15" x14ac:dyDescent="0.25"/>
  <cols>
    <col min="1" max="1" width="28.7109375" style="86" bestFit="1" customWidth="1"/>
    <col min="2" max="2" width="15.7109375" style="86" customWidth="1"/>
    <col min="3" max="3" width="7.85546875" style="86" customWidth="1"/>
    <col min="4" max="13" width="15.7109375" style="86" customWidth="1"/>
    <col min="14" max="16384" width="9.140625" style="86"/>
  </cols>
  <sheetData>
    <row r="1" spans="1:14" s="100" customFormat="1" ht="18.75" x14ac:dyDescent="0.3">
      <c r="A1" s="97" t="s">
        <v>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  <c r="M1" s="99"/>
      <c r="N1" s="99"/>
    </row>
    <row r="2" spans="1:14" s="102" customFormat="1" x14ac:dyDescent="0.25">
      <c r="A2" s="101" t="s">
        <v>244</v>
      </c>
      <c r="B2" s="101"/>
      <c r="C2" s="101"/>
      <c r="D2" s="101"/>
      <c r="E2" s="101"/>
      <c r="F2" s="101"/>
    </row>
    <row r="3" spans="1:14" s="102" customFormat="1" x14ac:dyDescent="0.25">
      <c r="A3" s="101"/>
      <c r="B3" s="101"/>
      <c r="C3" s="101"/>
      <c r="D3" s="101"/>
      <c r="E3" s="101"/>
      <c r="F3" s="101"/>
    </row>
    <row r="4" spans="1:14" ht="51.75" x14ac:dyDescent="0.4">
      <c r="A4" s="103" t="s">
        <v>82</v>
      </c>
      <c r="B4" s="104" t="s">
        <v>207</v>
      </c>
      <c r="C4" s="104" t="s">
        <v>206</v>
      </c>
      <c r="D4" s="104" t="s">
        <v>83</v>
      </c>
      <c r="E4" s="104" t="s">
        <v>84</v>
      </c>
    </row>
    <row r="5" spans="1:14" x14ac:dyDescent="0.25">
      <c r="A5" s="86" t="s">
        <v>208</v>
      </c>
      <c r="B5" s="110">
        <v>6091631439.7637749</v>
      </c>
      <c r="C5" s="105">
        <f>B5/B$7</f>
        <v>0.33233272627711469</v>
      </c>
    </row>
    <row r="6" spans="1:14" ht="17.25" x14ac:dyDescent="0.4">
      <c r="A6" s="106" t="s">
        <v>209</v>
      </c>
      <c r="B6" s="111">
        <v>12238286013.759253</v>
      </c>
      <c r="C6" s="107">
        <f>B6/B$7</f>
        <v>0.66766727372288537</v>
      </c>
    </row>
    <row r="7" spans="1:14" ht="17.25" x14ac:dyDescent="0.4">
      <c r="A7" s="108" t="s">
        <v>210</v>
      </c>
      <c r="B7" s="112">
        <f>SUM(B5:B6)</f>
        <v>18329917453.523026</v>
      </c>
      <c r="C7" s="109">
        <f>SUM(C5:C6)</f>
        <v>1</v>
      </c>
      <c r="D7" s="112">
        <v>18329917453.522999</v>
      </c>
      <c r="E7" s="112">
        <f>B7-D7</f>
        <v>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79"/>
  <sheetViews>
    <sheetView workbookViewId="0">
      <selection activeCell="A13" sqref="A13"/>
    </sheetView>
  </sheetViews>
  <sheetFormatPr defaultRowHeight="12.75" x14ac:dyDescent="0.2"/>
  <cols>
    <col min="1" max="1" width="9.7109375" customWidth="1"/>
    <col min="2" max="2" width="27.7109375" customWidth="1"/>
    <col min="3" max="7" width="16.28515625" customWidth="1"/>
  </cols>
  <sheetData>
    <row r="1" spans="1:7" ht="15" x14ac:dyDescent="0.25">
      <c r="A1" s="63" t="s">
        <v>62</v>
      </c>
      <c r="C1" s="44"/>
      <c r="D1" s="44"/>
      <c r="E1" s="44"/>
      <c r="F1" s="44"/>
      <c r="G1" s="44"/>
    </row>
    <row r="2" spans="1:7" x14ac:dyDescent="0.2">
      <c r="A2" t="s">
        <v>63</v>
      </c>
      <c r="C2" s="44"/>
      <c r="D2" s="44"/>
      <c r="E2" s="44"/>
      <c r="F2" s="44"/>
      <c r="G2" s="44"/>
    </row>
    <row r="3" spans="1:7" ht="13.5" thickBot="1" x14ac:dyDescent="0.25">
      <c r="C3" s="44"/>
      <c r="D3" s="44"/>
      <c r="E3" s="44"/>
      <c r="F3" s="44"/>
      <c r="G3" s="44"/>
    </row>
    <row r="4" spans="1:7" ht="13.5" thickBot="1" x14ac:dyDescent="0.25">
      <c r="C4" s="163" t="s">
        <v>64</v>
      </c>
      <c r="D4" s="164"/>
      <c r="E4" s="164"/>
      <c r="F4" s="164"/>
      <c r="G4" s="165"/>
    </row>
    <row r="5" spans="1:7" x14ac:dyDescent="0.2">
      <c r="C5" s="46"/>
      <c r="D5" s="169" t="s">
        <v>130</v>
      </c>
      <c r="E5" s="170"/>
      <c r="F5" s="169" t="s">
        <v>131</v>
      </c>
      <c r="G5" s="170"/>
    </row>
    <row r="6" spans="1:7" ht="15" x14ac:dyDescent="0.25">
      <c r="A6" s="47"/>
      <c r="B6" s="47"/>
      <c r="C6" s="48" t="s">
        <v>66</v>
      </c>
      <c r="D6" s="64" t="s">
        <v>67</v>
      </c>
      <c r="E6" s="48" t="s">
        <v>68</v>
      </c>
      <c r="F6" s="64" t="s">
        <v>69</v>
      </c>
      <c r="G6" s="48" t="s">
        <v>132</v>
      </c>
    </row>
    <row r="7" spans="1:7" x14ac:dyDescent="0.2">
      <c r="B7" s="65" t="s">
        <v>70</v>
      </c>
      <c r="C7" s="44">
        <f>SUM(D7:G7)</f>
        <v>-454519875</v>
      </c>
      <c r="D7" s="66">
        <f>-463117331-G7-F7</f>
        <v>-354831907.27999997</v>
      </c>
      <c r="E7" s="44">
        <v>8597456</v>
      </c>
      <c r="F7" s="66">
        <v>-107594802</v>
      </c>
      <c r="G7" s="44">
        <v>-690621.72</v>
      </c>
    </row>
    <row r="8" spans="1:7" x14ac:dyDescent="0.2">
      <c r="B8" s="65" t="s">
        <v>71</v>
      </c>
      <c r="C8" s="44">
        <f t="shared" ref="C8:G9" si="0">+C7+C14</f>
        <v>-445124392.93718392</v>
      </c>
      <c r="D8" s="66">
        <f t="shared" si="0"/>
        <v>-345424733.89168793</v>
      </c>
      <c r="E8" s="44">
        <f t="shared" si="0"/>
        <v>8419736.0628160648</v>
      </c>
      <c r="F8" s="66">
        <f t="shared" si="0"/>
        <v>-107428773.38831204</v>
      </c>
      <c r="G8" s="44">
        <f t="shared" si="0"/>
        <v>-690621.72</v>
      </c>
    </row>
    <row r="9" spans="1:7" x14ac:dyDescent="0.2">
      <c r="B9" s="65" t="s">
        <v>73</v>
      </c>
      <c r="C9" s="44">
        <f t="shared" si="0"/>
        <v>-441463901.83821523</v>
      </c>
      <c r="D9" s="66">
        <f t="shared" si="0"/>
        <v>-341757848.34069574</v>
      </c>
      <c r="E9" s="44">
        <f t="shared" si="0"/>
        <v>8350496.1617847299</v>
      </c>
      <c r="F9" s="66">
        <f t="shared" si="0"/>
        <v>-107365927.93930426</v>
      </c>
      <c r="G9" s="44">
        <f t="shared" si="0"/>
        <v>-690621.72</v>
      </c>
    </row>
    <row r="10" spans="1:7" ht="13.5" thickBot="1" x14ac:dyDescent="0.25"/>
    <row r="11" spans="1:7" ht="13.5" thickBot="1" x14ac:dyDescent="0.25">
      <c r="B11" s="46"/>
      <c r="C11" s="163" t="s">
        <v>65</v>
      </c>
      <c r="D11" s="164"/>
      <c r="E11" s="164"/>
      <c r="F11" s="164"/>
      <c r="G11" s="165"/>
    </row>
    <row r="12" spans="1:7" x14ac:dyDescent="0.2">
      <c r="B12" s="46"/>
      <c r="C12" s="46"/>
      <c r="D12" s="166" t="s">
        <v>130</v>
      </c>
      <c r="E12" s="167"/>
      <c r="F12" s="166" t="s">
        <v>131</v>
      </c>
      <c r="G12" s="168"/>
    </row>
    <row r="13" spans="1:7" ht="15" x14ac:dyDescent="0.25">
      <c r="B13" s="49"/>
      <c r="C13" s="48" t="s">
        <v>66</v>
      </c>
      <c r="D13" s="67" t="s">
        <v>67</v>
      </c>
      <c r="E13" s="49" t="s">
        <v>68</v>
      </c>
      <c r="F13" s="67" t="s">
        <v>69</v>
      </c>
      <c r="G13" s="49" t="s">
        <v>132</v>
      </c>
    </row>
    <row r="14" spans="1:7" x14ac:dyDescent="0.2">
      <c r="B14" s="50" t="s">
        <v>72</v>
      </c>
      <c r="C14" s="44">
        <f>SUM(D14:G14)</f>
        <v>9395482.0628160648</v>
      </c>
      <c r="D14" s="66">
        <f>9573202-F14</f>
        <v>9407173.3883120418</v>
      </c>
      <c r="E14" s="45">
        <f>SUM(D14,F14,G14)/SUM($D$7,$F$7,$G$7)*$E$7</f>
        <v>-177719.93718393578</v>
      </c>
      <c r="F14" s="66">
        <v>166028.61168795824</v>
      </c>
      <c r="G14" s="45">
        <v>0</v>
      </c>
    </row>
    <row r="15" spans="1:7" x14ac:dyDescent="0.2">
      <c r="B15" s="50" t="s">
        <v>133</v>
      </c>
      <c r="C15" s="44">
        <f>SUM(D15:G15)</f>
        <v>3660491.0989686651</v>
      </c>
      <c r="D15" s="66">
        <f>11189193/12*4-F15</f>
        <v>3666885.5509922155</v>
      </c>
      <c r="E15" s="45">
        <f>SUM(D15,F15,G15)/SUM($D$7,$F$7,$G$7)*$E$7</f>
        <v>-69239.901031334972</v>
      </c>
      <c r="F15" s="66">
        <f>188536.347023353/12*4</f>
        <v>62845.449007784337</v>
      </c>
      <c r="G15" s="45">
        <v>0</v>
      </c>
    </row>
    <row r="16" spans="1:7" ht="13.5" thickBot="1" x14ac:dyDescent="0.25">
      <c r="B16" s="68" t="s">
        <v>134</v>
      </c>
      <c r="C16" s="69">
        <f>SUM(C14:C15)</f>
        <v>13055973.161784731</v>
      </c>
      <c r="D16" s="70">
        <f t="shared" ref="D16:G16" si="1">SUM(D14:D15)</f>
        <v>13074058.939304257</v>
      </c>
      <c r="E16" s="69">
        <f t="shared" si="1"/>
        <v>-246959.83821527075</v>
      </c>
      <c r="F16" s="70">
        <f t="shared" si="1"/>
        <v>228874.06069574258</v>
      </c>
      <c r="G16" s="69">
        <f t="shared" si="1"/>
        <v>0</v>
      </c>
    </row>
    <row r="17" spans="2:5" x14ac:dyDescent="0.2">
      <c r="C17" s="71">
        <f>+C16-C22</f>
        <v>0</v>
      </c>
    </row>
    <row r="18" spans="2:5" x14ac:dyDescent="0.2">
      <c r="C18" s="71"/>
    </row>
    <row r="19" spans="2:5" ht="15" x14ac:dyDescent="0.25">
      <c r="B19" s="72" t="s">
        <v>252</v>
      </c>
    </row>
    <row r="20" spans="2:5" ht="15" x14ac:dyDescent="0.25">
      <c r="B20" s="73" t="s">
        <v>74</v>
      </c>
    </row>
    <row r="21" spans="2:5" ht="15" x14ac:dyDescent="0.25">
      <c r="C21" s="48" t="s">
        <v>66</v>
      </c>
      <c r="D21" s="48" t="s">
        <v>67</v>
      </c>
      <c r="E21" s="48" t="s">
        <v>69</v>
      </c>
    </row>
    <row r="22" spans="2:5" x14ac:dyDescent="0.2">
      <c r="B22" t="s">
        <v>75</v>
      </c>
      <c r="C22" s="44">
        <f>SUM(D22:E22)</f>
        <v>13055973.161784729</v>
      </c>
      <c r="D22" s="44">
        <f>SUM(D$14:E$15)</f>
        <v>12827099.101088986</v>
      </c>
      <c r="E22" s="44">
        <f>SUM(F$14:F$15)</f>
        <v>228874.06069574258</v>
      </c>
    </row>
    <row r="23" spans="2:5" x14ac:dyDescent="0.2">
      <c r="B23" t="s">
        <v>76</v>
      </c>
      <c r="C23" s="44">
        <f>SUM(D23:E23)</f>
        <v>1160096.9137777782</v>
      </c>
      <c r="D23" s="44">
        <v>952305.91377777816</v>
      </c>
      <c r="E23" s="44">
        <v>207791</v>
      </c>
    </row>
    <row r="24" spans="2:5" ht="13.5" thickBot="1" x14ac:dyDescent="0.25">
      <c r="B24" t="s">
        <v>77</v>
      </c>
      <c r="C24" s="51">
        <f>SUM(C22:C23)</f>
        <v>14216070.075562507</v>
      </c>
      <c r="D24" s="51">
        <f t="shared" ref="D24:E24" si="2">SUM(D22:D23)</f>
        <v>13779405.014866764</v>
      </c>
      <c r="E24" s="51">
        <f t="shared" si="2"/>
        <v>436665.06069574261</v>
      </c>
    </row>
    <row r="27" spans="2:5" ht="17.25" x14ac:dyDescent="0.4">
      <c r="B27" s="74" t="s">
        <v>135</v>
      </c>
    </row>
    <row r="28" spans="2:5" x14ac:dyDescent="0.2">
      <c r="B28" s="75" t="s">
        <v>136</v>
      </c>
      <c r="C28" s="71">
        <f>+SUM(D7:E7)</f>
        <v>-346234451.27999997</v>
      </c>
      <c r="D28">
        <f>D33</f>
        <v>0.89342076568543571</v>
      </c>
      <c r="E28" s="71">
        <f>C28*D28</f>
        <v>-309333048.56925428</v>
      </c>
    </row>
    <row r="29" spans="2:5" x14ac:dyDescent="0.2">
      <c r="B29" s="75" t="s">
        <v>137</v>
      </c>
      <c r="C29" s="71">
        <f>+SUM(F7:G7)</f>
        <v>-108285423.72</v>
      </c>
    </row>
    <row r="30" spans="2:5" ht="13.5" thickBot="1" x14ac:dyDescent="0.25">
      <c r="B30" s="75"/>
      <c r="C30" s="51">
        <f>SUM(C28:C29)</f>
        <v>-454519875</v>
      </c>
    </row>
    <row r="31" spans="2:5" x14ac:dyDescent="0.2">
      <c r="C31" s="71">
        <f>+C30-C7</f>
        <v>0</v>
      </c>
    </row>
    <row r="33" spans="1:6" ht="15" x14ac:dyDescent="0.25">
      <c r="A33" s="144"/>
      <c r="B33" s="75" t="s">
        <v>80</v>
      </c>
      <c r="C33" s="144"/>
      <c r="D33">
        <v>0.89342076568543571</v>
      </c>
    </row>
    <row r="34" spans="1:6" ht="15" x14ac:dyDescent="0.25">
      <c r="A34" s="144"/>
      <c r="B34" s="75"/>
      <c r="C34" s="144"/>
      <c r="D34" s="144"/>
    </row>
    <row r="35" spans="1:6" ht="15" x14ac:dyDescent="0.25">
      <c r="A35" s="75" t="s">
        <v>79</v>
      </c>
      <c r="B35" s="75" t="s">
        <v>75</v>
      </c>
      <c r="C35" s="144"/>
      <c r="D35" s="44">
        <f>D22*D33</f>
        <v>11459996.700417886</v>
      </c>
    </row>
    <row r="36" spans="1:6" ht="15" x14ac:dyDescent="0.25">
      <c r="A36" s="75" t="s">
        <v>79</v>
      </c>
      <c r="B36" s="75" t="s">
        <v>76</v>
      </c>
      <c r="C36" s="144"/>
      <c r="D36" s="44">
        <f>D23*D33</f>
        <v>850809.87865411106</v>
      </c>
      <c r="E36" s="76"/>
    </row>
    <row r="37" spans="1:6" ht="15.75" thickBot="1" x14ac:dyDescent="0.3">
      <c r="A37" s="75" t="s">
        <v>79</v>
      </c>
      <c r="B37" s="75" t="s">
        <v>77</v>
      </c>
      <c r="C37" s="144"/>
      <c r="D37" s="51">
        <f>SUM(D35:D36)</f>
        <v>12310806.579071997</v>
      </c>
    </row>
    <row r="40" spans="1:6" ht="15" x14ac:dyDescent="0.25">
      <c r="B40" s="52" t="s">
        <v>62</v>
      </c>
      <c r="C40" s="44"/>
      <c r="D40" s="44"/>
      <c r="E40" s="44"/>
      <c r="F40" s="44"/>
    </row>
    <row r="41" spans="1:6" x14ac:dyDescent="0.2">
      <c r="B41" s="53" t="s">
        <v>85</v>
      </c>
      <c r="C41" s="44"/>
      <c r="D41" s="44"/>
      <c r="E41" s="44"/>
      <c r="F41" s="44"/>
    </row>
    <row r="42" spans="1:6" x14ac:dyDescent="0.2">
      <c r="B42" s="53"/>
      <c r="C42" s="44"/>
      <c r="D42" s="44"/>
      <c r="E42" s="44"/>
      <c r="F42" s="44"/>
    </row>
    <row r="43" spans="1:6" ht="51.75" x14ac:dyDescent="0.4">
      <c r="B43" s="54" t="s">
        <v>86</v>
      </c>
      <c r="C43" s="55" t="s">
        <v>87</v>
      </c>
      <c r="D43" s="55" t="s">
        <v>88</v>
      </c>
      <c r="E43" s="55" t="s">
        <v>89</v>
      </c>
      <c r="F43" s="55" t="s">
        <v>90</v>
      </c>
    </row>
    <row r="44" spans="1:6" x14ac:dyDescent="0.2">
      <c r="B44" s="53"/>
      <c r="C44" s="44"/>
      <c r="D44" s="44"/>
      <c r="E44" s="44"/>
      <c r="F44" s="44"/>
    </row>
    <row r="45" spans="1:6" x14ac:dyDescent="0.2">
      <c r="B45" s="53" t="s">
        <v>91</v>
      </c>
      <c r="C45" s="44">
        <v>-567175.02</v>
      </c>
      <c r="D45" s="44">
        <v>-220631.07</v>
      </c>
      <c r="E45" s="44">
        <v>-145990.82999999999</v>
      </c>
      <c r="F45" s="45">
        <f>+E45-D45</f>
        <v>74640.24000000002</v>
      </c>
    </row>
    <row r="46" spans="1:6" x14ac:dyDescent="0.2">
      <c r="B46" s="53" t="s">
        <v>92</v>
      </c>
      <c r="C46" s="44">
        <v>-14786163.199999999</v>
      </c>
      <c r="D46" s="44">
        <v>-5751817.4800000004</v>
      </c>
      <c r="E46" s="44">
        <v>-3805958.4</v>
      </c>
      <c r="F46" s="45">
        <f t="shared" ref="F46:F78" si="3">+E46-D46</f>
        <v>1945859.0800000005</v>
      </c>
    </row>
    <row r="47" spans="1:6" x14ac:dyDescent="0.2">
      <c r="B47" s="53" t="s">
        <v>93</v>
      </c>
      <c r="C47" s="44">
        <v>-8826062.7799999993</v>
      </c>
      <c r="D47" s="44">
        <v>-3433338.42</v>
      </c>
      <c r="E47" s="44">
        <v>-2271828.56</v>
      </c>
      <c r="F47" s="45">
        <f t="shared" si="3"/>
        <v>1161509.8599999999</v>
      </c>
    </row>
    <row r="48" spans="1:6" x14ac:dyDescent="0.2">
      <c r="B48" s="53" t="s">
        <v>94</v>
      </c>
      <c r="C48" s="44">
        <v>1478120.07</v>
      </c>
      <c r="D48" s="44">
        <v>574988.68000000005</v>
      </c>
      <c r="E48" s="44">
        <v>380468.1</v>
      </c>
      <c r="F48" s="45">
        <f t="shared" si="3"/>
        <v>-194520.58000000007</v>
      </c>
    </row>
    <row r="49" spans="2:6" x14ac:dyDescent="0.2">
      <c r="B49" s="53" t="s">
        <v>95</v>
      </c>
      <c r="C49" s="44">
        <v>842194.15</v>
      </c>
      <c r="D49" s="44">
        <v>327613.65000000002</v>
      </c>
      <c r="E49" s="44">
        <v>216780.79</v>
      </c>
      <c r="F49" s="45">
        <f t="shared" si="3"/>
        <v>-110832.86000000002</v>
      </c>
    </row>
    <row r="50" spans="2:6" x14ac:dyDescent="0.2">
      <c r="B50" s="53" t="s">
        <v>96</v>
      </c>
      <c r="C50" s="44">
        <v>-28421223.169999987</v>
      </c>
      <c r="D50" s="44">
        <v>-11055855.82</v>
      </c>
      <c r="E50" s="44">
        <v>-7315622.8600000069</v>
      </c>
      <c r="F50" s="45">
        <f t="shared" si="3"/>
        <v>3740232.9599999934</v>
      </c>
    </row>
    <row r="51" spans="2:6" x14ac:dyDescent="0.2">
      <c r="B51" s="53" t="s">
        <v>97</v>
      </c>
      <c r="C51" s="44">
        <v>-162196.49</v>
      </c>
      <c r="D51" s="44">
        <v>-63094.42</v>
      </c>
      <c r="E51" s="44">
        <v>-41749.370000000003</v>
      </c>
      <c r="F51" s="45">
        <f t="shared" si="3"/>
        <v>21345.049999999996</v>
      </c>
    </row>
    <row r="52" spans="2:6" x14ac:dyDescent="0.2">
      <c r="B52" s="53" t="s">
        <v>98</v>
      </c>
      <c r="C52" s="44">
        <v>2433539.0299999998</v>
      </c>
      <c r="D52" s="44">
        <v>946646.67</v>
      </c>
      <c r="E52" s="44">
        <v>626392.94999999995</v>
      </c>
      <c r="F52" s="45">
        <f t="shared" si="3"/>
        <v>-320253.72000000009</v>
      </c>
    </row>
    <row r="53" spans="2:6" x14ac:dyDescent="0.2">
      <c r="B53" s="53" t="s">
        <v>99</v>
      </c>
      <c r="C53" s="44">
        <v>29150.37</v>
      </c>
      <c r="D53" s="44">
        <v>11339.49</v>
      </c>
      <c r="E53" s="44">
        <v>7503.31</v>
      </c>
      <c r="F53" s="45">
        <f t="shared" si="3"/>
        <v>-3836.1799999999994</v>
      </c>
    </row>
    <row r="54" spans="2:6" x14ac:dyDescent="0.2">
      <c r="B54" s="53" t="s">
        <v>100</v>
      </c>
      <c r="C54" s="44">
        <v>-482956.7</v>
      </c>
      <c r="D54" s="44">
        <v>-187870.16999999998</v>
      </c>
      <c r="E54" s="44">
        <v>-124313.06</v>
      </c>
      <c r="F54" s="45">
        <f t="shared" si="3"/>
        <v>63557.109999999986</v>
      </c>
    </row>
    <row r="55" spans="2:6" x14ac:dyDescent="0.2">
      <c r="B55" s="53" t="s">
        <v>101</v>
      </c>
      <c r="C55" s="44">
        <v>-131236.79999999999</v>
      </c>
      <c r="D55" s="44">
        <v>-51051.13</v>
      </c>
      <c r="E55" s="44">
        <v>-33780.36</v>
      </c>
      <c r="F55" s="45">
        <f t="shared" si="3"/>
        <v>17270.769999999997</v>
      </c>
    </row>
    <row r="56" spans="2:6" x14ac:dyDescent="0.2">
      <c r="B56" s="53" t="s">
        <v>102</v>
      </c>
      <c r="C56" s="44">
        <v>1118000</v>
      </c>
      <c r="D56" s="44">
        <v>434902</v>
      </c>
      <c r="E56" s="44">
        <v>287773.2</v>
      </c>
      <c r="F56" s="45">
        <f t="shared" si="3"/>
        <v>-147128.79999999999</v>
      </c>
    </row>
    <row r="57" spans="2:6" x14ac:dyDescent="0.2">
      <c r="B57" s="53" t="s">
        <v>103</v>
      </c>
      <c r="C57" s="44">
        <v>2965000</v>
      </c>
      <c r="D57" s="44">
        <v>1153385</v>
      </c>
      <c r="E57" s="44">
        <v>763191</v>
      </c>
      <c r="F57" s="45">
        <f t="shared" si="3"/>
        <v>-390194</v>
      </c>
    </row>
    <row r="58" spans="2:6" x14ac:dyDescent="0.2">
      <c r="B58" s="53" t="s">
        <v>104</v>
      </c>
      <c r="C58" s="44">
        <v>48306251.609999999</v>
      </c>
      <c r="D58" s="44">
        <v>18791131.879999999</v>
      </c>
      <c r="E58" s="44">
        <v>12434029.17</v>
      </c>
      <c r="F58" s="45">
        <f t="shared" si="3"/>
        <v>-6357102.709999999</v>
      </c>
    </row>
    <row r="59" spans="2:6" x14ac:dyDescent="0.2">
      <c r="B59" s="53" t="s">
        <v>105</v>
      </c>
      <c r="C59" s="44">
        <v>6891417</v>
      </c>
      <c r="D59" s="44">
        <v>2680761.21</v>
      </c>
      <c r="E59" s="44">
        <v>1773850.74</v>
      </c>
      <c r="F59" s="45">
        <f t="shared" si="3"/>
        <v>-906910.47</v>
      </c>
    </row>
    <row r="60" spans="2:6" s="145" customFormat="1" ht="15" x14ac:dyDescent="0.25">
      <c r="B60" s="146" t="s">
        <v>106</v>
      </c>
      <c r="C60" s="147">
        <v>-121135645.58</v>
      </c>
      <c r="D60" s="147">
        <v>-47121766.140000001</v>
      </c>
      <c r="E60" s="147">
        <v>-31180315.169999998</v>
      </c>
      <c r="F60" s="148">
        <f t="shared" si="3"/>
        <v>15941450.970000003</v>
      </c>
    </row>
    <row r="61" spans="2:6" x14ac:dyDescent="0.2">
      <c r="B61" s="53" t="s">
        <v>107</v>
      </c>
      <c r="C61" s="44">
        <v>-1878580.87</v>
      </c>
      <c r="D61" s="44">
        <v>-730767.93</v>
      </c>
      <c r="E61" s="44">
        <v>-483546.71</v>
      </c>
      <c r="F61" s="45">
        <f t="shared" si="3"/>
        <v>247221.22000000003</v>
      </c>
    </row>
    <row r="62" spans="2:6" x14ac:dyDescent="0.2">
      <c r="B62" s="53" t="s">
        <v>108</v>
      </c>
      <c r="C62" s="44">
        <v>-1166592.1499999985</v>
      </c>
      <c r="D62" s="44">
        <v>-453804.31000000052</v>
      </c>
      <c r="E62" s="44">
        <v>-300280.8200000003</v>
      </c>
      <c r="F62" s="45">
        <f t="shared" si="3"/>
        <v>153523.49000000022</v>
      </c>
    </row>
    <row r="63" spans="2:6" x14ac:dyDescent="0.2">
      <c r="B63" s="53" t="s">
        <v>109</v>
      </c>
      <c r="C63" s="44">
        <v>-5673388.5300000003</v>
      </c>
      <c r="D63" s="44">
        <v>-2206948.15</v>
      </c>
      <c r="E63" s="44">
        <v>-1460330.2</v>
      </c>
      <c r="F63" s="45">
        <f t="shared" si="3"/>
        <v>746617.95</v>
      </c>
    </row>
    <row r="64" spans="2:6" x14ac:dyDescent="0.2">
      <c r="B64" s="53" t="s">
        <v>110</v>
      </c>
      <c r="C64" s="44">
        <v>6219</v>
      </c>
      <c r="D64" s="44">
        <v>2419.19</v>
      </c>
      <c r="E64" s="44">
        <v>1600.77</v>
      </c>
      <c r="F64" s="45">
        <f t="shared" si="3"/>
        <v>-818.42000000000007</v>
      </c>
    </row>
    <row r="65" spans="2:6" x14ac:dyDescent="0.2">
      <c r="B65" s="53" t="s">
        <v>111</v>
      </c>
      <c r="C65" s="44">
        <v>634533.49</v>
      </c>
      <c r="D65" s="44">
        <v>246833.53</v>
      </c>
      <c r="E65" s="44">
        <v>163328.92000000001</v>
      </c>
      <c r="F65" s="45">
        <f t="shared" si="3"/>
        <v>-83504.609999999986</v>
      </c>
    </row>
    <row r="66" spans="2:6" x14ac:dyDescent="0.2">
      <c r="B66" s="53" t="s">
        <v>112</v>
      </c>
      <c r="C66" s="44">
        <v>-1642701.19</v>
      </c>
      <c r="D66" s="44">
        <v>-639010.78</v>
      </c>
      <c r="E66" s="44">
        <v>-422831.29</v>
      </c>
      <c r="F66" s="45">
        <f t="shared" si="3"/>
        <v>216179.49000000005</v>
      </c>
    </row>
    <row r="67" spans="2:6" x14ac:dyDescent="0.2">
      <c r="B67" s="53" t="s">
        <v>113</v>
      </c>
      <c r="C67" s="44">
        <v>8338.02</v>
      </c>
      <c r="D67" s="44">
        <v>3243.5</v>
      </c>
      <c r="E67" s="44">
        <v>2146.1999999999998</v>
      </c>
      <c r="F67" s="45">
        <f t="shared" si="3"/>
        <v>-1097.3000000000002</v>
      </c>
    </row>
    <row r="68" spans="2:6" x14ac:dyDescent="0.2">
      <c r="B68" s="53" t="s">
        <v>114</v>
      </c>
      <c r="C68" s="44">
        <v>148278</v>
      </c>
      <c r="D68" s="44">
        <v>57680.13</v>
      </c>
      <c r="E68" s="44">
        <v>38166.76</v>
      </c>
      <c r="F68" s="45">
        <f t="shared" si="3"/>
        <v>-19513.369999999995</v>
      </c>
    </row>
    <row r="69" spans="2:6" x14ac:dyDescent="0.2">
      <c r="B69" s="53" t="s">
        <v>115</v>
      </c>
      <c r="C69" s="44">
        <v>1220137.8400000001</v>
      </c>
      <c r="D69" s="44">
        <v>474633.62</v>
      </c>
      <c r="E69" s="44">
        <v>314063.48</v>
      </c>
      <c r="F69" s="45">
        <f t="shared" si="3"/>
        <v>-160570.14000000001</v>
      </c>
    </row>
    <row r="70" spans="2:6" x14ac:dyDescent="0.2">
      <c r="B70" s="53" t="s">
        <v>116</v>
      </c>
      <c r="C70" s="44">
        <v>2882884.51</v>
      </c>
      <c r="D70" s="44">
        <v>1121442.08</v>
      </c>
      <c r="E70" s="44">
        <v>742054.48</v>
      </c>
      <c r="F70" s="45">
        <f t="shared" si="3"/>
        <v>-379387.60000000009</v>
      </c>
    </row>
    <row r="71" spans="2:6" x14ac:dyDescent="0.2">
      <c r="B71" s="53" t="s">
        <v>117</v>
      </c>
      <c r="C71" s="44">
        <v>313709.26</v>
      </c>
      <c r="D71" s="44">
        <v>122032.92</v>
      </c>
      <c r="E71" s="44">
        <v>80748.759999999995</v>
      </c>
      <c r="F71" s="45">
        <f t="shared" si="3"/>
        <v>-41284.160000000003</v>
      </c>
    </row>
    <row r="72" spans="2:6" x14ac:dyDescent="0.2">
      <c r="B72" s="53" t="s">
        <v>118</v>
      </c>
      <c r="C72" s="44">
        <v>-3111003.08</v>
      </c>
      <c r="D72" s="44">
        <v>-1210180.19</v>
      </c>
      <c r="E72" s="44">
        <v>-800772.19</v>
      </c>
      <c r="F72" s="45">
        <f t="shared" si="3"/>
        <v>409408</v>
      </c>
    </row>
    <row r="73" spans="2:6" x14ac:dyDescent="0.2">
      <c r="B73" s="53" t="s">
        <v>119</v>
      </c>
      <c r="C73" s="44">
        <v>-1286608.99</v>
      </c>
      <c r="D73" s="44">
        <v>-500490.9</v>
      </c>
      <c r="E73" s="44">
        <v>-331173.15999999997</v>
      </c>
      <c r="F73" s="45">
        <f t="shared" si="3"/>
        <v>169317.74000000005</v>
      </c>
    </row>
    <row r="74" spans="2:6" x14ac:dyDescent="0.2">
      <c r="B74" s="53" t="s">
        <v>120</v>
      </c>
      <c r="C74" s="44">
        <v>1760599</v>
      </c>
      <c r="D74" s="44">
        <v>616209.65</v>
      </c>
      <c r="E74" s="44">
        <v>369725.79</v>
      </c>
      <c r="F74" s="45">
        <f t="shared" si="3"/>
        <v>-246483.86000000004</v>
      </c>
    </row>
    <row r="75" spans="2:6" x14ac:dyDescent="0.2">
      <c r="B75" s="53" t="s">
        <v>121</v>
      </c>
      <c r="C75" s="44">
        <v>-940337</v>
      </c>
      <c r="D75" s="44">
        <v>-365791.08</v>
      </c>
      <c r="E75" s="44">
        <v>-242042.74</v>
      </c>
      <c r="F75" s="45">
        <f t="shared" si="3"/>
        <v>123748.34000000003</v>
      </c>
    </row>
    <row r="76" spans="2:6" x14ac:dyDescent="0.2">
      <c r="B76" s="53" t="s">
        <v>122</v>
      </c>
      <c r="C76" s="44">
        <v>856000</v>
      </c>
      <c r="D76" s="44">
        <v>332984</v>
      </c>
      <c r="E76" s="44">
        <v>220334.4</v>
      </c>
      <c r="F76" s="45">
        <f t="shared" si="3"/>
        <v>-112649.60000000001</v>
      </c>
    </row>
    <row r="77" spans="2:6" x14ac:dyDescent="0.2">
      <c r="B77" s="53" t="s">
        <v>123</v>
      </c>
      <c r="C77" s="44">
        <v>4953372.97</v>
      </c>
      <c r="D77" s="44">
        <v>1926862.09</v>
      </c>
      <c r="E77" s="44">
        <v>1274998.2</v>
      </c>
      <c r="F77" s="45">
        <f t="shared" si="3"/>
        <v>-651863.89000000013</v>
      </c>
    </row>
    <row r="78" spans="2:6" x14ac:dyDescent="0.2">
      <c r="B78" s="53" t="s">
        <v>124</v>
      </c>
      <c r="C78" s="56">
        <v>3421394.34</v>
      </c>
      <c r="D78" s="56">
        <v>1330922.4099999999</v>
      </c>
      <c r="E78" s="56">
        <v>880666.9</v>
      </c>
      <c r="F78" s="56">
        <f t="shared" si="3"/>
        <v>-450255.50999999989</v>
      </c>
    </row>
    <row r="79" spans="2:6" x14ac:dyDescent="0.2">
      <c r="B79" s="53"/>
      <c r="C79" s="44">
        <f>SUM(C45:C78)</f>
        <v>-109942732.88999999</v>
      </c>
      <c r="D79" s="44">
        <f>SUM(D45:D78)</f>
        <v>-42836386.290000007</v>
      </c>
      <c r="E79" s="44">
        <f>SUM(E45:E78)</f>
        <v>-28382711.800000004</v>
      </c>
      <c r="F79" s="44">
        <f>SUM(F45:F78)</f>
        <v>14453674.489999998</v>
      </c>
    </row>
  </sheetData>
  <mergeCells count="6">
    <mergeCell ref="C11:G11"/>
    <mergeCell ref="D12:E12"/>
    <mergeCell ref="F12:G12"/>
    <mergeCell ref="C4:G4"/>
    <mergeCell ref="D5:E5"/>
    <mergeCell ref="F5:G5"/>
  </mergeCells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147"/>
  <sheetViews>
    <sheetView zoomScaleNormal="100" workbookViewId="0">
      <selection activeCell="D30" sqref="D30"/>
    </sheetView>
  </sheetViews>
  <sheetFormatPr defaultRowHeight="12.75" x14ac:dyDescent="0.2"/>
  <cols>
    <col min="1" max="1" width="6.85546875" style="5" customWidth="1"/>
    <col min="2" max="2" width="24.28515625" style="5" customWidth="1"/>
    <col min="3" max="3" width="15.140625" style="5" customWidth="1"/>
    <col min="4" max="4" width="17.7109375" style="5" customWidth="1"/>
    <col min="5" max="5" width="13.85546875" style="5" customWidth="1"/>
    <col min="6" max="6" width="17.85546875" style="5" customWidth="1"/>
    <col min="7" max="7" width="16.140625" style="5" customWidth="1"/>
    <col min="8" max="8" width="16.42578125" style="5" customWidth="1"/>
    <col min="9" max="9" width="19.5703125" style="5" customWidth="1"/>
    <col min="10" max="10" width="17.140625" style="5" customWidth="1"/>
    <col min="11" max="11" width="12.5703125" style="5" customWidth="1"/>
    <col min="12" max="12" width="10.85546875" style="5" customWidth="1"/>
    <col min="13" max="13" width="12.85546875" style="5" customWidth="1"/>
    <col min="14" max="15" width="15.7109375" style="5" customWidth="1"/>
    <col min="16" max="16" width="14" style="5" customWidth="1"/>
    <col min="17" max="17" width="1.85546875" style="5" customWidth="1"/>
    <col min="18" max="18" width="11.5703125" style="5" bestFit="1" customWidth="1"/>
    <col min="19" max="19" width="12.140625" style="5" customWidth="1"/>
    <col min="20" max="16384" width="9.140625" style="5"/>
  </cols>
  <sheetData>
    <row r="1" spans="1:19" ht="20.100000000000001" customHeight="1" x14ac:dyDescent="0.2">
      <c r="O1" s="3" t="s">
        <v>256</v>
      </c>
    </row>
    <row r="2" spans="1:19" ht="20.100000000000001" customHeight="1" x14ac:dyDescent="0.2">
      <c r="O2" s="3" t="s">
        <v>279</v>
      </c>
    </row>
    <row r="3" spans="1:19" ht="20.100000000000001" customHeight="1" x14ac:dyDescent="0.2">
      <c r="O3" s="3" t="s">
        <v>263</v>
      </c>
    </row>
    <row r="4" spans="1:19" s="1" customFormat="1" ht="20.100000000000001" customHeight="1" x14ac:dyDescent="0.2">
      <c r="A4" s="158" t="s">
        <v>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22"/>
    </row>
    <row r="5" spans="1:19" s="1" customFormat="1" ht="20.100000000000001" customHeight="1" x14ac:dyDescent="0.2">
      <c r="A5" s="158" t="s">
        <v>253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22"/>
    </row>
    <row r="6" spans="1:19" s="1" customFormat="1" ht="20.100000000000001" customHeight="1" x14ac:dyDescent="0.2">
      <c r="A6" s="159" t="s">
        <v>286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22"/>
    </row>
    <row r="7" spans="1:19" s="1" customFormat="1" ht="20.100000000000001" customHeight="1" x14ac:dyDescent="0.2">
      <c r="A7" s="159" t="s">
        <v>56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22"/>
    </row>
    <row r="8" spans="1:19" s="1" customFormat="1" ht="20.100000000000001" customHeight="1" x14ac:dyDescent="0.2">
      <c r="A8" s="159" t="s">
        <v>39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22"/>
    </row>
    <row r="9" spans="1:19" s="1" customFormat="1" ht="20.100000000000001" customHeight="1" x14ac:dyDescent="0.2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P9" s="150"/>
    </row>
    <row r="10" spans="1:19" s="1" customFormat="1" ht="20.100000000000001" customHeight="1" x14ac:dyDescent="0.2"/>
    <row r="11" spans="1:19" ht="66" customHeight="1" x14ac:dyDescent="0.2">
      <c r="A11" s="13" t="s">
        <v>3</v>
      </c>
      <c r="B11" s="13" t="s">
        <v>11</v>
      </c>
      <c r="C11" s="13" t="s">
        <v>138</v>
      </c>
      <c r="D11" s="13" t="s">
        <v>57</v>
      </c>
      <c r="E11" s="13" t="s">
        <v>12</v>
      </c>
      <c r="F11" s="13" t="s">
        <v>13</v>
      </c>
      <c r="G11" s="13" t="s">
        <v>27</v>
      </c>
      <c r="H11" s="13" t="s">
        <v>32</v>
      </c>
      <c r="I11" s="13" t="s">
        <v>33</v>
      </c>
      <c r="J11" s="13" t="s">
        <v>28</v>
      </c>
      <c r="K11" s="13" t="s">
        <v>14</v>
      </c>
      <c r="L11" s="13" t="s">
        <v>15</v>
      </c>
      <c r="M11" s="13" t="s">
        <v>58</v>
      </c>
      <c r="N11" s="13" t="s">
        <v>40</v>
      </c>
      <c r="O11" s="13" t="s">
        <v>41</v>
      </c>
      <c r="P11" s="10"/>
    </row>
    <row r="12" spans="1:19" ht="18.95" customHeight="1" x14ac:dyDescent="0.2">
      <c r="A12" s="6"/>
      <c r="B12" s="23" t="s">
        <v>16</v>
      </c>
      <c r="C12" s="23" t="s">
        <v>17</v>
      </c>
      <c r="D12" s="23" t="s">
        <v>18</v>
      </c>
      <c r="E12" s="23" t="s">
        <v>19</v>
      </c>
      <c r="F12" s="23" t="s">
        <v>20</v>
      </c>
      <c r="G12" s="23" t="s">
        <v>21</v>
      </c>
      <c r="H12" s="23" t="s">
        <v>29</v>
      </c>
      <c r="I12" s="23" t="s">
        <v>30</v>
      </c>
      <c r="J12" s="23" t="s">
        <v>34</v>
      </c>
      <c r="K12" s="23" t="s">
        <v>35</v>
      </c>
      <c r="L12" s="23" t="s">
        <v>36</v>
      </c>
      <c r="M12" s="23" t="s">
        <v>37</v>
      </c>
      <c r="N12" s="38" t="str">
        <f>CONCATENATE("(M) AT ",TEXT('Composite Tax Rate (PG8) (35%)'!E27,"0.00%"),)</f>
        <v>(M) AT 38.70%</v>
      </c>
      <c r="O12" s="38" t="s">
        <v>42</v>
      </c>
      <c r="P12" s="23"/>
    </row>
    <row r="13" spans="1:19" ht="18.95" customHeight="1" x14ac:dyDescent="0.2">
      <c r="A13" s="6"/>
      <c r="B13" s="11"/>
      <c r="C13" s="11"/>
      <c r="D13" s="12" t="s">
        <v>4</v>
      </c>
      <c r="E13" s="12" t="s">
        <v>4</v>
      </c>
      <c r="F13" s="12" t="s">
        <v>4</v>
      </c>
      <c r="G13" s="12"/>
      <c r="H13" s="12" t="s">
        <v>4</v>
      </c>
      <c r="I13" s="12" t="s">
        <v>4</v>
      </c>
      <c r="J13" s="12" t="s">
        <v>4</v>
      </c>
      <c r="K13" s="12"/>
      <c r="L13" s="12" t="s">
        <v>22</v>
      </c>
      <c r="M13" s="12" t="s">
        <v>22</v>
      </c>
      <c r="N13" s="12" t="s">
        <v>22</v>
      </c>
      <c r="O13" s="12" t="s">
        <v>22</v>
      </c>
      <c r="P13" s="12"/>
    </row>
    <row r="14" spans="1:19" ht="18.95" customHeight="1" x14ac:dyDescent="0.2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8"/>
      <c r="S14" s="1"/>
    </row>
    <row r="15" spans="1:19" ht="18.95" customHeight="1" x14ac:dyDescent="0.2">
      <c r="A15" s="9">
        <v>1</v>
      </c>
      <c r="B15" s="7" t="s">
        <v>23</v>
      </c>
      <c r="C15" s="10"/>
      <c r="D15" s="8">
        <f>'Cost of Capital (PGS4-5)'!D12</f>
        <v>132679493.84537211</v>
      </c>
      <c r="E15" s="8">
        <f>'Cost of Capital (PGS4-5)'!E12</f>
        <v>-10583.374931408416</v>
      </c>
      <c r="F15" s="8">
        <f>SUM(D15:E15)</f>
        <v>132668910.4704407</v>
      </c>
      <c r="G15" s="24">
        <v>0.89280000000000004</v>
      </c>
      <c r="H15" s="8">
        <f>F15*G15</f>
        <v>118446803.26800947</v>
      </c>
      <c r="I15" s="8">
        <f>'Cost of Capital (PGS4-5)'!I12</f>
        <v>-27179688.51804648</v>
      </c>
      <c r="J15" s="8">
        <f>SUM(H15:I15)</f>
        <v>91267114.749962986</v>
      </c>
      <c r="K15" s="24">
        <f>H15/H$21</f>
        <v>2.4688651169092791E-2</v>
      </c>
      <c r="L15" s="24">
        <f>'Cost of Capital (PGS4-5)'!L12</f>
        <v>2.6282736264734142E-2</v>
      </c>
      <c r="M15" s="24">
        <f>K15*L15</f>
        <v>6.4888530740928605E-4</v>
      </c>
      <c r="N15" s="24"/>
      <c r="O15" s="24">
        <f>SUM(M15:N15)</f>
        <v>6.4888530740928605E-4</v>
      </c>
      <c r="P15" s="8"/>
      <c r="R15" s="24"/>
      <c r="S15" s="8"/>
    </row>
    <row r="16" spans="1:19" ht="18.95" customHeight="1" x14ac:dyDescent="0.2">
      <c r="A16" s="9"/>
      <c r="B16" s="7"/>
      <c r="C16" s="10"/>
      <c r="D16" s="8"/>
      <c r="E16" s="8"/>
      <c r="F16" s="8"/>
      <c r="G16" s="24"/>
      <c r="H16" s="8"/>
      <c r="I16" s="8"/>
      <c r="J16" s="8"/>
      <c r="K16" s="24"/>
      <c r="L16" s="25"/>
      <c r="M16" s="25"/>
      <c r="N16" s="25"/>
      <c r="O16" s="25"/>
      <c r="P16" s="8"/>
      <c r="R16" s="24"/>
      <c r="S16" s="8"/>
    </row>
    <row r="17" spans="1:19" ht="18.95" customHeight="1" x14ac:dyDescent="0.2">
      <c r="A17" s="9">
        <v>2</v>
      </c>
      <c r="B17" s="7" t="s">
        <v>24</v>
      </c>
      <c r="C17" s="10"/>
      <c r="D17" s="8">
        <f>'Cost of Capital (PGS4-5)'!D14</f>
        <v>2378495605.0459571</v>
      </c>
      <c r="E17" s="8">
        <f>'Cost of Capital (PGS4-5)'!E14</f>
        <v>-189724.19950776367</v>
      </c>
      <c r="F17" s="8">
        <f>SUM(D17:E17)</f>
        <v>2378305880.8464494</v>
      </c>
      <c r="G17" s="24">
        <f>G$15</f>
        <v>0.89280000000000004</v>
      </c>
      <c r="H17" s="8">
        <f>F17*G17</f>
        <v>2123351490.4197102</v>
      </c>
      <c r="I17" s="8">
        <f>'Cost of Capital (PGS4-5)'!I14</f>
        <v>-487240098.77541834</v>
      </c>
      <c r="J17" s="8">
        <f>SUM(H17:I17)</f>
        <v>1636111391.6442919</v>
      </c>
      <c r="K17" s="24">
        <f>H17/H$21</f>
        <v>0.44258420497620982</v>
      </c>
      <c r="L17" s="26">
        <f>'Cost of Capital (PGS4-5)'!L14</f>
        <v>4.2413408249725289E-2</v>
      </c>
      <c r="M17" s="24">
        <f>K17*L17</f>
        <v>1.8771504570536085E-2</v>
      </c>
      <c r="N17" s="24"/>
      <c r="O17" s="24">
        <f>SUM(M17:N17)</f>
        <v>1.8771504570536085E-2</v>
      </c>
      <c r="R17" s="24"/>
      <c r="S17" s="8"/>
    </row>
    <row r="18" spans="1:19" ht="18.95" customHeight="1" x14ac:dyDescent="0.2">
      <c r="A18" s="9"/>
      <c r="B18" s="7"/>
      <c r="C18" s="10"/>
      <c r="D18" s="27"/>
      <c r="E18" s="27"/>
      <c r="F18" s="27"/>
      <c r="G18" s="28"/>
      <c r="H18" s="27"/>
      <c r="I18" s="27"/>
      <c r="J18" s="27"/>
      <c r="K18" s="28"/>
      <c r="L18" s="29"/>
      <c r="M18" s="28"/>
      <c r="N18" s="28"/>
      <c r="O18" s="28"/>
      <c r="P18" s="27"/>
      <c r="R18" s="28"/>
      <c r="S18" s="27"/>
    </row>
    <row r="19" spans="1:19" ht="18.95" customHeight="1" x14ac:dyDescent="0.2">
      <c r="A19" s="9">
        <v>3</v>
      </c>
      <c r="B19" s="7" t="s">
        <v>25</v>
      </c>
      <c r="C19" s="10"/>
      <c r="D19" s="14">
        <f>'Cost of Capital (PGS4-5)'!D16</f>
        <v>2863437659.1687164</v>
      </c>
      <c r="E19" s="14">
        <f>'Cost of Capital (PGS4-5)'!E16</f>
        <v>-732472.51556082792</v>
      </c>
      <c r="F19" s="14">
        <f>SUM(D19:E19)</f>
        <v>2862705186.6531558</v>
      </c>
      <c r="G19" s="24">
        <f>G$15</f>
        <v>0.89280000000000004</v>
      </c>
      <c r="H19" s="14">
        <f>F19*G19</f>
        <v>2555823190.6439376</v>
      </c>
      <c r="I19" s="14">
        <f>'Cost of Capital (PGS4-5)'!I16</f>
        <v>-586478286.55806112</v>
      </c>
      <c r="J19" s="14">
        <f>SUM(H19:I19)</f>
        <v>1969344904.0858765</v>
      </c>
      <c r="K19" s="30">
        <f>H19/H$21</f>
        <v>0.53272714385469733</v>
      </c>
      <c r="L19" s="24">
        <v>9.7000000000000003E-2</v>
      </c>
      <c r="M19" s="30">
        <f>K19*L19</f>
        <v>5.1674532953905644E-2</v>
      </c>
      <c r="N19" s="30">
        <f>M19*('Composite Tax Rate (PG8) (35%)'!E27/(1-'Composite Tax Rate (PG8) (35%)'!E27))</f>
        <v>3.2623257719621331E-2</v>
      </c>
      <c r="O19" s="30">
        <f>SUM(M19:N19)</f>
        <v>8.4297790673526968E-2</v>
      </c>
      <c r="P19" s="8"/>
      <c r="R19" s="24"/>
      <c r="S19" s="8"/>
    </row>
    <row r="20" spans="1:19" ht="18.95" customHeight="1" x14ac:dyDescent="0.2">
      <c r="A20" s="9"/>
      <c r="B20" s="7"/>
      <c r="C20" s="10"/>
      <c r="D20" s="8"/>
      <c r="E20" s="8"/>
      <c r="F20" s="8"/>
      <c r="G20" s="25"/>
      <c r="H20" s="8"/>
      <c r="I20" s="8"/>
      <c r="J20" s="8"/>
      <c r="K20" s="25"/>
      <c r="L20" s="25"/>
      <c r="M20" s="24"/>
      <c r="N20" s="24"/>
      <c r="O20" s="24"/>
      <c r="P20" s="8"/>
      <c r="R20" s="25"/>
      <c r="S20" s="8"/>
    </row>
    <row r="21" spans="1:19" ht="18.95" customHeight="1" thickBot="1" x14ac:dyDescent="0.25">
      <c r="A21" s="9">
        <v>4</v>
      </c>
      <c r="B21" s="7" t="s">
        <v>26</v>
      </c>
      <c r="C21" s="10"/>
      <c r="D21" s="15">
        <f>SUM(D15:D19)</f>
        <v>5374612758.0600452</v>
      </c>
      <c r="E21" s="15">
        <f>SUM(E15:E19)</f>
        <v>-932780.09</v>
      </c>
      <c r="F21" s="15">
        <f>SUM(F15:F19)</f>
        <v>5373679977.970046</v>
      </c>
      <c r="G21" s="24"/>
      <c r="H21" s="15">
        <f>SUM(H15:H19)</f>
        <v>4797621484.3316574</v>
      </c>
      <c r="I21" s="15">
        <f>SUM(I15:I19)</f>
        <v>-1100898073.851526</v>
      </c>
      <c r="J21" s="15">
        <f>SUM(J15:J19)</f>
        <v>3696723410.4801311</v>
      </c>
      <c r="K21" s="31">
        <f>SUM(K15:K19)</f>
        <v>1</v>
      </c>
      <c r="L21" s="25"/>
      <c r="M21" s="31">
        <f t="shared" ref="M21:O21" si="0">SUM(M15:M19)</f>
        <v>7.109492283185101E-2</v>
      </c>
      <c r="N21" s="31">
        <f t="shared" si="0"/>
        <v>3.2623257719621331E-2</v>
      </c>
      <c r="O21" s="61">
        <f t="shared" si="0"/>
        <v>0.10371818055147233</v>
      </c>
      <c r="P21" s="8"/>
      <c r="R21" s="24"/>
      <c r="S21" s="8"/>
    </row>
    <row r="22" spans="1:19" ht="18.95" customHeight="1" thickTop="1" x14ac:dyDescent="0.2">
      <c r="A22" s="9"/>
      <c r="B22" s="7"/>
      <c r="C22" s="10"/>
      <c r="D22" s="8"/>
      <c r="E22" s="8"/>
      <c r="F22" s="8"/>
      <c r="G22" s="24"/>
      <c r="H22" s="8"/>
      <c r="I22" s="8"/>
      <c r="J22" s="8"/>
      <c r="K22" s="24"/>
      <c r="L22" s="25"/>
      <c r="M22" s="24"/>
      <c r="N22" s="24"/>
      <c r="O22" s="24"/>
      <c r="P22" s="8"/>
      <c r="R22" s="24"/>
      <c r="S22" s="8"/>
    </row>
    <row r="23" spans="1:19" ht="18.95" customHeight="1" x14ac:dyDescent="0.2">
      <c r="B23" s="62" t="s">
        <v>125</v>
      </c>
      <c r="C23" s="10"/>
      <c r="D23" s="8"/>
      <c r="E23" s="8"/>
      <c r="F23" s="8"/>
      <c r="G23" s="24"/>
      <c r="H23" s="8"/>
      <c r="I23" s="8"/>
      <c r="J23" s="8"/>
      <c r="K23" s="24"/>
      <c r="L23" s="25"/>
      <c r="M23" s="24"/>
      <c r="N23" s="24"/>
      <c r="O23" s="24"/>
      <c r="P23" s="8"/>
      <c r="R23" s="24"/>
      <c r="S23" s="8"/>
    </row>
    <row r="24" spans="1:19" ht="18.95" customHeight="1" x14ac:dyDescent="0.2">
      <c r="A24" s="9"/>
      <c r="B24" s="2" t="s">
        <v>292</v>
      </c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9" ht="18.95" customHeight="1" x14ac:dyDescent="0.2">
      <c r="B25" s="2" t="s">
        <v>127</v>
      </c>
    </row>
    <row r="26" spans="1:19" ht="18.95" customHeight="1" x14ac:dyDescent="0.2">
      <c r="B26" s="2" t="s">
        <v>291</v>
      </c>
    </row>
    <row r="27" spans="1:19" ht="18.95" customHeight="1" x14ac:dyDescent="0.2">
      <c r="B27" s="2" t="s">
        <v>290</v>
      </c>
    </row>
    <row r="28" spans="1:19" ht="18.95" customHeight="1" x14ac:dyDescent="0.2">
      <c r="B28" s="2" t="s">
        <v>288</v>
      </c>
    </row>
    <row r="29" spans="1:19" ht="18.95" customHeight="1" x14ac:dyDescent="0.2">
      <c r="B29" s="2"/>
    </row>
    <row r="30" spans="1:19" ht="18.95" customHeight="1" x14ac:dyDescent="0.2">
      <c r="B30" s="2"/>
    </row>
    <row r="31" spans="1:19" ht="18.95" customHeight="1" x14ac:dyDescent="0.2"/>
    <row r="32" spans="1:19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</sheetData>
  <mergeCells count="5">
    <mergeCell ref="A4:O4"/>
    <mergeCell ref="A5:O5"/>
    <mergeCell ref="A6:O6"/>
    <mergeCell ref="A7:O7"/>
    <mergeCell ref="A8:O8"/>
  </mergeCells>
  <pageMargins left="0.7" right="0.7" top="1" bottom="0.75" header="0.3" footer="0.3"/>
  <pageSetup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47"/>
  <sheetViews>
    <sheetView zoomScaleNormal="100" workbookViewId="0">
      <selection activeCell="F23" sqref="F23"/>
    </sheetView>
  </sheetViews>
  <sheetFormatPr defaultRowHeight="12.75" x14ac:dyDescent="0.2"/>
  <cols>
    <col min="1" max="1" width="6.85546875" style="5" customWidth="1"/>
    <col min="2" max="2" width="24.28515625" style="5" customWidth="1"/>
    <col min="3" max="3" width="15.140625" style="5" customWidth="1"/>
    <col min="4" max="4" width="17.7109375" style="5" customWidth="1"/>
    <col min="5" max="5" width="13.85546875" style="5" customWidth="1"/>
    <col min="6" max="6" width="17.85546875" style="5" customWidth="1"/>
    <col min="7" max="7" width="16.140625" style="5" customWidth="1"/>
    <col min="8" max="8" width="16.42578125" style="5" customWidth="1"/>
    <col min="9" max="9" width="19.5703125" style="5" customWidth="1"/>
    <col min="10" max="10" width="17.140625" style="5" customWidth="1"/>
    <col min="11" max="11" width="12.5703125" style="5" customWidth="1"/>
    <col min="12" max="12" width="10.85546875" style="5" customWidth="1"/>
    <col min="13" max="13" width="12.85546875" style="5" customWidth="1"/>
    <col min="14" max="15" width="15.7109375" style="5" customWidth="1"/>
    <col min="16" max="16" width="14" style="5" customWidth="1"/>
    <col min="17" max="17" width="1.85546875" style="5" customWidth="1"/>
    <col min="18" max="18" width="11.5703125" style="5" bestFit="1" customWidth="1"/>
    <col min="19" max="19" width="12.140625" style="5" customWidth="1"/>
    <col min="20" max="16384" width="9.140625" style="5"/>
  </cols>
  <sheetData>
    <row r="1" spans="1:19" ht="20.100000000000001" customHeight="1" x14ac:dyDescent="0.2">
      <c r="O1" s="3" t="s">
        <v>256</v>
      </c>
    </row>
    <row r="2" spans="1:19" ht="20.100000000000001" customHeight="1" x14ac:dyDescent="0.2">
      <c r="O2" s="3" t="s">
        <v>280</v>
      </c>
    </row>
    <row r="3" spans="1:19" ht="20.100000000000001" customHeight="1" x14ac:dyDescent="0.2">
      <c r="O3" s="3" t="s">
        <v>263</v>
      </c>
    </row>
    <row r="4" spans="1:19" s="1" customFormat="1" ht="20.100000000000001" customHeight="1" x14ac:dyDescent="0.2">
      <c r="A4" s="158" t="s">
        <v>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22"/>
    </row>
    <row r="5" spans="1:19" s="1" customFormat="1" ht="20.100000000000001" customHeight="1" x14ac:dyDescent="0.2">
      <c r="A5" s="158" t="s">
        <v>253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22"/>
    </row>
    <row r="6" spans="1:19" s="1" customFormat="1" ht="20.100000000000001" customHeight="1" x14ac:dyDescent="0.2">
      <c r="A6" s="159" t="s">
        <v>287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22"/>
    </row>
    <row r="7" spans="1:19" s="1" customFormat="1" ht="20.100000000000001" customHeight="1" x14ac:dyDescent="0.2">
      <c r="A7" s="159" t="s">
        <v>56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22"/>
    </row>
    <row r="8" spans="1:19" s="1" customFormat="1" ht="20.100000000000001" customHeight="1" x14ac:dyDescent="0.2">
      <c r="A8" s="159" t="s">
        <v>39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22"/>
    </row>
    <row r="9" spans="1:19" s="1" customFormat="1" ht="20.100000000000001" customHeight="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6"/>
      <c r="N9" s="36"/>
      <c r="P9" s="34"/>
    </row>
    <row r="10" spans="1:19" s="1" customFormat="1" ht="20.100000000000001" customHeight="1" x14ac:dyDescent="0.2"/>
    <row r="11" spans="1:19" ht="66" customHeight="1" x14ac:dyDescent="0.2">
      <c r="A11" s="13" t="s">
        <v>3</v>
      </c>
      <c r="B11" s="13" t="s">
        <v>11</v>
      </c>
      <c r="C11" s="13" t="s">
        <v>138</v>
      </c>
      <c r="D11" s="13" t="s">
        <v>57</v>
      </c>
      <c r="E11" s="13" t="s">
        <v>12</v>
      </c>
      <c r="F11" s="13" t="s">
        <v>13</v>
      </c>
      <c r="G11" s="13" t="s">
        <v>27</v>
      </c>
      <c r="H11" s="13" t="s">
        <v>32</v>
      </c>
      <c r="I11" s="13" t="s">
        <v>33</v>
      </c>
      <c r="J11" s="13" t="s">
        <v>28</v>
      </c>
      <c r="K11" s="13" t="s">
        <v>14</v>
      </c>
      <c r="L11" s="13" t="s">
        <v>15</v>
      </c>
      <c r="M11" s="13" t="s">
        <v>58</v>
      </c>
      <c r="N11" s="13" t="s">
        <v>40</v>
      </c>
      <c r="O11" s="13" t="s">
        <v>41</v>
      </c>
      <c r="P11" s="10"/>
    </row>
    <row r="12" spans="1:19" ht="18.95" customHeight="1" x14ac:dyDescent="0.2">
      <c r="A12" s="6"/>
      <c r="B12" s="23" t="s">
        <v>16</v>
      </c>
      <c r="C12" s="23" t="s">
        <v>17</v>
      </c>
      <c r="D12" s="23" t="s">
        <v>18</v>
      </c>
      <c r="E12" s="23" t="s">
        <v>19</v>
      </c>
      <c r="F12" s="23" t="s">
        <v>20</v>
      </c>
      <c r="G12" s="23" t="s">
        <v>21</v>
      </c>
      <c r="H12" s="23" t="s">
        <v>29</v>
      </c>
      <c r="I12" s="23" t="s">
        <v>30</v>
      </c>
      <c r="J12" s="23" t="s">
        <v>34</v>
      </c>
      <c r="K12" s="23" t="s">
        <v>35</v>
      </c>
      <c r="L12" s="23" t="s">
        <v>36</v>
      </c>
      <c r="M12" s="23" t="s">
        <v>37</v>
      </c>
      <c r="N12" s="38" t="str">
        <f>CONCATENATE("(M) AT ",TEXT('Composite Tax Rate (PG9) (21%)'!E27,"0.00%"),)</f>
        <v>(M) AT 25.61%</v>
      </c>
      <c r="O12" s="38" t="s">
        <v>42</v>
      </c>
      <c r="P12" s="23"/>
    </row>
    <row r="13" spans="1:19" ht="18.95" customHeight="1" x14ac:dyDescent="0.2">
      <c r="A13" s="6"/>
      <c r="B13" s="11"/>
      <c r="C13" s="11"/>
      <c r="D13" s="12" t="s">
        <v>4</v>
      </c>
      <c r="E13" s="12" t="s">
        <v>4</v>
      </c>
      <c r="F13" s="12" t="s">
        <v>4</v>
      </c>
      <c r="G13" s="12"/>
      <c r="H13" s="12" t="s">
        <v>4</v>
      </c>
      <c r="I13" s="12" t="s">
        <v>4</v>
      </c>
      <c r="J13" s="12" t="s">
        <v>4</v>
      </c>
      <c r="K13" s="12"/>
      <c r="L13" s="12" t="s">
        <v>22</v>
      </c>
      <c r="M13" s="12" t="s">
        <v>22</v>
      </c>
      <c r="N13" s="12" t="s">
        <v>22</v>
      </c>
      <c r="O13" s="12" t="s">
        <v>22</v>
      </c>
      <c r="P13" s="12"/>
    </row>
    <row r="14" spans="1:19" ht="18.95" customHeight="1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8"/>
      <c r="S14" s="1"/>
    </row>
    <row r="15" spans="1:19" ht="18.95" customHeight="1" x14ac:dyDescent="0.2">
      <c r="A15" s="9">
        <v>1</v>
      </c>
      <c r="B15" s="7" t="s">
        <v>23</v>
      </c>
      <c r="C15" s="10"/>
      <c r="D15" s="8">
        <f>'Cost of Capital (PGS4-5)'!D12</f>
        <v>132679493.84537211</v>
      </c>
      <c r="E15" s="8">
        <f>'Cost of Capital (PGS4-5)'!E12</f>
        <v>-10583.374931408416</v>
      </c>
      <c r="F15" s="8">
        <f>SUM(D15:E15)</f>
        <v>132668910.4704407</v>
      </c>
      <c r="G15" s="24">
        <v>0.89280000000000004</v>
      </c>
      <c r="H15" s="8">
        <f>F15*G15</f>
        <v>118446803.26800947</v>
      </c>
      <c r="I15" s="8">
        <f>'Cost of Capital (PGS4-5)'!I12</f>
        <v>-27179688.51804648</v>
      </c>
      <c r="J15" s="8">
        <f>SUM(H15:I15)</f>
        <v>91267114.749962986</v>
      </c>
      <c r="K15" s="24">
        <f>H15/H$21</f>
        <v>2.4688651169092791E-2</v>
      </c>
      <c r="L15" s="24">
        <f>'Cost of Capital (PGS4-5)'!L12</f>
        <v>2.6282736264734142E-2</v>
      </c>
      <c r="M15" s="24">
        <f>K15*L15</f>
        <v>6.4888530740928605E-4</v>
      </c>
      <c r="N15" s="24"/>
      <c r="O15" s="24">
        <f>SUM(M15:N15)</f>
        <v>6.4888530740928605E-4</v>
      </c>
      <c r="P15" s="8"/>
      <c r="R15" s="24"/>
      <c r="S15" s="8"/>
    </row>
    <row r="16" spans="1:19" ht="18.95" customHeight="1" x14ac:dyDescent="0.2">
      <c r="A16" s="9"/>
      <c r="B16" s="7"/>
      <c r="C16" s="10"/>
      <c r="D16" s="8"/>
      <c r="E16" s="8"/>
      <c r="F16" s="8"/>
      <c r="G16" s="24"/>
      <c r="H16" s="8"/>
      <c r="I16" s="8"/>
      <c r="J16" s="8"/>
      <c r="K16" s="24"/>
      <c r="L16" s="25"/>
      <c r="M16" s="25"/>
      <c r="N16" s="25"/>
      <c r="O16" s="25"/>
      <c r="P16" s="8"/>
      <c r="R16" s="24"/>
      <c r="S16" s="8"/>
    </row>
    <row r="17" spans="1:19" ht="18.95" customHeight="1" x14ac:dyDescent="0.2">
      <c r="A17" s="9">
        <v>2</v>
      </c>
      <c r="B17" s="7" t="s">
        <v>24</v>
      </c>
      <c r="C17" s="10"/>
      <c r="D17" s="8">
        <f>'Cost of Capital (PGS4-5)'!D14</f>
        <v>2378495605.0459571</v>
      </c>
      <c r="E17" s="8">
        <f>'Cost of Capital (PGS4-5)'!E14</f>
        <v>-189724.19950776367</v>
      </c>
      <c r="F17" s="8">
        <f>SUM(D17:E17)</f>
        <v>2378305880.8464494</v>
      </c>
      <c r="G17" s="24">
        <f>G$15</f>
        <v>0.89280000000000004</v>
      </c>
      <c r="H17" s="8">
        <f>F17*G17</f>
        <v>2123351490.4197102</v>
      </c>
      <c r="I17" s="8">
        <f>'Cost of Capital (PGS4-5)'!I14</f>
        <v>-487240098.77541834</v>
      </c>
      <c r="J17" s="8">
        <f>SUM(H17:I17)</f>
        <v>1636111391.6442919</v>
      </c>
      <c r="K17" s="24">
        <f>H17/H$21</f>
        <v>0.44258420497620982</v>
      </c>
      <c r="L17" s="26">
        <f>'Cost of Capital (PGS4-5)'!L14</f>
        <v>4.2413408249725289E-2</v>
      </c>
      <c r="M17" s="24">
        <f>K17*L17</f>
        <v>1.8771504570536085E-2</v>
      </c>
      <c r="N17" s="24"/>
      <c r="O17" s="24">
        <f>SUM(M17:N17)</f>
        <v>1.8771504570536085E-2</v>
      </c>
      <c r="R17" s="24"/>
      <c r="S17" s="8"/>
    </row>
    <row r="18" spans="1:19" ht="18.95" customHeight="1" x14ac:dyDescent="0.2">
      <c r="A18" s="9"/>
      <c r="B18" s="7"/>
      <c r="C18" s="10"/>
      <c r="D18" s="27"/>
      <c r="E18" s="27"/>
      <c r="F18" s="27"/>
      <c r="G18" s="28"/>
      <c r="H18" s="27"/>
      <c r="I18" s="27"/>
      <c r="J18" s="27"/>
      <c r="K18" s="28"/>
      <c r="L18" s="29"/>
      <c r="M18" s="28"/>
      <c r="N18" s="28"/>
      <c r="O18" s="28"/>
      <c r="P18" s="27"/>
      <c r="R18" s="28"/>
      <c r="S18" s="27"/>
    </row>
    <row r="19" spans="1:19" ht="18.95" customHeight="1" x14ac:dyDescent="0.2">
      <c r="A19" s="9">
        <v>3</v>
      </c>
      <c r="B19" s="7" t="s">
        <v>25</v>
      </c>
      <c r="C19" s="10"/>
      <c r="D19" s="14">
        <f>'Cost of Capital (PGS4-5)'!D16</f>
        <v>2863437659.1687164</v>
      </c>
      <c r="E19" s="14">
        <f>'Cost of Capital (PGS4-5)'!E16</f>
        <v>-732472.51556082792</v>
      </c>
      <c r="F19" s="14">
        <f>SUM(D19:E19)</f>
        <v>2862705186.6531558</v>
      </c>
      <c r="G19" s="24">
        <f>G$15</f>
        <v>0.89280000000000004</v>
      </c>
      <c r="H19" s="14">
        <f>F19*G19</f>
        <v>2555823190.6439376</v>
      </c>
      <c r="I19" s="14">
        <f>'Cost of Capital (PGS4-5)'!I16</f>
        <v>-586478286.55806112</v>
      </c>
      <c r="J19" s="14">
        <f>SUM(H19:I19)</f>
        <v>1969344904.0858765</v>
      </c>
      <c r="K19" s="30">
        <f>H19/H$21</f>
        <v>0.53272714385469733</v>
      </c>
      <c r="L19" s="24">
        <v>9.7000000000000003E-2</v>
      </c>
      <c r="M19" s="30">
        <f>K19*L19</f>
        <v>5.1674532953905644E-2</v>
      </c>
      <c r="N19" s="30">
        <f>M19*('Composite Tax Rate (PG9) (21%)'!E27/(1-'Composite Tax Rate (PG9) (21%)'!E27))</f>
        <v>1.7787646026583375E-2</v>
      </c>
      <c r="O19" s="30">
        <f>SUM(M19:N19)</f>
        <v>6.9462178980489023E-2</v>
      </c>
      <c r="P19" s="8"/>
      <c r="R19" s="24"/>
      <c r="S19" s="8"/>
    </row>
    <row r="20" spans="1:19" ht="18.95" customHeight="1" x14ac:dyDescent="0.2">
      <c r="A20" s="9"/>
      <c r="B20" s="7"/>
      <c r="C20" s="10"/>
      <c r="D20" s="8"/>
      <c r="E20" s="8"/>
      <c r="F20" s="8"/>
      <c r="G20" s="25"/>
      <c r="H20" s="8"/>
      <c r="I20" s="8"/>
      <c r="J20" s="8"/>
      <c r="K20" s="25"/>
      <c r="L20" s="25"/>
      <c r="M20" s="24"/>
      <c r="N20" s="24"/>
      <c r="O20" s="24"/>
      <c r="P20" s="8"/>
      <c r="R20" s="25"/>
      <c r="S20" s="8"/>
    </row>
    <row r="21" spans="1:19" ht="18.95" customHeight="1" thickBot="1" x14ac:dyDescent="0.25">
      <c r="A21" s="9">
        <v>4</v>
      </c>
      <c r="B21" s="7" t="s">
        <v>26</v>
      </c>
      <c r="C21" s="10"/>
      <c r="D21" s="15">
        <f>SUM(D15:D19)</f>
        <v>5374612758.0600452</v>
      </c>
      <c r="E21" s="15">
        <f>SUM(E15:E19)</f>
        <v>-932780.09</v>
      </c>
      <c r="F21" s="15">
        <f>SUM(F15:F19)</f>
        <v>5373679977.970046</v>
      </c>
      <c r="G21" s="24"/>
      <c r="H21" s="15">
        <f>SUM(H15:H19)</f>
        <v>4797621484.3316574</v>
      </c>
      <c r="I21" s="15">
        <f>SUM(I15:I19)</f>
        <v>-1100898073.851526</v>
      </c>
      <c r="J21" s="15">
        <f>SUM(J15:J19)</f>
        <v>3696723410.4801311</v>
      </c>
      <c r="K21" s="31">
        <f>SUM(K15:K19)</f>
        <v>1</v>
      </c>
      <c r="L21" s="25"/>
      <c r="M21" s="31">
        <f t="shared" ref="M21:O21" si="0">SUM(M15:M19)</f>
        <v>7.109492283185101E-2</v>
      </c>
      <c r="N21" s="31">
        <f t="shared" ref="N21" si="1">SUM(N15:N19)</f>
        <v>1.7787646026583375E-2</v>
      </c>
      <c r="O21" s="61">
        <f t="shared" si="0"/>
        <v>8.8882568858434402E-2</v>
      </c>
      <c r="P21" s="8"/>
      <c r="R21" s="24"/>
      <c r="S21" s="8"/>
    </row>
    <row r="22" spans="1:19" ht="18.95" customHeight="1" thickTop="1" x14ac:dyDescent="0.2">
      <c r="A22" s="9"/>
      <c r="B22" s="7"/>
      <c r="C22" s="10"/>
      <c r="D22" s="8"/>
      <c r="E22" s="8"/>
      <c r="F22" s="8"/>
      <c r="G22" s="24"/>
      <c r="H22" s="8"/>
      <c r="I22" s="8"/>
      <c r="J22" s="8"/>
      <c r="K22" s="24"/>
      <c r="L22" s="25"/>
      <c r="M22" s="24"/>
      <c r="N22" s="24"/>
      <c r="O22" s="24"/>
      <c r="P22" s="8"/>
      <c r="R22" s="24"/>
      <c r="S22" s="8"/>
    </row>
    <row r="23" spans="1:19" ht="18.95" customHeight="1" x14ac:dyDescent="0.2">
      <c r="B23" s="62" t="s">
        <v>125</v>
      </c>
      <c r="C23" s="10"/>
      <c r="D23" s="8"/>
      <c r="E23" s="8"/>
      <c r="F23" s="8"/>
      <c r="G23" s="24"/>
      <c r="H23" s="8"/>
      <c r="I23" s="8"/>
      <c r="J23" s="8"/>
      <c r="K23" s="24"/>
      <c r="L23" s="25"/>
      <c r="M23" s="24"/>
      <c r="N23" s="24"/>
      <c r="O23" s="24"/>
      <c r="P23" s="8"/>
      <c r="R23" s="24"/>
      <c r="S23" s="8"/>
    </row>
    <row r="24" spans="1:19" ht="18.95" customHeight="1" x14ac:dyDescent="0.2">
      <c r="A24" s="9"/>
      <c r="B24" s="2" t="s">
        <v>292</v>
      </c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9" ht="18.95" customHeight="1" x14ac:dyDescent="0.2">
      <c r="B25" s="2" t="s">
        <v>127</v>
      </c>
    </row>
    <row r="26" spans="1:19" ht="18.95" customHeight="1" x14ac:dyDescent="0.2">
      <c r="B26" s="2" t="s">
        <v>291</v>
      </c>
    </row>
    <row r="27" spans="1:19" ht="18.95" customHeight="1" x14ac:dyDescent="0.2">
      <c r="B27" s="2" t="s">
        <v>290</v>
      </c>
    </row>
    <row r="28" spans="1:19" ht="18.95" customHeight="1" x14ac:dyDescent="0.2">
      <c r="B28" s="2" t="s">
        <v>289</v>
      </c>
    </row>
    <row r="29" spans="1:19" ht="18.95" customHeight="1" x14ac:dyDescent="0.2">
      <c r="B29" s="2"/>
    </row>
    <row r="30" spans="1:19" ht="18.95" customHeight="1" x14ac:dyDescent="0.2">
      <c r="B30" s="2"/>
    </row>
    <row r="31" spans="1:19" ht="18.95" customHeight="1" x14ac:dyDescent="0.2"/>
    <row r="32" spans="1:19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</sheetData>
  <mergeCells count="5">
    <mergeCell ref="A4:O4"/>
    <mergeCell ref="A5:O5"/>
    <mergeCell ref="A6:O6"/>
    <mergeCell ref="A7:O7"/>
    <mergeCell ref="A8:O8"/>
  </mergeCells>
  <pageMargins left="0.7" right="0.7" top="1" bottom="0.75" header="0.3" footer="0.3"/>
  <pageSetup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87"/>
  <sheetViews>
    <sheetView topLeftCell="A28" zoomScaleNormal="100" workbookViewId="0">
      <selection activeCell="E56" sqref="E56"/>
    </sheetView>
  </sheetViews>
  <sheetFormatPr defaultRowHeight="12.75" x14ac:dyDescent="0.2"/>
  <cols>
    <col min="1" max="1" width="6.85546875" style="5" customWidth="1"/>
    <col min="2" max="2" width="24.28515625" style="5" customWidth="1"/>
    <col min="3" max="3" width="15.140625" style="5" customWidth="1"/>
    <col min="4" max="4" width="17.7109375" style="5" customWidth="1"/>
    <col min="5" max="5" width="13.85546875" style="5" customWidth="1"/>
    <col min="6" max="6" width="17.85546875" style="5" customWidth="1"/>
    <col min="7" max="7" width="16.140625" style="5" customWidth="1"/>
    <col min="8" max="8" width="16.42578125" style="5" customWidth="1"/>
    <col min="9" max="9" width="19.5703125" style="5" customWidth="1"/>
    <col min="10" max="10" width="17.140625" style="5" customWidth="1"/>
    <col min="11" max="11" width="12.5703125" style="5" customWidth="1"/>
    <col min="12" max="12" width="10.85546875" style="5" customWidth="1"/>
    <col min="13" max="13" width="12.85546875" style="5" customWidth="1"/>
    <col min="14" max="14" width="14" style="5" customWidth="1"/>
    <col min="15" max="15" width="1.85546875" style="5" customWidth="1"/>
    <col min="16" max="16" width="11.5703125" style="5" bestFit="1" customWidth="1"/>
    <col min="17" max="17" width="12.140625" style="5" customWidth="1"/>
    <col min="18" max="16384" width="9.140625" style="5"/>
  </cols>
  <sheetData>
    <row r="1" spans="1:17" s="1" customFormat="1" ht="20.100000000000001" customHeight="1" x14ac:dyDescent="0.2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22"/>
    </row>
    <row r="2" spans="1:17" s="1" customFormat="1" ht="20.100000000000001" customHeight="1" x14ac:dyDescent="0.2">
      <c r="A2" s="158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22"/>
    </row>
    <row r="3" spans="1:17" s="1" customFormat="1" ht="20.100000000000001" customHeight="1" x14ac:dyDescent="0.2">
      <c r="A3" s="159" t="s">
        <v>10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22"/>
    </row>
    <row r="4" spans="1:17" s="1" customFormat="1" ht="20.100000000000001" customHeight="1" x14ac:dyDescent="0.2">
      <c r="A4" s="159" t="s">
        <v>56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22"/>
    </row>
    <row r="5" spans="1:17" s="1" customFormat="1" ht="20.100000000000001" customHeight="1" x14ac:dyDescent="0.2">
      <c r="A5" s="159" t="s">
        <v>39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22"/>
    </row>
    <row r="6" spans="1:17" s="1" customFormat="1" ht="20.100000000000001" customHeight="1" x14ac:dyDescent="0.2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7" s="1" customFormat="1" ht="20.100000000000001" customHeight="1" x14ac:dyDescent="0.2"/>
    <row r="8" spans="1:17" ht="66" customHeight="1" x14ac:dyDescent="0.2">
      <c r="A8" s="13" t="s">
        <v>3</v>
      </c>
      <c r="B8" s="13" t="s">
        <v>11</v>
      </c>
      <c r="C8" s="13" t="s">
        <v>138</v>
      </c>
      <c r="D8" s="13" t="s">
        <v>57</v>
      </c>
      <c r="E8" s="13" t="s">
        <v>12</v>
      </c>
      <c r="F8" s="13" t="s">
        <v>13</v>
      </c>
      <c r="G8" s="13" t="s">
        <v>27</v>
      </c>
      <c r="H8" s="13" t="s">
        <v>32</v>
      </c>
      <c r="I8" s="13" t="s">
        <v>33</v>
      </c>
      <c r="J8" s="13" t="s">
        <v>28</v>
      </c>
      <c r="K8" s="13" t="s">
        <v>14</v>
      </c>
      <c r="L8" s="13" t="s">
        <v>15</v>
      </c>
      <c r="M8" s="13" t="s">
        <v>58</v>
      </c>
      <c r="N8" s="10"/>
    </row>
    <row r="9" spans="1:17" ht="18.95" customHeight="1" x14ac:dyDescent="0.2">
      <c r="A9" s="6"/>
      <c r="B9" s="23" t="s">
        <v>16</v>
      </c>
      <c r="C9" s="23" t="s">
        <v>17</v>
      </c>
      <c r="D9" s="23" t="s">
        <v>18</v>
      </c>
      <c r="E9" s="23" t="s">
        <v>19</v>
      </c>
      <c r="F9" s="23" t="s">
        <v>20</v>
      </c>
      <c r="G9" s="23" t="s">
        <v>21</v>
      </c>
      <c r="H9" s="23" t="s">
        <v>29</v>
      </c>
      <c r="I9" s="23" t="s">
        <v>30</v>
      </c>
      <c r="J9" s="23" t="s">
        <v>34</v>
      </c>
      <c r="K9" s="23" t="s">
        <v>35</v>
      </c>
      <c r="L9" s="23" t="s">
        <v>36</v>
      </c>
      <c r="M9" s="23" t="s">
        <v>37</v>
      </c>
      <c r="N9" s="23"/>
    </row>
    <row r="10" spans="1:17" ht="18.95" customHeight="1" x14ac:dyDescent="0.2">
      <c r="A10" s="6"/>
      <c r="B10" s="11"/>
      <c r="C10" s="11"/>
      <c r="D10" s="12" t="s">
        <v>4</v>
      </c>
      <c r="E10" s="12" t="s">
        <v>4</v>
      </c>
      <c r="F10" s="12" t="s">
        <v>4</v>
      </c>
      <c r="G10" s="12"/>
      <c r="H10" s="12" t="s">
        <v>4</v>
      </c>
      <c r="I10" s="12" t="s">
        <v>4</v>
      </c>
      <c r="J10" s="12" t="s">
        <v>4</v>
      </c>
      <c r="K10" s="12"/>
      <c r="L10" s="12" t="s">
        <v>22</v>
      </c>
      <c r="M10" s="12" t="s">
        <v>22</v>
      </c>
      <c r="N10" s="12"/>
    </row>
    <row r="11" spans="1:17" ht="18.95" customHeight="1" x14ac:dyDescent="0.2">
      <c r="A11" s="9"/>
      <c r="B11" s="7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Q11" s="1"/>
    </row>
    <row r="12" spans="1:17" ht="18.95" customHeight="1" x14ac:dyDescent="0.2">
      <c r="A12" s="9">
        <v>1</v>
      </c>
      <c r="B12" s="7" t="s">
        <v>23</v>
      </c>
      <c r="C12" s="10"/>
      <c r="D12" s="8">
        <v>132679493.84537211</v>
      </c>
      <c r="E12" s="8">
        <f>J34</f>
        <v>-10583.374931408416</v>
      </c>
      <c r="F12" s="8">
        <f>SUM(D12:E12)</f>
        <v>132668910.4704407</v>
      </c>
      <c r="G12" s="24">
        <v>0.89280000000000004</v>
      </c>
      <c r="H12" s="8">
        <f>F12*G12</f>
        <v>118446803.26800947</v>
      </c>
      <c r="I12" s="8">
        <f>J56</f>
        <v>-27179688.51804648</v>
      </c>
      <c r="J12" s="8">
        <f>SUM(H12:I12)</f>
        <v>91267114.749962986</v>
      </c>
      <c r="K12" s="24">
        <f>H12/H$18</f>
        <v>2.4688651169092791E-2</v>
      </c>
      <c r="L12" s="24">
        <f>'ST Debt (PG6)'!C39</f>
        <v>2.6282736264734142E-2</v>
      </c>
      <c r="M12" s="24">
        <f>K12*L12</f>
        <v>6.4888530740928605E-4</v>
      </c>
      <c r="N12" s="8"/>
      <c r="P12" s="24"/>
      <c r="Q12" s="8"/>
    </row>
    <row r="13" spans="1:17" ht="18.95" customHeight="1" x14ac:dyDescent="0.2">
      <c r="A13" s="9"/>
      <c r="B13" s="7"/>
      <c r="C13" s="10"/>
      <c r="D13" s="8"/>
      <c r="E13" s="8"/>
      <c r="F13" s="8"/>
      <c r="G13" s="24"/>
      <c r="H13" s="8"/>
      <c r="I13" s="8"/>
      <c r="J13" s="8"/>
      <c r="K13" s="24"/>
      <c r="L13" s="25"/>
      <c r="M13" s="25"/>
      <c r="N13" s="8"/>
      <c r="P13" s="24"/>
      <c r="Q13" s="8"/>
    </row>
    <row r="14" spans="1:17" ht="18.95" customHeight="1" x14ac:dyDescent="0.2">
      <c r="A14" s="9">
        <v>2</v>
      </c>
      <c r="B14" s="7" t="s">
        <v>24</v>
      </c>
      <c r="C14" s="10"/>
      <c r="D14" s="8">
        <v>2378495605.0459571</v>
      </c>
      <c r="E14" s="8">
        <f>J36</f>
        <v>-189724.19950776367</v>
      </c>
      <c r="F14" s="8">
        <f>SUM(D14:E14)</f>
        <v>2378305880.8464494</v>
      </c>
      <c r="G14" s="24">
        <f>G$12</f>
        <v>0.89280000000000004</v>
      </c>
      <c r="H14" s="8">
        <f>F14*G14</f>
        <v>2123351490.4197102</v>
      </c>
      <c r="I14" s="8">
        <f>J58</f>
        <v>-487240098.77541834</v>
      </c>
      <c r="J14" s="8">
        <f>SUM(H14:I14)</f>
        <v>1636111391.6442919</v>
      </c>
      <c r="K14" s="24">
        <f>H14/H$18</f>
        <v>0.44258420497620982</v>
      </c>
      <c r="L14" s="26">
        <f>'LT Debt (PG7)'!P42</f>
        <v>4.2413408249725289E-2</v>
      </c>
      <c r="M14" s="24">
        <f>K14*L14</f>
        <v>1.8771504570536085E-2</v>
      </c>
      <c r="P14" s="24"/>
      <c r="Q14" s="8"/>
    </row>
    <row r="15" spans="1:17" ht="18.95" customHeight="1" x14ac:dyDescent="0.2">
      <c r="A15" s="9"/>
      <c r="B15" s="7"/>
      <c r="C15" s="10"/>
      <c r="D15" s="27"/>
      <c r="E15" s="27"/>
      <c r="F15" s="27"/>
      <c r="G15" s="28"/>
      <c r="H15" s="27"/>
      <c r="I15" s="27"/>
      <c r="J15" s="27"/>
      <c r="K15" s="28"/>
      <c r="L15" s="29"/>
      <c r="M15" s="28"/>
      <c r="N15" s="27"/>
      <c r="P15" s="28"/>
      <c r="Q15" s="27"/>
    </row>
    <row r="16" spans="1:17" ht="18.95" customHeight="1" x14ac:dyDescent="0.2">
      <c r="A16" s="9">
        <v>3</v>
      </c>
      <c r="B16" s="7" t="s">
        <v>25</v>
      </c>
      <c r="C16" s="10"/>
      <c r="D16" s="14">
        <v>2863437659.1687164</v>
      </c>
      <c r="E16" s="14">
        <f>J38</f>
        <v>-732472.51556082792</v>
      </c>
      <c r="F16" s="14">
        <f>SUM(D16:E16)</f>
        <v>2862705186.6531558</v>
      </c>
      <c r="G16" s="24">
        <f>G$12</f>
        <v>0.89280000000000004</v>
      </c>
      <c r="H16" s="14">
        <f>F16*G16</f>
        <v>2555823190.6439376</v>
      </c>
      <c r="I16" s="14">
        <f>J60</f>
        <v>-586478286.55806112</v>
      </c>
      <c r="J16" s="14">
        <f>SUM(H16:I16)</f>
        <v>1969344904.0858765</v>
      </c>
      <c r="K16" s="30">
        <f>H16/H$18</f>
        <v>0.53272714385469733</v>
      </c>
      <c r="L16" s="24">
        <v>9.7000000000000003E-2</v>
      </c>
      <c r="M16" s="30">
        <f>K16*L16</f>
        <v>5.1674532953905644E-2</v>
      </c>
      <c r="N16" s="8"/>
      <c r="P16" s="24"/>
      <c r="Q16" s="8"/>
    </row>
    <row r="17" spans="1:17" ht="18.95" customHeight="1" x14ac:dyDescent="0.2">
      <c r="A17" s="9"/>
      <c r="B17" s="7"/>
      <c r="C17" s="10"/>
      <c r="D17" s="8"/>
      <c r="E17" s="8"/>
      <c r="F17" s="8"/>
      <c r="G17" s="25"/>
      <c r="H17" s="8"/>
      <c r="I17" s="8"/>
      <c r="J17" s="8"/>
      <c r="K17" s="25"/>
      <c r="L17" s="25"/>
      <c r="M17" s="24"/>
      <c r="N17" s="8"/>
      <c r="P17" s="25"/>
      <c r="Q17" s="8"/>
    </row>
    <row r="18" spans="1:17" ht="18.95" customHeight="1" thickBot="1" x14ac:dyDescent="0.25">
      <c r="A18" s="9">
        <v>4</v>
      </c>
      <c r="B18" s="7" t="s">
        <v>26</v>
      </c>
      <c r="C18" s="10"/>
      <c r="D18" s="15">
        <v>5374612758.0600452</v>
      </c>
      <c r="E18" s="15">
        <f>SUM(E12:E16)</f>
        <v>-932780.09</v>
      </c>
      <c r="F18" s="15">
        <f>SUM(F12:F16)</f>
        <v>5373679977.970046</v>
      </c>
      <c r="G18" s="24"/>
      <c r="H18" s="15">
        <f>SUM(H12:H16)</f>
        <v>4797621484.3316574</v>
      </c>
      <c r="I18" s="15">
        <f>SUM(I12:I16)</f>
        <v>-1100898073.851526</v>
      </c>
      <c r="J18" s="15">
        <f>SUM(J12:J16)</f>
        <v>3696723410.4801311</v>
      </c>
      <c r="K18" s="31">
        <f>SUM(K12:K16)</f>
        <v>1</v>
      </c>
      <c r="L18" s="25"/>
      <c r="M18" s="31">
        <f t="shared" ref="M18" si="0">SUM(M12:M16)</f>
        <v>7.109492283185101E-2</v>
      </c>
      <c r="N18" s="8"/>
      <c r="P18" s="24"/>
      <c r="Q18" s="8"/>
    </row>
    <row r="19" spans="1:17" ht="12.75" customHeight="1" thickTop="1" x14ac:dyDescent="0.2">
      <c r="A19" s="9"/>
      <c r="B19" s="7"/>
      <c r="C19" s="10"/>
      <c r="D19" s="19"/>
      <c r="E19" s="19"/>
      <c r="F19" s="19"/>
      <c r="G19" s="19"/>
      <c r="H19" s="8"/>
      <c r="I19" s="8"/>
      <c r="J19" s="8"/>
      <c r="K19" s="19"/>
      <c r="L19" s="19"/>
      <c r="M19" s="19"/>
      <c r="N19" s="19"/>
      <c r="Q19" s="32"/>
    </row>
    <row r="20" spans="1:17" ht="18.95" customHeight="1" x14ac:dyDescent="0.2">
      <c r="A20" s="9"/>
      <c r="B20" s="7"/>
      <c r="C20" s="10"/>
      <c r="D20" s="19"/>
      <c r="E20" s="19"/>
      <c r="F20" s="19"/>
      <c r="G20" s="19"/>
      <c r="H20" s="8"/>
      <c r="I20" s="8"/>
      <c r="J20" s="3" t="s">
        <v>256</v>
      </c>
      <c r="K20" s="19"/>
      <c r="L20" s="19"/>
      <c r="M20" s="19"/>
      <c r="N20" s="19"/>
      <c r="Q20" s="32"/>
    </row>
    <row r="21" spans="1:17" ht="18.95" customHeight="1" x14ac:dyDescent="0.2">
      <c r="A21" s="9"/>
      <c r="B21" s="7"/>
      <c r="C21" s="10"/>
      <c r="D21" s="8"/>
      <c r="E21" s="8"/>
      <c r="F21" s="8"/>
      <c r="G21" s="8"/>
      <c r="H21" s="8"/>
      <c r="I21" s="8"/>
      <c r="J21" s="3" t="s">
        <v>281</v>
      </c>
      <c r="K21" s="8"/>
      <c r="L21" s="8"/>
      <c r="M21" s="8"/>
      <c r="N21" s="8"/>
    </row>
    <row r="22" spans="1:17" ht="18.95" customHeight="1" x14ac:dyDescent="0.2">
      <c r="A22" s="9"/>
      <c r="B22" s="7"/>
      <c r="C22" s="10"/>
      <c r="D22" s="8"/>
      <c r="E22" s="8"/>
      <c r="F22" s="8"/>
      <c r="G22" s="8"/>
      <c r="H22" s="8"/>
      <c r="I22" s="8"/>
      <c r="J22" s="3" t="s">
        <v>263</v>
      </c>
      <c r="K22" s="8"/>
      <c r="L22" s="8"/>
      <c r="M22" s="8"/>
      <c r="N22" s="8"/>
    </row>
    <row r="23" spans="1:17" s="1" customFormat="1" ht="20.100000000000001" customHeight="1" x14ac:dyDescent="0.2">
      <c r="A23" s="158" t="s">
        <v>0</v>
      </c>
      <c r="B23" s="158"/>
      <c r="C23" s="158"/>
      <c r="D23" s="158"/>
      <c r="E23" s="158"/>
      <c r="F23" s="158"/>
      <c r="G23" s="158"/>
      <c r="H23" s="158"/>
      <c r="I23" s="158"/>
      <c r="J23" s="158"/>
      <c r="K23" s="39"/>
      <c r="L23" s="39"/>
      <c r="M23" s="39"/>
      <c r="N23" s="22"/>
    </row>
    <row r="24" spans="1:17" s="1" customFormat="1" ht="20.100000000000001" customHeight="1" x14ac:dyDescent="0.2">
      <c r="A24" s="158" t="s">
        <v>253</v>
      </c>
      <c r="B24" s="158"/>
      <c r="C24" s="158"/>
      <c r="D24" s="158"/>
      <c r="E24" s="158"/>
      <c r="F24" s="158"/>
      <c r="G24" s="158"/>
      <c r="H24" s="158"/>
      <c r="I24" s="158"/>
      <c r="J24" s="158"/>
      <c r="K24" s="39"/>
      <c r="L24" s="39"/>
      <c r="M24" s="39"/>
      <c r="N24" s="22"/>
    </row>
    <row r="25" spans="1:17" s="1" customFormat="1" ht="20.100000000000001" customHeight="1" x14ac:dyDescent="0.2">
      <c r="A25" s="158" t="s">
        <v>43</v>
      </c>
      <c r="B25" s="158"/>
      <c r="C25" s="158"/>
      <c r="D25" s="158"/>
      <c r="E25" s="158"/>
      <c r="F25" s="158"/>
      <c r="G25" s="158"/>
      <c r="H25" s="158"/>
      <c r="I25" s="158"/>
      <c r="J25" s="158"/>
      <c r="K25" s="39"/>
      <c r="L25" s="39"/>
      <c r="M25" s="39"/>
      <c r="N25" s="22"/>
    </row>
    <row r="26" spans="1:17" s="1" customFormat="1" ht="20.100000000000001" customHeight="1" x14ac:dyDescent="0.2">
      <c r="A26" s="158" t="s">
        <v>56</v>
      </c>
      <c r="B26" s="158"/>
      <c r="C26" s="158"/>
      <c r="D26" s="158"/>
      <c r="E26" s="158"/>
      <c r="F26" s="158"/>
      <c r="G26" s="158"/>
      <c r="H26" s="158"/>
      <c r="I26" s="158"/>
      <c r="J26" s="158"/>
      <c r="K26" s="39"/>
      <c r="L26" s="39"/>
      <c r="M26" s="39"/>
      <c r="N26" s="22"/>
    </row>
    <row r="27" spans="1:17" s="1" customFormat="1" ht="20.100000000000001" customHeight="1" x14ac:dyDescent="0.2">
      <c r="A27" s="158" t="s">
        <v>39</v>
      </c>
      <c r="B27" s="158"/>
      <c r="C27" s="158"/>
      <c r="D27" s="158"/>
      <c r="E27" s="158"/>
      <c r="F27" s="158"/>
      <c r="G27" s="158"/>
      <c r="H27" s="158"/>
      <c r="I27" s="158"/>
      <c r="J27" s="158"/>
      <c r="K27" s="39"/>
      <c r="L27" s="39"/>
      <c r="M27" s="39"/>
      <c r="N27" s="22"/>
    </row>
    <row r="28" spans="1:17" s="1" customFormat="1" ht="20.100000000000001" customHeight="1" x14ac:dyDescent="0.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17" s="1" customFormat="1" ht="20.100000000000001" customHeight="1" x14ac:dyDescent="0.2"/>
    <row r="30" spans="1:17" ht="48" customHeight="1" x14ac:dyDescent="0.2">
      <c r="A30" s="13" t="s">
        <v>3</v>
      </c>
      <c r="B30" s="13" t="s">
        <v>11</v>
      </c>
      <c r="C30" s="13" t="s">
        <v>138</v>
      </c>
      <c r="D30" s="13" t="s">
        <v>57</v>
      </c>
      <c r="E30" s="13" t="s">
        <v>14</v>
      </c>
      <c r="F30" s="13" t="s">
        <v>44</v>
      </c>
      <c r="G30" s="13" t="s">
        <v>45</v>
      </c>
      <c r="H30" s="13" t="s">
        <v>46</v>
      </c>
      <c r="I30" s="13" t="s">
        <v>47</v>
      </c>
      <c r="J30" s="13" t="s">
        <v>12</v>
      </c>
      <c r="K30" s="10"/>
      <c r="L30" s="10"/>
      <c r="M30" s="10"/>
      <c r="N30" s="10"/>
    </row>
    <row r="31" spans="1:17" ht="18.95" customHeight="1" x14ac:dyDescent="0.2">
      <c r="A31" s="6"/>
      <c r="B31" s="23" t="s">
        <v>16</v>
      </c>
      <c r="C31" s="23" t="s">
        <v>17</v>
      </c>
      <c r="D31" s="23" t="s">
        <v>18</v>
      </c>
      <c r="E31" s="23" t="s">
        <v>19</v>
      </c>
      <c r="F31" s="23" t="s">
        <v>48</v>
      </c>
      <c r="G31" s="23" t="s">
        <v>21</v>
      </c>
      <c r="H31" s="23" t="s">
        <v>49</v>
      </c>
      <c r="I31" s="23" t="s">
        <v>30</v>
      </c>
      <c r="J31" s="23" t="s">
        <v>50</v>
      </c>
      <c r="K31" s="23"/>
      <c r="L31" s="23"/>
      <c r="M31" s="23"/>
      <c r="N31" s="23"/>
    </row>
    <row r="32" spans="1:17" ht="18.95" customHeight="1" x14ac:dyDescent="0.2">
      <c r="A32" s="6"/>
      <c r="B32" s="11"/>
      <c r="C32" s="11"/>
      <c r="D32" s="12" t="s">
        <v>4</v>
      </c>
      <c r="E32" s="12"/>
      <c r="F32" s="12" t="s">
        <v>4</v>
      </c>
      <c r="G32" s="12" t="s">
        <v>4</v>
      </c>
      <c r="H32" s="12" t="s">
        <v>4</v>
      </c>
      <c r="I32" s="12" t="s">
        <v>4</v>
      </c>
      <c r="J32" s="12" t="s">
        <v>4</v>
      </c>
      <c r="K32" s="12"/>
      <c r="L32" s="12"/>
      <c r="M32" s="12"/>
      <c r="N32" s="12"/>
    </row>
    <row r="33" spans="1:17" ht="18.95" customHeight="1" x14ac:dyDescent="0.2">
      <c r="A33" s="9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Q33" s="1"/>
    </row>
    <row r="34" spans="1:17" ht="18.95" customHeight="1" x14ac:dyDescent="0.2">
      <c r="A34" s="9">
        <v>1</v>
      </c>
      <c r="B34" s="7" t="s">
        <v>23</v>
      </c>
      <c r="C34" s="10"/>
      <c r="D34" s="8">
        <f>D12</f>
        <v>132679493.84537211</v>
      </c>
      <c r="E34" s="24">
        <f>D34/D$40</f>
        <v>2.468633552182883E-2</v>
      </c>
      <c r="F34" s="8">
        <v>0</v>
      </c>
      <c r="G34" s="32">
        <v>0</v>
      </c>
      <c r="H34" s="8">
        <f>H$40*$E34</f>
        <v>-6171.5838804572077</v>
      </c>
      <c r="I34" s="8">
        <f>I$40*$E34</f>
        <v>-4411.7910509512094</v>
      </c>
      <c r="J34" s="8">
        <f>SUM(F34:I34)</f>
        <v>-10583.374931408416</v>
      </c>
      <c r="K34" s="24"/>
      <c r="L34" s="24"/>
      <c r="M34" s="24"/>
      <c r="N34" s="8"/>
      <c r="P34" s="24"/>
      <c r="Q34" s="8"/>
    </row>
    <row r="35" spans="1:17" ht="18.95" customHeight="1" x14ac:dyDescent="0.2">
      <c r="A35" s="9"/>
      <c r="B35" s="7"/>
      <c r="C35" s="10"/>
      <c r="D35" s="8"/>
      <c r="E35" s="24"/>
      <c r="F35" s="8"/>
      <c r="G35" s="8"/>
      <c r="H35" s="8"/>
      <c r="I35" s="8"/>
      <c r="J35" s="8"/>
      <c r="K35" s="24"/>
      <c r="L35" s="25"/>
      <c r="M35" s="25"/>
      <c r="N35" s="8"/>
      <c r="P35" s="24"/>
      <c r="Q35" s="8"/>
    </row>
    <row r="36" spans="1:17" ht="18.95" customHeight="1" x14ac:dyDescent="0.2">
      <c r="A36" s="9">
        <v>2</v>
      </c>
      <c r="B36" s="7" t="s">
        <v>24</v>
      </c>
      <c r="C36" s="10"/>
      <c r="D36" s="8">
        <f>D14</f>
        <v>2378495605.0459571</v>
      </c>
      <c r="E36" s="24">
        <f>D36/D$40</f>
        <v>0.44254269323479034</v>
      </c>
      <c r="F36" s="8">
        <v>0</v>
      </c>
      <c r="G36" s="32">
        <v>0</v>
      </c>
      <c r="H36" s="8">
        <f>H$40*$E36</f>
        <v>-110635.67330869759</v>
      </c>
      <c r="I36" s="8">
        <f>I$40*$E36</f>
        <v>-79088.526199066066</v>
      </c>
      <c r="J36" s="8">
        <f>SUM(F36:I36)</f>
        <v>-189724.19950776367</v>
      </c>
      <c r="K36" s="24"/>
      <c r="L36" s="26"/>
      <c r="M36" s="24"/>
      <c r="P36" s="24"/>
      <c r="Q36" s="8"/>
    </row>
    <row r="37" spans="1:17" ht="18.95" customHeight="1" x14ac:dyDescent="0.2">
      <c r="A37" s="9"/>
      <c r="B37" s="7"/>
      <c r="C37" s="10"/>
      <c r="D37" s="27"/>
      <c r="E37" s="28"/>
      <c r="F37" s="27"/>
      <c r="G37" s="27"/>
      <c r="H37" s="27"/>
      <c r="I37" s="27"/>
      <c r="J37" s="27"/>
      <c r="K37" s="28"/>
      <c r="L37" s="29"/>
      <c r="M37" s="28"/>
      <c r="N37" s="27"/>
      <c r="P37" s="28"/>
      <c r="Q37" s="27"/>
    </row>
    <row r="38" spans="1:17" ht="18.95" customHeight="1" x14ac:dyDescent="0.2">
      <c r="A38" s="9">
        <v>3</v>
      </c>
      <c r="B38" s="7" t="s">
        <v>25</v>
      </c>
      <c r="C38" s="10"/>
      <c r="D38" s="14">
        <f>D16</f>
        <v>2863437659.1687164</v>
      </c>
      <c r="E38" s="30">
        <f>D38/D$40</f>
        <v>0.53277097124338091</v>
      </c>
      <c r="F38" s="14">
        <f>F40</f>
        <v>0</v>
      </c>
      <c r="G38" s="14">
        <f>G40</f>
        <v>-504066.19999999995</v>
      </c>
      <c r="H38" s="14">
        <f>H$40*$E38</f>
        <v>-133192.74281084523</v>
      </c>
      <c r="I38" s="14">
        <f>I$40*$E38</f>
        <v>-95213.572749982734</v>
      </c>
      <c r="J38" s="14">
        <f>SUM(F38:I38)</f>
        <v>-732472.51556082792</v>
      </c>
      <c r="K38" s="24"/>
      <c r="L38" s="24"/>
      <c r="M38" s="24"/>
      <c r="N38" s="8"/>
      <c r="P38" s="24"/>
      <c r="Q38" s="8"/>
    </row>
    <row r="39" spans="1:17" ht="18.95" customHeight="1" x14ac:dyDescent="0.2">
      <c r="A39" s="9"/>
      <c r="B39" s="7"/>
      <c r="C39" s="10"/>
      <c r="D39" s="8"/>
      <c r="E39" s="25"/>
      <c r="F39" s="8"/>
      <c r="G39" s="8"/>
      <c r="H39" s="8"/>
      <c r="I39" s="8"/>
      <c r="J39" s="8"/>
      <c r="K39" s="25"/>
      <c r="L39" s="25"/>
      <c r="M39" s="24"/>
      <c r="N39" s="8"/>
      <c r="P39" s="25"/>
      <c r="Q39" s="8"/>
    </row>
    <row r="40" spans="1:17" ht="18.95" customHeight="1" thickBot="1" x14ac:dyDescent="0.25">
      <c r="A40" s="9">
        <v>4</v>
      </c>
      <c r="B40" s="7" t="s">
        <v>26</v>
      </c>
      <c r="C40" s="10"/>
      <c r="D40" s="15">
        <f>SUM(D34:D38)</f>
        <v>5374612758.0600452</v>
      </c>
      <c r="E40" s="31">
        <f>SUM(E34:E38)</f>
        <v>1</v>
      </c>
      <c r="F40" s="15">
        <v>0</v>
      </c>
      <c r="G40" s="15">
        <f>-(1295.8*0.389)*1000</f>
        <v>-504066.19999999995</v>
      </c>
      <c r="H40" s="15">
        <v>-250000</v>
      </c>
      <c r="I40" s="15">
        <v>-178713.88999999998</v>
      </c>
      <c r="J40" s="15">
        <f>SUM(J34:J38)</f>
        <v>-932780.09</v>
      </c>
      <c r="K40" s="24"/>
      <c r="L40" s="25"/>
      <c r="M40" s="24"/>
      <c r="N40" s="8"/>
      <c r="P40" s="24"/>
      <c r="Q40" s="8"/>
    </row>
    <row r="41" spans="1:17" ht="18.95" customHeight="1" thickTop="1" x14ac:dyDescent="0.2">
      <c r="A41" s="9"/>
      <c r="B41" s="7"/>
      <c r="C41" s="10"/>
      <c r="D41" s="19"/>
      <c r="E41" s="19"/>
      <c r="F41" s="19"/>
      <c r="G41" s="19"/>
      <c r="H41" s="8"/>
      <c r="I41" s="8"/>
      <c r="J41" s="8"/>
      <c r="K41" s="19"/>
      <c r="L41" s="19"/>
      <c r="M41" s="19"/>
      <c r="N41" s="19"/>
      <c r="Q41" s="32"/>
    </row>
    <row r="42" spans="1:17" ht="18.95" customHeight="1" x14ac:dyDescent="0.2">
      <c r="A42" s="9"/>
      <c r="B42" s="7"/>
      <c r="C42" s="10"/>
      <c r="D42" s="19"/>
      <c r="E42" s="19"/>
      <c r="F42" s="19"/>
      <c r="G42" s="19"/>
      <c r="H42" s="8"/>
      <c r="I42" s="8"/>
      <c r="J42" s="3" t="s">
        <v>256</v>
      </c>
      <c r="K42" s="19"/>
      <c r="L42" s="19"/>
      <c r="M42" s="19"/>
      <c r="N42" s="19"/>
      <c r="Q42" s="32"/>
    </row>
    <row r="43" spans="1:17" ht="18.95" customHeight="1" x14ac:dyDescent="0.2">
      <c r="J43" s="3" t="s">
        <v>282</v>
      </c>
    </row>
    <row r="44" spans="1:17" ht="18.95" customHeight="1" x14ac:dyDescent="0.2">
      <c r="J44" s="3" t="s">
        <v>263</v>
      </c>
    </row>
    <row r="45" spans="1:17" s="1" customFormat="1" ht="20.100000000000001" customHeight="1" x14ac:dyDescent="0.2">
      <c r="A45" s="158" t="str">
        <f>A23</f>
        <v>KENTUCKY UTILITIES COMPANY</v>
      </c>
      <c r="B45" s="158"/>
      <c r="C45" s="158"/>
      <c r="D45" s="158"/>
      <c r="E45" s="158"/>
      <c r="F45" s="158"/>
      <c r="G45" s="158"/>
      <c r="H45" s="158"/>
      <c r="I45" s="158"/>
      <c r="J45" s="158"/>
      <c r="K45" s="39"/>
      <c r="L45" s="39"/>
      <c r="M45" s="39"/>
      <c r="N45" s="22"/>
    </row>
    <row r="46" spans="1:17" s="1" customFormat="1" ht="20.100000000000001" customHeight="1" x14ac:dyDescent="0.2">
      <c r="A46" s="158" t="str">
        <f>A24</f>
        <v>CASE NO. 2018-00034</v>
      </c>
      <c r="B46" s="158"/>
      <c r="C46" s="158"/>
      <c r="D46" s="158"/>
      <c r="E46" s="158"/>
      <c r="F46" s="158"/>
      <c r="G46" s="158"/>
      <c r="H46" s="158"/>
      <c r="I46" s="158"/>
      <c r="J46" s="158"/>
      <c r="K46" s="39"/>
      <c r="L46" s="39"/>
      <c r="M46" s="39"/>
      <c r="N46" s="22"/>
    </row>
    <row r="47" spans="1:17" s="1" customFormat="1" ht="20.100000000000001" customHeight="1" x14ac:dyDescent="0.2">
      <c r="A47" s="158" t="s">
        <v>51</v>
      </c>
      <c r="B47" s="158"/>
      <c r="C47" s="158"/>
      <c r="D47" s="158"/>
      <c r="E47" s="158"/>
      <c r="F47" s="158"/>
      <c r="G47" s="158"/>
      <c r="H47" s="158"/>
      <c r="I47" s="158"/>
      <c r="J47" s="158"/>
      <c r="K47" s="39"/>
      <c r="L47" s="39"/>
      <c r="M47" s="39"/>
      <c r="N47" s="22"/>
    </row>
    <row r="48" spans="1:17" s="1" customFormat="1" ht="20.100000000000001" customHeight="1" x14ac:dyDescent="0.2">
      <c r="A48" s="158" t="s">
        <v>56</v>
      </c>
      <c r="B48" s="158"/>
      <c r="C48" s="158"/>
      <c r="D48" s="158"/>
      <c r="E48" s="158"/>
      <c r="F48" s="158"/>
      <c r="G48" s="158"/>
      <c r="H48" s="158"/>
      <c r="I48" s="158"/>
      <c r="J48" s="158"/>
      <c r="K48" s="39"/>
      <c r="L48" s="39"/>
      <c r="M48" s="39"/>
      <c r="N48" s="22"/>
    </row>
    <row r="49" spans="1:17" s="1" customFormat="1" ht="20.100000000000001" customHeight="1" x14ac:dyDescent="0.2">
      <c r="A49" s="158" t="str">
        <f>A27</f>
        <v>FROM JANUARY 1, 2018 TO APRIL 30, 2019</v>
      </c>
      <c r="B49" s="158"/>
      <c r="C49" s="158"/>
      <c r="D49" s="158"/>
      <c r="E49" s="158"/>
      <c r="F49" s="158"/>
      <c r="G49" s="158"/>
      <c r="H49" s="158"/>
      <c r="I49" s="158"/>
      <c r="J49" s="158"/>
      <c r="K49" s="39"/>
      <c r="L49" s="39"/>
      <c r="M49" s="39"/>
      <c r="N49" s="22"/>
    </row>
    <row r="50" spans="1:17" s="1" customFormat="1" ht="20.100000000000001" customHeight="1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</row>
    <row r="51" spans="1:17" s="1" customFormat="1" ht="20.100000000000001" customHeight="1" x14ac:dyDescent="0.2"/>
    <row r="52" spans="1:17" ht="48" customHeight="1" x14ac:dyDescent="0.2">
      <c r="A52" s="13" t="s">
        <v>3</v>
      </c>
      <c r="B52" s="13" t="s">
        <v>11</v>
      </c>
      <c r="C52" s="13" t="s">
        <v>138</v>
      </c>
      <c r="D52" s="13" t="s">
        <v>32</v>
      </c>
      <c r="E52" s="13" t="s">
        <v>14</v>
      </c>
      <c r="F52" s="13" t="s">
        <v>52</v>
      </c>
      <c r="G52" s="13" t="s">
        <v>53</v>
      </c>
      <c r="H52" s="13" t="s">
        <v>59</v>
      </c>
      <c r="I52" s="13"/>
      <c r="J52" s="13" t="s">
        <v>33</v>
      </c>
      <c r="K52" s="10"/>
      <c r="L52" s="10"/>
      <c r="M52" s="10"/>
      <c r="N52" s="10"/>
    </row>
    <row r="53" spans="1:17" ht="18.95" customHeight="1" x14ac:dyDescent="0.2">
      <c r="A53" s="6"/>
      <c r="B53" s="23" t="s">
        <v>16</v>
      </c>
      <c r="C53" s="23" t="s">
        <v>17</v>
      </c>
      <c r="D53" s="23" t="s">
        <v>18</v>
      </c>
      <c r="E53" s="23" t="s">
        <v>19</v>
      </c>
      <c r="F53" s="23" t="s">
        <v>48</v>
      </c>
      <c r="G53" s="23" t="s">
        <v>21</v>
      </c>
      <c r="H53" s="23" t="s">
        <v>49</v>
      </c>
      <c r="I53" s="23"/>
      <c r="J53" s="23" t="s">
        <v>54</v>
      </c>
      <c r="K53" s="23"/>
      <c r="L53" s="23"/>
      <c r="M53" s="23"/>
      <c r="N53" s="23"/>
    </row>
    <row r="54" spans="1:17" ht="18.95" customHeight="1" x14ac:dyDescent="0.2">
      <c r="A54" s="6"/>
      <c r="B54" s="11"/>
      <c r="C54" s="11"/>
      <c r="D54" s="12" t="s">
        <v>4</v>
      </c>
      <c r="E54" s="12"/>
      <c r="F54" s="12" t="s">
        <v>4</v>
      </c>
      <c r="G54" s="12" t="s">
        <v>4</v>
      </c>
      <c r="H54" s="12" t="s">
        <v>4</v>
      </c>
      <c r="I54" s="12"/>
      <c r="J54" s="12" t="s">
        <v>4</v>
      </c>
      <c r="K54" s="12"/>
      <c r="L54" s="12"/>
      <c r="M54" s="12"/>
      <c r="N54" s="12"/>
    </row>
    <row r="55" spans="1:17" ht="18.95" customHeight="1" x14ac:dyDescent="0.2">
      <c r="A55" s="9"/>
      <c r="B55" s="7"/>
      <c r="C55" s="10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Q55" s="1"/>
    </row>
    <row r="56" spans="1:17" ht="18.95" customHeight="1" x14ac:dyDescent="0.2">
      <c r="A56" s="9">
        <v>1</v>
      </c>
      <c r="B56" s="7" t="s">
        <v>23</v>
      </c>
      <c r="C56" s="10"/>
      <c r="D56" s="8">
        <f>H12</f>
        <v>118446803.26800947</v>
      </c>
      <c r="E56" s="24">
        <f>D56/D$62</f>
        <v>2.4688651169092791E-2</v>
      </c>
      <c r="F56" s="8">
        <f>F$62*$E56</f>
        <v>-27043786.892505433</v>
      </c>
      <c r="G56" s="8">
        <f>G$62*$E56</f>
        <v>-135901.62554104475</v>
      </c>
      <c r="H56" s="8">
        <f>H$62*$E56</f>
        <v>0</v>
      </c>
      <c r="I56" s="8"/>
      <c r="J56" s="8">
        <f>SUM(F56:I56)</f>
        <v>-27179688.51804648</v>
      </c>
      <c r="K56" s="24"/>
      <c r="L56" s="24"/>
      <c r="M56" s="24"/>
      <c r="N56" s="8"/>
      <c r="P56" s="24"/>
      <c r="Q56" s="8"/>
    </row>
    <row r="57" spans="1:17" ht="18.95" customHeight="1" x14ac:dyDescent="0.2">
      <c r="A57" s="9"/>
      <c r="B57" s="7"/>
      <c r="C57" s="10"/>
      <c r="D57" s="8"/>
      <c r="E57" s="24"/>
      <c r="F57" s="8"/>
      <c r="G57" s="8"/>
      <c r="H57" s="8"/>
      <c r="I57" s="8"/>
      <c r="J57" s="8"/>
      <c r="K57" s="24"/>
      <c r="L57" s="25"/>
      <c r="M57" s="25"/>
      <c r="N57" s="8"/>
      <c r="P57" s="24"/>
      <c r="Q57" s="8"/>
    </row>
    <row r="58" spans="1:17" ht="18.95" customHeight="1" x14ac:dyDescent="0.2">
      <c r="A58" s="9">
        <v>2</v>
      </c>
      <c r="B58" s="7" t="s">
        <v>24</v>
      </c>
      <c r="C58" s="10"/>
      <c r="D58" s="8">
        <f>H14</f>
        <v>2123351490.4197102</v>
      </c>
      <c r="E58" s="24">
        <f>D58/D$62</f>
        <v>0.44258420497620982</v>
      </c>
      <c r="F58" s="8">
        <f>F$62*$E58</f>
        <v>-484803841.2219739</v>
      </c>
      <c r="G58" s="8">
        <f>G$62*$E58</f>
        <v>-2436257.5534444661</v>
      </c>
      <c r="H58" s="8">
        <f>H$62*$E58</f>
        <v>0</v>
      </c>
      <c r="I58" s="8"/>
      <c r="J58" s="8">
        <f>SUM(F58:I58)</f>
        <v>-487240098.77541834</v>
      </c>
      <c r="K58" s="24"/>
      <c r="L58" s="26"/>
      <c r="M58" s="24"/>
      <c r="P58" s="24"/>
      <c r="Q58" s="8"/>
    </row>
    <row r="59" spans="1:17" ht="18.95" customHeight="1" x14ac:dyDescent="0.2">
      <c r="A59" s="9"/>
      <c r="B59" s="7"/>
      <c r="C59" s="10"/>
      <c r="D59" s="27"/>
      <c r="E59" s="28"/>
      <c r="F59" s="27"/>
      <c r="G59" s="27"/>
      <c r="H59" s="27"/>
      <c r="I59" s="27"/>
      <c r="J59" s="27"/>
      <c r="K59" s="28"/>
      <c r="L59" s="29"/>
      <c r="M59" s="28"/>
      <c r="N59" s="27"/>
      <c r="P59" s="28"/>
      <c r="Q59" s="27"/>
    </row>
    <row r="60" spans="1:17" ht="18.95" customHeight="1" x14ac:dyDescent="0.2">
      <c r="A60" s="9">
        <v>3</v>
      </c>
      <c r="B60" s="7" t="s">
        <v>25</v>
      </c>
      <c r="C60" s="10"/>
      <c r="D60" s="14">
        <f>H16</f>
        <v>2555823190.6439376</v>
      </c>
      <c r="E60" s="30">
        <f>D60/D$62</f>
        <v>0.53272714385469733</v>
      </c>
      <c r="F60" s="14">
        <f>F$62*$E60</f>
        <v>-583545826.44414747</v>
      </c>
      <c r="G60" s="14">
        <f>G$62*$E60</f>
        <v>-2932460.1139136152</v>
      </c>
      <c r="H60" s="14">
        <f>H$62*$E60</f>
        <v>0</v>
      </c>
      <c r="I60" s="14"/>
      <c r="J60" s="14">
        <f>SUM(F60:I60)</f>
        <v>-586478286.55806112</v>
      </c>
      <c r="K60" s="24"/>
      <c r="L60" s="24"/>
      <c r="M60" s="24"/>
      <c r="N60" s="8"/>
      <c r="P60" s="24"/>
      <c r="Q60" s="8"/>
    </row>
    <row r="61" spans="1:17" ht="18.95" customHeight="1" x14ac:dyDescent="0.2">
      <c r="A61" s="9"/>
      <c r="B61" s="7"/>
      <c r="C61" s="10"/>
      <c r="D61" s="8"/>
      <c r="E61" s="25"/>
      <c r="F61" s="8"/>
      <c r="G61" s="8"/>
      <c r="H61" s="8"/>
      <c r="I61" s="8"/>
      <c r="J61" s="8"/>
      <c r="K61" s="25"/>
      <c r="L61" s="25"/>
      <c r="M61" s="24"/>
      <c r="N61" s="8"/>
      <c r="P61" s="25"/>
      <c r="Q61" s="8"/>
    </row>
    <row r="62" spans="1:17" ht="18.95" customHeight="1" thickBot="1" x14ac:dyDescent="0.25">
      <c r="A62" s="9">
        <v>4</v>
      </c>
      <c r="B62" s="7" t="s">
        <v>26</v>
      </c>
      <c r="C62" s="23"/>
      <c r="D62" s="15">
        <f>SUM(D56:D60)</f>
        <v>4797621484.3316574</v>
      </c>
      <c r="E62" s="31">
        <f>SUM(E56:E60)</f>
        <v>1</v>
      </c>
      <c r="F62" s="15">
        <v>-1095393454.5586269</v>
      </c>
      <c r="G62" s="15">
        <v>-5504619.2928991262</v>
      </c>
      <c r="H62" s="15">
        <v>0</v>
      </c>
      <c r="I62" s="15"/>
      <c r="J62" s="15">
        <f>SUM(J56:J60)</f>
        <v>-1100898073.851526</v>
      </c>
      <c r="K62" s="24"/>
      <c r="L62" s="25"/>
      <c r="M62" s="24"/>
      <c r="N62" s="8"/>
      <c r="P62" s="24"/>
      <c r="Q62" s="8"/>
    </row>
    <row r="63" spans="1:17" ht="18.95" customHeight="1" thickTop="1" x14ac:dyDescent="0.2">
      <c r="A63" s="9"/>
      <c r="B63" s="7"/>
      <c r="C63" s="10"/>
      <c r="D63" s="19"/>
      <c r="E63" s="19"/>
      <c r="F63" s="19"/>
      <c r="G63" s="19"/>
      <c r="H63" s="8"/>
      <c r="I63" s="8"/>
      <c r="J63" s="8"/>
      <c r="K63" s="19"/>
      <c r="L63" s="19"/>
      <c r="M63" s="19"/>
      <c r="N63" s="19"/>
      <c r="Q63" s="32"/>
    </row>
    <row r="64" spans="1:17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</sheetData>
  <mergeCells count="15">
    <mergeCell ref="A48:J48"/>
    <mergeCell ref="A49:J49"/>
    <mergeCell ref="A24:J24"/>
    <mergeCell ref="A1:M1"/>
    <mergeCell ref="A2:M2"/>
    <mergeCell ref="A3:M3"/>
    <mergeCell ref="A4:M4"/>
    <mergeCell ref="A5:M5"/>
    <mergeCell ref="A23:J23"/>
    <mergeCell ref="A45:J45"/>
    <mergeCell ref="A46:J46"/>
    <mergeCell ref="A47:J47"/>
    <mergeCell ref="A25:J25"/>
    <mergeCell ref="A26:J26"/>
    <mergeCell ref="A27:J27"/>
  </mergeCells>
  <pageMargins left="0.7" right="0.7" top="1" bottom="0.75" header="0.3" footer="0.3"/>
  <pageSetup scale="75" fitToHeight="0" orientation="landscape" r:id="rId1"/>
  <rowBreaks count="1" manualBreakCount="1">
    <brk id="4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203"/>
  <sheetViews>
    <sheetView zoomScaleNormal="100" workbookViewId="0">
      <selection activeCell="E27" sqref="E27"/>
    </sheetView>
  </sheetViews>
  <sheetFormatPr defaultRowHeight="12.75" x14ac:dyDescent="0.2"/>
  <cols>
    <col min="1" max="1" width="6.85546875" style="5" customWidth="1"/>
    <col min="2" max="2" width="50.140625" style="5" customWidth="1"/>
    <col min="3" max="3" width="19" style="5" customWidth="1"/>
    <col min="4" max="4" width="10.85546875" style="5" customWidth="1"/>
    <col min="5" max="5" width="22.42578125" style="5" customWidth="1"/>
    <col min="6" max="6" width="14" style="5" customWidth="1"/>
    <col min="7" max="7" width="1.85546875" style="5" customWidth="1"/>
    <col min="8" max="8" width="9.140625" style="5" customWidth="1"/>
    <col min="9" max="16384" width="9.140625" style="5"/>
  </cols>
  <sheetData>
    <row r="1" spans="1:8" s="1" customFormat="1" ht="20.100000000000001" customHeight="1" x14ac:dyDescent="0.2">
      <c r="A1" s="149"/>
      <c r="B1" s="149"/>
      <c r="C1" s="149"/>
      <c r="D1" s="149"/>
      <c r="E1" s="3" t="s">
        <v>256</v>
      </c>
      <c r="F1" s="149"/>
    </row>
    <row r="2" spans="1:8" s="1" customFormat="1" ht="20.100000000000001" customHeight="1" x14ac:dyDescent="0.2">
      <c r="A2" s="152"/>
      <c r="B2" s="152"/>
      <c r="C2" s="152"/>
      <c r="D2" s="152"/>
      <c r="E2" s="3" t="s">
        <v>283</v>
      </c>
      <c r="F2" s="152"/>
    </row>
    <row r="3" spans="1:8" s="1" customFormat="1" ht="20.100000000000001" customHeight="1" x14ac:dyDescent="0.2">
      <c r="A3" s="77"/>
      <c r="B3" s="77"/>
      <c r="C3" s="77"/>
      <c r="D3" s="77"/>
      <c r="E3" s="3" t="s">
        <v>263</v>
      </c>
      <c r="F3" s="77"/>
    </row>
    <row r="4" spans="1:8" s="1" customFormat="1" ht="20.100000000000001" customHeight="1" x14ac:dyDescent="0.2">
      <c r="A4" s="158" t="s">
        <v>0</v>
      </c>
      <c r="B4" s="159"/>
      <c r="C4" s="159"/>
      <c r="D4" s="159"/>
      <c r="E4" s="159"/>
      <c r="F4" s="22"/>
    </row>
    <row r="5" spans="1:8" s="1" customFormat="1" ht="20.100000000000001" customHeight="1" x14ac:dyDescent="0.2">
      <c r="A5" s="158" t="s">
        <v>253</v>
      </c>
      <c r="B5" s="159"/>
      <c r="C5" s="159"/>
      <c r="D5" s="159"/>
      <c r="E5" s="159"/>
      <c r="F5" s="22"/>
    </row>
    <row r="6" spans="1:8" s="1" customFormat="1" ht="20.100000000000001" customHeight="1" x14ac:dyDescent="0.2">
      <c r="A6" s="159" t="s">
        <v>140</v>
      </c>
      <c r="B6" s="159"/>
      <c r="C6" s="159"/>
      <c r="D6" s="159"/>
      <c r="E6" s="159"/>
      <c r="F6" s="22"/>
    </row>
    <row r="7" spans="1:8" s="1" customFormat="1" ht="20.100000000000001" customHeight="1" x14ac:dyDescent="0.2">
      <c r="A7" s="159" t="s">
        <v>56</v>
      </c>
      <c r="B7" s="159"/>
      <c r="C7" s="159"/>
      <c r="D7" s="159"/>
      <c r="E7" s="159"/>
      <c r="F7" s="22"/>
    </row>
    <row r="8" spans="1:8" s="1" customFormat="1" ht="20.100000000000001" customHeight="1" x14ac:dyDescent="0.2">
      <c r="A8" s="158" t="s">
        <v>39</v>
      </c>
      <c r="B8" s="159"/>
      <c r="C8" s="159"/>
      <c r="D8" s="159"/>
      <c r="E8" s="159"/>
      <c r="F8" s="22"/>
    </row>
    <row r="9" spans="1:8" s="1" customFormat="1" ht="20.100000000000001" customHeight="1" x14ac:dyDescent="0.2">
      <c r="A9" s="77"/>
      <c r="B9" s="77"/>
      <c r="C9" s="77"/>
      <c r="D9" s="77"/>
      <c r="E9" s="77"/>
      <c r="F9" s="77"/>
    </row>
    <row r="10" spans="1:8" s="1" customFormat="1" ht="20.100000000000001" customHeight="1" x14ac:dyDescent="0.2"/>
    <row r="11" spans="1:8" ht="66" customHeight="1" x14ac:dyDescent="0.2">
      <c r="A11" s="13" t="s">
        <v>3</v>
      </c>
      <c r="B11" s="13" t="s">
        <v>141</v>
      </c>
      <c r="C11" s="13" t="s">
        <v>142</v>
      </c>
      <c r="D11" s="13" t="s">
        <v>143</v>
      </c>
      <c r="E11" s="13" t="s">
        <v>144</v>
      </c>
      <c r="F11" s="10"/>
    </row>
    <row r="12" spans="1:8" ht="18.95" customHeight="1" x14ac:dyDescent="0.2">
      <c r="A12" s="6"/>
      <c r="B12" s="23" t="s">
        <v>16</v>
      </c>
      <c r="C12" s="23" t="s">
        <v>17</v>
      </c>
      <c r="D12" s="23" t="s">
        <v>18</v>
      </c>
      <c r="E12" s="23" t="s">
        <v>145</v>
      </c>
      <c r="F12" s="23"/>
    </row>
    <row r="13" spans="1:8" ht="18.95" customHeight="1" x14ac:dyDescent="0.2">
      <c r="A13" s="6"/>
      <c r="B13" s="11"/>
      <c r="C13" s="12" t="s">
        <v>4</v>
      </c>
      <c r="D13" s="12" t="s">
        <v>22</v>
      </c>
      <c r="E13" s="12" t="s">
        <v>4</v>
      </c>
      <c r="F13" s="12"/>
    </row>
    <row r="14" spans="1:8" ht="18.95" customHeight="1" x14ac:dyDescent="0.2">
      <c r="A14" s="9"/>
      <c r="B14" s="7" t="s">
        <v>146</v>
      </c>
      <c r="C14" s="8"/>
      <c r="D14" s="8"/>
      <c r="E14" s="8"/>
      <c r="F14" s="8"/>
    </row>
    <row r="15" spans="1:8" ht="18.95" customHeight="1" x14ac:dyDescent="0.2">
      <c r="A15" s="9">
        <v>1</v>
      </c>
      <c r="B15" s="80">
        <v>43070</v>
      </c>
      <c r="C15" s="8">
        <v>88757433.366715804</v>
      </c>
      <c r="D15" s="94">
        <v>1.4999999999999999E-2</v>
      </c>
      <c r="E15" s="8">
        <f t="shared" ref="E15:E31" si="0">C15*D15</f>
        <v>1331361.500500737</v>
      </c>
      <c r="F15" s="8"/>
      <c r="H15" s="1"/>
    </row>
    <row r="16" spans="1:8" ht="18.95" customHeight="1" x14ac:dyDescent="0.2">
      <c r="A16" s="9">
        <v>2</v>
      </c>
      <c r="B16" s="80">
        <v>43101</v>
      </c>
      <c r="C16" s="8">
        <v>115284207.220256</v>
      </c>
      <c r="D16" s="94">
        <v>2.5000000000000005E-2</v>
      </c>
      <c r="E16" s="8">
        <f t="shared" si="0"/>
        <v>2882105.1805064008</v>
      </c>
      <c r="F16" s="8"/>
      <c r="H16" s="1"/>
    </row>
    <row r="17" spans="1:8" ht="18.95" customHeight="1" x14ac:dyDescent="0.2">
      <c r="A17" s="9">
        <v>3</v>
      </c>
      <c r="B17" s="80">
        <v>43132</v>
      </c>
      <c r="C17" s="8">
        <v>80223955.813872293</v>
      </c>
      <c r="D17" s="94">
        <v>2.5000000000000005E-2</v>
      </c>
      <c r="E17" s="8">
        <f t="shared" si="0"/>
        <v>2005598.8953468078</v>
      </c>
      <c r="F17" s="8"/>
      <c r="H17" s="1"/>
    </row>
    <row r="18" spans="1:8" ht="18.95" customHeight="1" x14ac:dyDescent="0.2">
      <c r="A18" s="9">
        <v>4</v>
      </c>
      <c r="B18" s="80">
        <v>43160</v>
      </c>
      <c r="C18" s="8">
        <v>121132941.17272</v>
      </c>
      <c r="D18" s="94">
        <v>2.5000000000000005E-2</v>
      </c>
      <c r="E18" s="8">
        <f t="shared" si="0"/>
        <v>3028323.5293180007</v>
      </c>
      <c r="H18" s="1"/>
    </row>
    <row r="19" spans="1:8" ht="18.95" customHeight="1" x14ac:dyDescent="0.2">
      <c r="A19" s="9">
        <v>5</v>
      </c>
      <c r="B19" s="80">
        <v>43191</v>
      </c>
      <c r="C19" s="8">
        <v>148699046.51727203</v>
      </c>
      <c r="D19" s="94">
        <v>2.5000000000000005E-2</v>
      </c>
      <c r="E19" s="8">
        <f t="shared" si="0"/>
        <v>3717476.1629318013</v>
      </c>
      <c r="F19" s="81"/>
      <c r="H19" s="1"/>
    </row>
    <row r="20" spans="1:8" ht="18.95" customHeight="1" x14ac:dyDescent="0.2">
      <c r="A20" s="9">
        <v>6</v>
      </c>
      <c r="B20" s="95">
        <v>43221</v>
      </c>
      <c r="C20" s="8">
        <v>192732522.931575</v>
      </c>
      <c r="D20" s="94">
        <v>2.5000000000000005E-2</v>
      </c>
      <c r="E20" s="8">
        <f t="shared" si="0"/>
        <v>4818313.0732893758</v>
      </c>
      <c r="H20" s="1"/>
    </row>
    <row r="21" spans="1:8" ht="18.95" customHeight="1" x14ac:dyDescent="0.2">
      <c r="A21" s="9">
        <v>7</v>
      </c>
      <c r="B21" s="95">
        <v>43252</v>
      </c>
      <c r="C21" s="8">
        <v>181134636.51879099</v>
      </c>
      <c r="D21" s="94">
        <v>2.5000000000000005E-2</v>
      </c>
      <c r="E21" s="8">
        <f t="shared" si="0"/>
        <v>4528365.9129697755</v>
      </c>
      <c r="F21" s="27"/>
      <c r="H21" s="1"/>
    </row>
    <row r="22" spans="1:8" ht="18.95" customHeight="1" x14ac:dyDescent="0.2">
      <c r="A22" s="9">
        <v>8</v>
      </c>
      <c r="B22" s="95">
        <v>43282</v>
      </c>
      <c r="C22" s="8">
        <v>171967439.11531898</v>
      </c>
      <c r="D22" s="94">
        <v>2.5000000000000005E-2</v>
      </c>
      <c r="E22" s="8">
        <f t="shared" si="0"/>
        <v>4299185.9778829757</v>
      </c>
      <c r="F22" s="8"/>
      <c r="H22" s="1"/>
    </row>
    <row r="23" spans="1:8" ht="18.95" customHeight="1" x14ac:dyDescent="0.2">
      <c r="A23" s="9">
        <v>9</v>
      </c>
      <c r="B23" s="95">
        <v>43313</v>
      </c>
      <c r="C23" s="8">
        <v>158153464.73900297</v>
      </c>
      <c r="D23" s="94">
        <v>2.5000000000000005E-2</v>
      </c>
      <c r="E23" s="8">
        <f t="shared" si="0"/>
        <v>3953836.6184750749</v>
      </c>
      <c r="F23" s="8"/>
      <c r="H23" s="1"/>
    </row>
    <row r="24" spans="1:8" ht="18.95" customHeight="1" x14ac:dyDescent="0.2">
      <c r="A24" s="9">
        <v>10</v>
      </c>
      <c r="B24" s="95">
        <v>43344</v>
      </c>
      <c r="C24" s="8">
        <v>204139312.26814499</v>
      </c>
      <c r="D24" s="94">
        <v>2.5000000000000005E-2</v>
      </c>
      <c r="E24" s="8">
        <f t="shared" si="0"/>
        <v>5103482.8067036262</v>
      </c>
      <c r="F24" s="8"/>
      <c r="H24" s="1"/>
    </row>
    <row r="25" spans="1:8" ht="18.95" customHeight="1" x14ac:dyDescent="0.2">
      <c r="A25" s="9">
        <v>11</v>
      </c>
      <c r="B25" s="95">
        <v>43374</v>
      </c>
      <c r="C25" s="8">
        <v>234068428.03093299</v>
      </c>
      <c r="D25" s="94">
        <v>2.5000000000000005E-2</v>
      </c>
      <c r="E25" s="8">
        <f t="shared" si="0"/>
        <v>5851710.7007733257</v>
      </c>
      <c r="F25" s="19"/>
      <c r="H25" s="1"/>
    </row>
    <row r="26" spans="1:8" ht="18.95" customHeight="1" x14ac:dyDescent="0.2">
      <c r="A26" s="9">
        <v>12</v>
      </c>
      <c r="B26" s="95">
        <v>43405</v>
      </c>
      <c r="C26" s="8">
        <v>265582183.78230301</v>
      </c>
      <c r="D26" s="94">
        <v>2.5000000000000005E-2</v>
      </c>
      <c r="E26" s="8">
        <f t="shared" si="0"/>
        <v>6639554.5945575768</v>
      </c>
      <c r="H26" s="1"/>
    </row>
    <row r="27" spans="1:8" ht="18.95" customHeight="1" x14ac:dyDescent="0.2">
      <c r="A27" s="9">
        <v>13</v>
      </c>
      <c r="B27" s="95">
        <v>43435</v>
      </c>
      <c r="C27" s="8">
        <v>256266518.11558402</v>
      </c>
      <c r="D27" s="94">
        <v>2.5000000000000005E-2</v>
      </c>
      <c r="E27" s="8">
        <f t="shared" si="0"/>
        <v>6406662.9528896017</v>
      </c>
      <c r="F27" s="8"/>
      <c r="H27" s="1"/>
    </row>
    <row r="28" spans="1:8" ht="18.95" customHeight="1" x14ac:dyDescent="0.2">
      <c r="A28" s="9">
        <v>14</v>
      </c>
      <c r="B28" s="95">
        <v>43466</v>
      </c>
      <c r="C28" s="8">
        <v>232926101.22760201</v>
      </c>
      <c r="D28" s="94">
        <v>3.0000000000000006E-2</v>
      </c>
      <c r="E28" s="8">
        <f t="shared" si="0"/>
        <v>6987783.0368280616</v>
      </c>
      <c r="F28" s="8"/>
      <c r="H28" s="1"/>
    </row>
    <row r="29" spans="1:8" ht="18.95" customHeight="1" x14ac:dyDescent="0.2">
      <c r="A29" s="9">
        <v>15</v>
      </c>
      <c r="B29" s="95">
        <v>43497</v>
      </c>
      <c r="C29" s="8">
        <v>205950274.64023501</v>
      </c>
      <c r="D29" s="94">
        <v>3.0000000000000006E-2</v>
      </c>
      <c r="E29" s="8">
        <f t="shared" si="0"/>
        <v>6178508.2392070517</v>
      </c>
      <c r="F29" s="8"/>
      <c r="H29" s="1"/>
    </row>
    <row r="30" spans="1:8" ht="18.95" customHeight="1" x14ac:dyDescent="0.2">
      <c r="A30" s="9">
        <v>16</v>
      </c>
      <c r="B30" s="95">
        <v>43525</v>
      </c>
      <c r="C30" s="8">
        <v>268884001.43616098</v>
      </c>
      <c r="D30" s="94">
        <v>3.0000000000000006E-2</v>
      </c>
      <c r="E30" s="8">
        <f t="shared" si="0"/>
        <v>8066520.043084831</v>
      </c>
      <c r="F30" s="8"/>
      <c r="H30" s="1"/>
    </row>
    <row r="31" spans="1:8" ht="18.95" customHeight="1" x14ac:dyDescent="0.2">
      <c r="A31" s="9">
        <v>17</v>
      </c>
      <c r="B31" s="95">
        <v>43556</v>
      </c>
      <c r="C31" s="14">
        <v>296436768.27561903</v>
      </c>
      <c r="D31" s="94">
        <v>3.0000000000000006E-2</v>
      </c>
      <c r="E31" s="14">
        <f t="shared" si="0"/>
        <v>8893103.0482685734</v>
      </c>
      <c r="F31" s="8"/>
      <c r="H31" s="1"/>
    </row>
    <row r="32" spans="1:8" ht="18.95" customHeight="1" x14ac:dyDescent="0.2">
      <c r="A32" s="9"/>
      <c r="B32" s="7"/>
    </row>
    <row r="33" spans="1:6" ht="18.95" customHeight="1" x14ac:dyDescent="0.2">
      <c r="A33" s="9">
        <v>18</v>
      </c>
      <c r="B33" s="82" t="s">
        <v>66</v>
      </c>
      <c r="C33" s="14">
        <f>SUM(C15:C32)</f>
        <v>3222339235.1721063</v>
      </c>
      <c r="D33" s="8"/>
      <c r="E33" s="14">
        <f>SUM(E15:E32)</f>
        <v>84691892.273533598</v>
      </c>
      <c r="F33" s="8"/>
    </row>
    <row r="34" spans="1:6" ht="18.95" customHeight="1" x14ac:dyDescent="0.2">
      <c r="B34" s="82"/>
    </row>
    <row r="35" spans="1:6" ht="18.95" customHeight="1" x14ac:dyDescent="0.2">
      <c r="A35" s="9">
        <v>19</v>
      </c>
      <c r="B35" s="82" t="s">
        <v>251</v>
      </c>
      <c r="C35" s="8">
        <f>C33/17</f>
        <v>189549366.77482978</v>
      </c>
      <c r="D35" s="94">
        <f>E35/C35</f>
        <v>2.6282736264734142E-2</v>
      </c>
      <c r="E35" s="8">
        <f>E33/17</f>
        <v>4981876.0160902115</v>
      </c>
      <c r="F35" s="8"/>
    </row>
    <row r="36" spans="1:6" ht="18.95" customHeight="1" x14ac:dyDescent="0.2">
      <c r="A36" s="9">
        <v>20</v>
      </c>
      <c r="B36" s="82" t="s">
        <v>247</v>
      </c>
      <c r="C36" s="14">
        <f>C37-C35</f>
        <v>-56869872.929457664</v>
      </c>
      <c r="D36" s="94"/>
      <c r="E36" s="8"/>
    </row>
    <row r="37" spans="1:6" ht="18.95" customHeight="1" thickBot="1" x14ac:dyDescent="0.25">
      <c r="A37" s="9">
        <v>21</v>
      </c>
      <c r="B37" s="82" t="s">
        <v>248</v>
      </c>
      <c r="C37" s="15">
        <f>'Cost of Capital (PGS4-5)'!D34</f>
        <v>132679493.84537211</v>
      </c>
      <c r="D37" s="94"/>
      <c r="E37" s="8"/>
      <c r="F37" s="85"/>
    </row>
    <row r="38" spans="1:6" ht="18.95" customHeight="1" thickTop="1" x14ac:dyDescent="0.2">
      <c r="B38" s="82"/>
    </row>
    <row r="39" spans="1:6" ht="18.95" customHeight="1" thickBot="1" x14ac:dyDescent="0.25">
      <c r="A39" s="9">
        <f>A37+1</f>
        <v>22</v>
      </c>
      <c r="B39" s="82" t="s">
        <v>147</v>
      </c>
      <c r="C39" s="83">
        <f>D35</f>
        <v>2.6282736264734142E-2</v>
      </c>
    </row>
    <row r="40" spans="1:6" ht="18.95" customHeight="1" thickTop="1" x14ac:dyDescent="0.2"/>
    <row r="41" spans="1:6" ht="18.95" customHeight="1" x14ac:dyDescent="0.2"/>
    <row r="42" spans="1:6" ht="18.95" customHeight="1" x14ac:dyDescent="0.2"/>
    <row r="43" spans="1:6" ht="18.95" customHeight="1" x14ac:dyDescent="0.2"/>
    <row r="44" spans="1:6" ht="18.95" customHeight="1" x14ac:dyDescent="0.2"/>
    <row r="45" spans="1:6" ht="18.95" customHeight="1" x14ac:dyDescent="0.2"/>
    <row r="46" spans="1:6" ht="18.95" customHeight="1" x14ac:dyDescent="0.2"/>
    <row r="47" spans="1:6" ht="18.95" customHeight="1" x14ac:dyDescent="0.2"/>
    <row r="48" spans="1:6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</sheetData>
  <mergeCells count="5">
    <mergeCell ref="A8:E8"/>
    <mergeCell ref="A4:E4"/>
    <mergeCell ref="A5:E5"/>
    <mergeCell ref="A6:E6"/>
    <mergeCell ref="A7:E7"/>
  </mergeCells>
  <printOptions horizontalCentered="1"/>
  <pageMargins left="1" right="1" top="1" bottom="1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212"/>
  <sheetViews>
    <sheetView zoomScale="70" zoomScaleNormal="70" workbookViewId="0">
      <selection activeCell="I35" sqref="I35"/>
    </sheetView>
  </sheetViews>
  <sheetFormatPr defaultRowHeight="12.75" x14ac:dyDescent="0.2"/>
  <cols>
    <col min="1" max="1" width="6.85546875" style="5" customWidth="1"/>
    <col min="2" max="2" width="53.5703125" style="5" bestFit="1" customWidth="1"/>
    <col min="3" max="3" width="10.85546875" style="5" customWidth="1"/>
    <col min="4" max="4" width="14.85546875" style="5" customWidth="1"/>
    <col min="5" max="5" width="13.85546875" style="5" customWidth="1"/>
    <col min="6" max="6" width="15.85546875" style="5" customWidth="1"/>
    <col min="7" max="7" width="17.42578125" style="5" customWidth="1"/>
    <col min="8" max="10" width="14.7109375" style="5" customWidth="1"/>
    <col min="11" max="11" width="13.7109375" style="5" customWidth="1"/>
    <col min="12" max="12" width="17.42578125" style="5" customWidth="1"/>
    <col min="13" max="15" width="14.7109375" style="5" customWidth="1"/>
    <col min="16" max="16" width="15.85546875" style="5" customWidth="1"/>
    <col min="17" max="17" width="1.85546875" style="5" customWidth="1"/>
    <col min="18" max="18" width="9.140625" style="5"/>
    <col min="19" max="19" width="19.7109375" style="5" customWidth="1"/>
    <col min="20" max="16384" width="9.140625" style="5"/>
  </cols>
  <sheetData>
    <row r="1" spans="1:16" s="1" customFormat="1" ht="20.100000000000001" customHeight="1" x14ac:dyDescent="0.2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3" t="s">
        <v>256</v>
      </c>
    </row>
    <row r="2" spans="1:16" s="1" customFormat="1" ht="20.100000000000001" customHeight="1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3" t="s">
        <v>284</v>
      </c>
    </row>
    <row r="3" spans="1:16" s="1" customFormat="1" ht="20.100000000000001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3" t="s">
        <v>263</v>
      </c>
    </row>
    <row r="4" spans="1:16" s="1" customFormat="1" ht="20.100000000000001" customHeight="1" x14ac:dyDescent="0.2">
      <c r="A4" s="158" t="s">
        <v>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spans="1:16" s="1" customFormat="1" ht="20.100000000000001" customHeight="1" x14ac:dyDescent="0.2">
      <c r="A5" s="158" t="s">
        <v>253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1:16" s="1" customFormat="1" ht="20.100000000000001" customHeight="1" x14ac:dyDescent="0.2">
      <c r="A6" s="159" t="s">
        <v>148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16" s="1" customFormat="1" ht="20.100000000000001" customHeight="1" x14ac:dyDescent="0.2">
      <c r="A7" s="159" t="s">
        <v>56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</row>
    <row r="8" spans="1:16" s="1" customFormat="1" ht="20.100000000000001" customHeight="1" x14ac:dyDescent="0.2">
      <c r="A8" s="158" t="s">
        <v>39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</row>
    <row r="9" spans="1:16" s="1" customFormat="1" ht="20.100000000000001" customHeight="1" x14ac:dyDescent="0.2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s="1" customFormat="1" ht="20.100000000000001" customHeight="1" x14ac:dyDescent="0.2"/>
    <row r="11" spans="1:16" s="1" customFormat="1" ht="20.100000000000001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160" t="s">
        <v>149</v>
      </c>
      <c r="L11" s="160"/>
      <c r="M11" s="160"/>
      <c r="N11" s="160"/>
      <c r="O11" s="160"/>
      <c r="P11" s="160"/>
    </row>
    <row r="12" spans="1:16" ht="57.75" customHeight="1" x14ac:dyDescent="0.2">
      <c r="A12" s="21" t="s">
        <v>3</v>
      </c>
      <c r="B12" s="21" t="s">
        <v>150</v>
      </c>
      <c r="C12" s="21" t="s">
        <v>151</v>
      </c>
      <c r="D12" s="21" t="s">
        <v>152</v>
      </c>
      <c r="E12" s="21" t="s">
        <v>153</v>
      </c>
      <c r="F12" s="21" t="s">
        <v>154</v>
      </c>
      <c r="G12" s="21" t="s">
        <v>155</v>
      </c>
      <c r="H12" s="21" t="s">
        <v>156</v>
      </c>
      <c r="I12" s="21" t="s">
        <v>157</v>
      </c>
      <c r="J12" s="21" t="s">
        <v>158</v>
      </c>
      <c r="K12" s="21" t="s">
        <v>159</v>
      </c>
      <c r="L12" s="21" t="s">
        <v>160</v>
      </c>
      <c r="M12" s="21" t="s">
        <v>161</v>
      </c>
      <c r="N12" s="21" t="s">
        <v>162</v>
      </c>
      <c r="O12" s="21" t="s">
        <v>163</v>
      </c>
      <c r="P12" s="21" t="s">
        <v>78</v>
      </c>
    </row>
    <row r="13" spans="1:16" ht="18.95" customHeight="1" x14ac:dyDescent="0.2">
      <c r="A13" s="6"/>
      <c r="B13" s="23"/>
      <c r="C13" s="23" t="s">
        <v>16</v>
      </c>
      <c r="D13" s="23" t="s">
        <v>17</v>
      </c>
      <c r="E13" s="23" t="s">
        <v>18</v>
      </c>
      <c r="F13" s="23" t="s">
        <v>19</v>
      </c>
      <c r="G13" s="23" t="s">
        <v>48</v>
      </c>
      <c r="H13" s="23" t="s">
        <v>21</v>
      </c>
      <c r="I13" s="23" t="s">
        <v>49</v>
      </c>
      <c r="J13" s="23" t="s">
        <v>164</v>
      </c>
      <c r="K13" s="23" t="s">
        <v>165</v>
      </c>
      <c r="L13" s="23" t="s">
        <v>35</v>
      </c>
      <c r="M13" s="23" t="s">
        <v>36</v>
      </c>
      <c r="N13" s="23" t="s">
        <v>166</v>
      </c>
      <c r="O13" s="23" t="s">
        <v>167</v>
      </c>
      <c r="P13" s="23" t="s">
        <v>168</v>
      </c>
    </row>
    <row r="14" spans="1:16" ht="18.95" customHeight="1" x14ac:dyDescent="0.2">
      <c r="A14" s="6"/>
      <c r="B14" s="11"/>
      <c r="C14" s="12" t="s">
        <v>22</v>
      </c>
      <c r="D14" s="11"/>
      <c r="E14" s="11"/>
      <c r="F14" s="12" t="s">
        <v>4</v>
      </c>
      <c r="G14" s="12" t="s">
        <v>4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4</v>
      </c>
      <c r="O14" s="12" t="s">
        <v>4</v>
      </c>
      <c r="P14" s="12" t="s">
        <v>4</v>
      </c>
    </row>
    <row r="15" spans="1:16" ht="18.95" customHeight="1" x14ac:dyDescent="0.2">
      <c r="A15" s="9"/>
      <c r="B15" s="7"/>
      <c r="C15" s="8"/>
      <c r="D15" s="10"/>
      <c r="E15" s="10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8.95" customHeight="1" x14ac:dyDescent="0.2">
      <c r="A16" s="9">
        <v>1</v>
      </c>
      <c r="B16" s="2" t="s">
        <v>169</v>
      </c>
      <c r="C16" s="87">
        <v>1.9675000000000005E-2</v>
      </c>
      <c r="D16" s="88">
        <v>37399</v>
      </c>
      <c r="E16" s="78" t="s">
        <v>170</v>
      </c>
      <c r="F16" s="90">
        <v>20930000</v>
      </c>
      <c r="G16" s="89">
        <v>0</v>
      </c>
      <c r="H16" s="8">
        <v>56996.238823529413</v>
      </c>
      <c r="I16" s="8">
        <v>487062.43176470592</v>
      </c>
      <c r="J16" s="8">
        <v>20385941.329411764</v>
      </c>
      <c r="K16" s="8">
        <v>411797.75000000012</v>
      </c>
      <c r="L16" s="89">
        <v>0</v>
      </c>
      <c r="M16" s="89">
        <v>4017.5963917525783</v>
      </c>
      <c r="N16" s="89">
        <v>36277.696185567002</v>
      </c>
      <c r="O16" s="89">
        <v>20929.999999999993</v>
      </c>
      <c r="P16" s="8">
        <f>SUM(K16:O16)</f>
        <v>473023.04257731972</v>
      </c>
    </row>
    <row r="17" spans="1:16" ht="18.95" customHeight="1" x14ac:dyDescent="0.2">
      <c r="A17" s="9">
        <f>A16+1</f>
        <v>2</v>
      </c>
      <c r="B17" s="2" t="s">
        <v>169</v>
      </c>
      <c r="C17" s="87">
        <v>1.9675000000000005E-2</v>
      </c>
      <c r="D17" s="88">
        <v>37399</v>
      </c>
      <c r="E17" s="78" t="s">
        <v>171</v>
      </c>
      <c r="F17" s="90">
        <v>2400000</v>
      </c>
      <c r="G17" s="89">
        <v>0</v>
      </c>
      <c r="H17" s="89">
        <v>39769.420588235305</v>
      </c>
      <c r="I17" s="89">
        <v>55759.496470588245</v>
      </c>
      <c r="J17" s="8">
        <v>2304471.0829411764</v>
      </c>
      <c r="K17" s="8">
        <v>47220.000000000015</v>
      </c>
      <c r="L17" s="89">
        <v>0</v>
      </c>
      <c r="M17" s="89">
        <v>2686.159175257731</v>
      </c>
      <c r="N17" s="89">
        <v>4153.1129896907141</v>
      </c>
      <c r="O17" s="89">
        <v>2400</v>
      </c>
      <c r="P17" s="8">
        <f t="shared" ref="P17:P37" si="0">SUM(K17:O17)</f>
        <v>56459.272164948459</v>
      </c>
    </row>
    <row r="18" spans="1:16" ht="18.95" customHeight="1" x14ac:dyDescent="0.2">
      <c r="A18" s="9">
        <f t="shared" ref="A18:A37" si="1">A17+1</f>
        <v>3</v>
      </c>
      <c r="B18" s="2" t="s">
        <v>172</v>
      </c>
      <c r="C18" s="87">
        <v>1.0500000000000004E-2</v>
      </c>
      <c r="D18" s="88" t="s">
        <v>173</v>
      </c>
      <c r="E18" s="78" t="s">
        <v>174</v>
      </c>
      <c r="F18" s="90">
        <v>96000000</v>
      </c>
      <c r="G18" s="89">
        <v>0</v>
      </c>
      <c r="H18" s="89">
        <v>386266.34470588237</v>
      </c>
      <c r="I18" s="89">
        <v>3859411.870588236</v>
      </c>
      <c r="J18" s="8">
        <v>91754321.784705877</v>
      </c>
      <c r="K18" s="8">
        <v>1008000.0000000003</v>
      </c>
      <c r="L18" s="89">
        <v>0</v>
      </c>
      <c r="M18" s="89">
        <v>339626.1557731959</v>
      </c>
      <c r="N18" s="89">
        <v>160690.13618556631</v>
      </c>
      <c r="O18" s="89">
        <v>0</v>
      </c>
      <c r="P18" s="8">
        <f t="shared" si="0"/>
        <v>1508316.2919587628</v>
      </c>
    </row>
    <row r="19" spans="1:16" ht="18.95" customHeight="1" x14ac:dyDescent="0.2">
      <c r="A19" s="9">
        <f t="shared" si="1"/>
        <v>4</v>
      </c>
      <c r="B19" s="2" t="s">
        <v>175</v>
      </c>
      <c r="C19" s="87">
        <v>5.7500000000000009E-2</v>
      </c>
      <c r="D19" s="88">
        <v>39226</v>
      </c>
      <c r="E19" s="78" t="s">
        <v>176</v>
      </c>
      <c r="F19" s="90">
        <v>17875000</v>
      </c>
      <c r="G19" s="89">
        <v>0</v>
      </c>
      <c r="H19" s="89">
        <v>83625.555882352914</v>
      </c>
      <c r="I19" s="89">
        <v>166206.82705882355</v>
      </c>
      <c r="J19" s="8">
        <v>17625167.617058825</v>
      </c>
      <c r="K19" s="8">
        <v>1027812.5000000001</v>
      </c>
      <c r="L19" s="89">
        <v>0</v>
      </c>
      <c r="M19" s="89">
        <v>10929.876082474228</v>
      </c>
      <c r="N19" s="89">
        <v>22390.168659793755</v>
      </c>
      <c r="O19" s="89">
        <v>0</v>
      </c>
      <c r="P19" s="8">
        <f t="shared" si="0"/>
        <v>1061132.544742268</v>
      </c>
    </row>
    <row r="20" spans="1:16" ht="18.95" customHeight="1" x14ac:dyDescent="0.2">
      <c r="A20" s="9">
        <f t="shared" si="1"/>
        <v>5</v>
      </c>
      <c r="B20" s="2" t="s">
        <v>177</v>
      </c>
      <c r="C20" s="87">
        <v>1.7675000000000003E-2</v>
      </c>
      <c r="D20" s="88" t="s">
        <v>178</v>
      </c>
      <c r="E20" s="78" t="s">
        <v>179</v>
      </c>
      <c r="F20" s="90">
        <v>50000000</v>
      </c>
      <c r="G20" s="89">
        <v>0</v>
      </c>
      <c r="H20" s="89">
        <v>165481.6917647059</v>
      </c>
      <c r="I20" s="89">
        <v>1526781.1070588229</v>
      </c>
      <c r="J20" s="8">
        <v>48307737.201176472</v>
      </c>
      <c r="K20" s="8">
        <v>883750.00000000012</v>
      </c>
      <c r="L20" s="89">
        <v>0</v>
      </c>
      <c r="M20" s="89">
        <v>9496.6527835051511</v>
      </c>
      <c r="N20" s="89">
        <v>94880.034123712016</v>
      </c>
      <c r="O20" s="89">
        <v>380609.58905000001</v>
      </c>
      <c r="P20" s="8">
        <f t="shared" si="0"/>
        <v>1368736.2759572172</v>
      </c>
    </row>
    <row r="21" spans="1:16" ht="18.95" customHeight="1" x14ac:dyDescent="0.2">
      <c r="A21" s="9">
        <f t="shared" si="1"/>
        <v>6</v>
      </c>
      <c r="B21" s="2" t="s">
        <v>169</v>
      </c>
      <c r="C21" s="87">
        <v>1.7675000000000003E-2</v>
      </c>
      <c r="D21" s="88" t="s">
        <v>180</v>
      </c>
      <c r="E21" s="78" t="s">
        <v>170</v>
      </c>
      <c r="F21" s="90">
        <v>77947405</v>
      </c>
      <c r="G21" s="89">
        <v>0</v>
      </c>
      <c r="H21" s="90">
        <v>464221.41117647069</v>
      </c>
      <c r="I21" s="90">
        <v>1223865.5329411766</v>
      </c>
      <c r="J21" s="8">
        <v>76259318.05588235</v>
      </c>
      <c r="K21" s="8">
        <v>1377720.3833750002</v>
      </c>
      <c r="L21" s="89">
        <v>0</v>
      </c>
      <c r="M21" s="89">
        <v>34369.318144329904</v>
      </c>
      <c r="N21" s="89">
        <v>91156.748144329787</v>
      </c>
      <c r="O21" s="89">
        <v>593975.24271499994</v>
      </c>
      <c r="P21" s="8">
        <f t="shared" si="0"/>
        <v>2097221.6923786597</v>
      </c>
    </row>
    <row r="22" spans="1:16" ht="18.95" customHeight="1" x14ac:dyDescent="0.2">
      <c r="A22" s="9">
        <f t="shared" si="1"/>
        <v>7</v>
      </c>
      <c r="B22" s="2" t="s">
        <v>177</v>
      </c>
      <c r="C22" s="87">
        <v>1.7675000000000003E-2</v>
      </c>
      <c r="D22" s="88" t="s">
        <v>181</v>
      </c>
      <c r="E22" s="78" t="s">
        <v>179</v>
      </c>
      <c r="F22" s="90">
        <v>54000000</v>
      </c>
      <c r="G22" s="89">
        <v>0</v>
      </c>
      <c r="H22" s="89">
        <v>774679.52941176447</v>
      </c>
      <c r="I22" s="89">
        <v>211843.75705882351</v>
      </c>
      <c r="J22" s="8">
        <v>53013476.713529415</v>
      </c>
      <c r="K22" s="8">
        <v>954450.00000000012</v>
      </c>
      <c r="L22" s="89">
        <v>0</v>
      </c>
      <c r="M22" s="89">
        <v>47788.268453608238</v>
      </c>
      <c r="N22" s="89">
        <v>13232.371340206155</v>
      </c>
      <c r="O22" s="89">
        <v>411491.09590999997</v>
      </c>
      <c r="P22" s="8">
        <f t="shared" si="0"/>
        <v>1426961.7357038145</v>
      </c>
    </row>
    <row r="23" spans="1:16" ht="18.95" customHeight="1" x14ac:dyDescent="0.2">
      <c r="A23" s="9">
        <f t="shared" si="1"/>
        <v>8</v>
      </c>
      <c r="B23" s="2" t="s">
        <v>169</v>
      </c>
      <c r="C23" s="87">
        <v>1.9675000000000005E-2</v>
      </c>
      <c r="D23" s="88">
        <v>37399</v>
      </c>
      <c r="E23" s="78" t="s">
        <v>170</v>
      </c>
      <c r="F23" s="90">
        <v>7400000</v>
      </c>
      <c r="G23" s="89">
        <v>0</v>
      </c>
      <c r="H23" s="89">
        <v>44213.034705882346</v>
      </c>
      <c r="I23" s="89">
        <v>171123.59529411764</v>
      </c>
      <c r="J23" s="8">
        <v>7184663.3700000001</v>
      </c>
      <c r="K23" s="8">
        <v>145595.00000000003</v>
      </c>
      <c r="L23" s="89">
        <v>0</v>
      </c>
      <c r="M23" s="89">
        <v>3037.6955670103089</v>
      </c>
      <c r="N23" s="89">
        <v>12745.739793814473</v>
      </c>
      <c r="O23" s="89">
        <v>7400</v>
      </c>
      <c r="P23" s="8">
        <f t="shared" si="0"/>
        <v>168778.43536082483</v>
      </c>
    </row>
    <row r="24" spans="1:16" ht="18.95" customHeight="1" x14ac:dyDescent="0.2">
      <c r="A24" s="9">
        <f t="shared" si="1"/>
        <v>9</v>
      </c>
      <c r="B24" s="2" t="s">
        <v>182</v>
      </c>
      <c r="C24" s="87">
        <v>1.7675000000000003E-2</v>
      </c>
      <c r="D24" s="88">
        <v>36665</v>
      </c>
      <c r="E24" s="78" t="s">
        <v>183</v>
      </c>
      <c r="F24" s="90">
        <v>12900000</v>
      </c>
      <c r="G24" s="89">
        <v>0</v>
      </c>
      <c r="H24" s="89">
        <v>53287.412352941174</v>
      </c>
      <c r="I24" s="89">
        <v>167296.13117647058</v>
      </c>
      <c r="J24" s="8">
        <v>12679416.456470588</v>
      </c>
      <c r="K24" s="8">
        <v>228007.50000000003</v>
      </c>
      <c r="L24" s="89">
        <v>0</v>
      </c>
      <c r="M24" s="89">
        <v>10883.968865979383</v>
      </c>
      <c r="N24" s="89">
        <v>35867.338350515463</v>
      </c>
      <c r="O24" s="89">
        <v>97783.76715</v>
      </c>
      <c r="P24" s="8">
        <f t="shared" si="0"/>
        <v>372542.5743664949</v>
      </c>
    </row>
    <row r="25" spans="1:16" ht="18.95" customHeight="1" x14ac:dyDescent="0.2">
      <c r="A25" s="9">
        <f t="shared" si="1"/>
        <v>10</v>
      </c>
      <c r="B25" s="2" t="s">
        <v>184</v>
      </c>
      <c r="C25" s="87">
        <v>1.9675000000000005E-2</v>
      </c>
      <c r="D25" s="88">
        <v>37399</v>
      </c>
      <c r="E25" s="78" t="s">
        <v>170</v>
      </c>
      <c r="F25" s="90">
        <v>2400000</v>
      </c>
      <c r="G25" s="89">
        <v>0</v>
      </c>
      <c r="H25" s="89">
        <v>15957.968235294118</v>
      </c>
      <c r="I25" s="89">
        <v>173147.4588235293</v>
      </c>
      <c r="J25" s="8">
        <v>2210894.5729411766</v>
      </c>
      <c r="K25" s="8">
        <v>47220.000000000015</v>
      </c>
      <c r="L25" s="89">
        <v>0</v>
      </c>
      <c r="M25" s="89">
        <v>1107.8615463917527</v>
      </c>
      <c r="N25" s="89">
        <v>12896.481030927867</v>
      </c>
      <c r="O25" s="89">
        <v>2400</v>
      </c>
      <c r="P25" s="8">
        <f t="shared" si="0"/>
        <v>63624.342577319636</v>
      </c>
    </row>
    <row r="26" spans="1:16" ht="18.95" customHeight="1" x14ac:dyDescent="0.2">
      <c r="A26" s="9">
        <f t="shared" si="1"/>
        <v>11</v>
      </c>
      <c r="B26" s="2" t="s">
        <v>185</v>
      </c>
      <c r="C26" s="87">
        <v>0.06</v>
      </c>
      <c r="D26" s="88">
        <v>39226</v>
      </c>
      <c r="E26" s="78" t="s">
        <v>186</v>
      </c>
      <c r="F26" s="90">
        <v>8927000</v>
      </c>
      <c r="G26" s="89">
        <v>0</v>
      </c>
      <c r="H26" s="89">
        <v>100273.39294117648</v>
      </c>
      <c r="I26" s="89">
        <v>199836.67705882352</v>
      </c>
      <c r="J26" s="8">
        <v>8626889.9299999997</v>
      </c>
      <c r="K26" s="8">
        <v>535620</v>
      </c>
      <c r="L26" s="89">
        <v>0</v>
      </c>
      <c r="M26" s="89">
        <v>5267.7853608247424</v>
      </c>
      <c r="N26" s="89">
        <v>10797.234329896892</v>
      </c>
      <c r="O26" s="89">
        <v>0</v>
      </c>
      <c r="P26" s="8">
        <f t="shared" si="0"/>
        <v>551685.01969072165</v>
      </c>
    </row>
    <row r="27" spans="1:16" ht="18.95" customHeight="1" x14ac:dyDescent="0.2">
      <c r="A27" s="9">
        <f t="shared" si="1"/>
        <v>12</v>
      </c>
      <c r="B27" s="2" t="s">
        <v>187</v>
      </c>
      <c r="C27" s="87">
        <v>3.2500000000000001E-2</v>
      </c>
      <c r="D27" s="151" t="s">
        <v>188</v>
      </c>
      <c r="E27" s="78" t="s">
        <v>189</v>
      </c>
      <c r="F27" s="90">
        <v>500000000</v>
      </c>
      <c r="G27" s="89">
        <v>-411922.95411764708</v>
      </c>
      <c r="H27" s="89">
        <v>911732.91823529382</v>
      </c>
      <c r="I27" s="89">
        <v>0</v>
      </c>
      <c r="J27" s="8">
        <v>498676344.12764704</v>
      </c>
      <c r="K27" s="8">
        <v>16250000</v>
      </c>
      <c r="L27" s="89">
        <v>189623.42278350523</v>
      </c>
      <c r="M27" s="89">
        <v>419930.43041237112</v>
      </c>
      <c r="N27" s="89">
        <v>0</v>
      </c>
      <c r="O27" s="89">
        <v>0</v>
      </c>
      <c r="P27" s="8">
        <f t="shared" si="0"/>
        <v>16859553.853195876</v>
      </c>
    </row>
    <row r="28" spans="1:16" ht="18.95" customHeight="1" x14ac:dyDescent="0.2">
      <c r="A28" s="9">
        <f t="shared" si="1"/>
        <v>13</v>
      </c>
      <c r="B28" s="2" t="s">
        <v>190</v>
      </c>
      <c r="C28" s="96">
        <v>3.3000000000000002E-2</v>
      </c>
      <c r="D28" s="151" t="s">
        <v>191</v>
      </c>
      <c r="E28" s="78" t="s">
        <v>266</v>
      </c>
      <c r="F28" s="90">
        <v>250000000</v>
      </c>
      <c r="G28" s="89">
        <v>-76113.77941176467</v>
      </c>
      <c r="H28" s="89">
        <v>1427893.9241176471</v>
      </c>
      <c r="I28" s="89">
        <v>0</v>
      </c>
      <c r="J28" s="8">
        <v>248495992.29647058</v>
      </c>
      <c r="K28" s="8">
        <v>8250000</v>
      </c>
      <c r="L28" s="89">
        <v>10732.362164948452</v>
      </c>
      <c r="M28" s="89">
        <v>201425.00917525776</v>
      </c>
      <c r="N28" s="89">
        <v>0</v>
      </c>
      <c r="O28" s="89">
        <v>0</v>
      </c>
      <c r="P28" s="8">
        <f t="shared" si="0"/>
        <v>8462157.3713402059</v>
      </c>
    </row>
    <row r="29" spans="1:16" ht="18.95" customHeight="1" x14ac:dyDescent="0.2">
      <c r="A29" s="9">
        <f t="shared" si="1"/>
        <v>14</v>
      </c>
      <c r="B29" s="2" t="s">
        <v>192</v>
      </c>
      <c r="C29" s="87">
        <v>4.3749999999999997E-2</v>
      </c>
      <c r="D29" s="151" t="s">
        <v>191</v>
      </c>
      <c r="E29" s="78" t="s">
        <v>265</v>
      </c>
      <c r="F29" s="90">
        <v>250000000</v>
      </c>
      <c r="G29" s="89">
        <v>-187345.22176470587</v>
      </c>
      <c r="H29" s="89">
        <v>2326739.8547058827</v>
      </c>
      <c r="I29" s="89">
        <v>0</v>
      </c>
      <c r="J29" s="8">
        <v>247485914.92352942</v>
      </c>
      <c r="K29" s="8">
        <v>10937500</v>
      </c>
      <c r="L29" s="89">
        <v>6909.7284536082489</v>
      </c>
      <c r="M29" s="89">
        <v>85849.136391752589</v>
      </c>
      <c r="N29" s="89">
        <v>0</v>
      </c>
      <c r="O29" s="89">
        <v>0</v>
      </c>
      <c r="P29" s="8">
        <f t="shared" si="0"/>
        <v>11030258.864845362</v>
      </c>
    </row>
    <row r="30" spans="1:16" ht="18.95" customHeight="1" x14ac:dyDescent="0.2">
      <c r="A30" s="9">
        <f t="shared" si="1"/>
        <v>15</v>
      </c>
      <c r="B30" s="2" t="s">
        <v>193</v>
      </c>
      <c r="C30" s="87">
        <v>4.6500000000000007E-2</v>
      </c>
      <c r="D30" s="151" t="s">
        <v>194</v>
      </c>
      <c r="E30" s="78" t="s">
        <v>195</v>
      </c>
      <c r="F30" s="90">
        <v>250000000</v>
      </c>
      <c r="G30" s="89">
        <v>-1512880.8064705885</v>
      </c>
      <c r="H30" s="89">
        <v>2326721.3111764723</v>
      </c>
      <c r="I30" s="89">
        <v>0</v>
      </c>
      <c r="J30" s="8">
        <v>246160397.88235292</v>
      </c>
      <c r="K30" s="8">
        <v>11625000.000000002</v>
      </c>
      <c r="L30" s="89">
        <v>59956.194432989694</v>
      </c>
      <c r="M30" s="89">
        <v>92245.260927835028</v>
      </c>
      <c r="N30" s="89">
        <v>0</v>
      </c>
      <c r="O30" s="89">
        <v>0</v>
      </c>
      <c r="P30" s="8">
        <f t="shared" si="0"/>
        <v>11777201.455360828</v>
      </c>
    </row>
    <row r="31" spans="1:16" ht="18.95" customHeight="1" x14ac:dyDescent="0.2">
      <c r="A31" s="9">
        <f t="shared" si="1"/>
        <v>16</v>
      </c>
      <c r="B31" s="2" t="s">
        <v>196</v>
      </c>
      <c r="C31" s="96">
        <v>5.1249999999999997E-2</v>
      </c>
      <c r="D31" s="151" t="s">
        <v>188</v>
      </c>
      <c r="E31" s="78" t="s">
        <v>197</v>
      </c>
      <c r="F31" s="90">
        <v>750000000</v>
      </c>
      <c r="G31" s="89">
        <v>-6023863.6470588231</v>
      </c>
      <c r="H31" s="89">
        <v>5541477.8682352947</v>
      </c>
      <c r="I31" s="89">
        <v>0</v>
      </c>
      <c r="J31" s="8">
        <v>738434658.48470581</v>
      </c>
      <c r="K31" s="8">
        <v>38437500</v>
      </c>
      <c r="L31" s="89">
        <v>271423.51257731952</v>
      </c>
      <c r="M31" s="89">
        <v>249786.57597938142</v>
      </c>
      <c r="N31" s="89">
        <v>0</v>
      </c>
      <c r="O31" s="89">
        <v>0</v>
      </c>
      <c r="P31" s="8">
        <f t="shared" si="0"/>
        <v>38958710.088556699</v>
      </c>
    </row>
    <row r="32" spans="1:16" ht="18.95" customHeight="1" x14ac:dyDescent="0.2">
      <c r="A32" s="9">
        <f t="shared" si="1"/>
        <v>17</v>
      </c>
      <c r="B32" s="2" t="s">
        <v>198</v>
      </c>
      <c r="C32" s="87"/>
      <c r="D32" s="78"/>
      <c r="E32" s="78"/>
      <c r="F32" s="90">
        <v>0</v>
      </c>
      <c r="G32" s="89">
        <v>0</v>
      </c>
      <c r="H32" s="89">
        <v>1551450.8541176473</v>
      </c>
      <c r="I32" s="89">
        <v>101503.73058823531</v>
      </c>
      <c r="J32" s="8">
        <v>-1652954.5847058827</v>
      </c>
      <c r="K32" s="8">
        <v>0</v>
      </c>
      <c r="L32" s="89">
        <v>0</v>
      </c>
      <c r="M32" s="89">
        <v>455062.91463917529</v>
      </c>
      <c r="N32" s="89">
        <v>29770.784742268035</v>
      </c>
      <c r="O32" s="89">
        <v>0</v>
      </c>
      <c r="P32" s="8">
        <f t="shared" si="0"/>
        <v>484833.69938144332</v>
      </c>
    </row>
    <row r="33" spans="1:16" ht="18.95" customHeight="1" x14ac:dyDescent="0.2">
      <c r="A33" s="9">
        <f t="shared" si="1"/>
        <v>18</v>
      </c>
      <c r="B33" s="2" t="s">
        <v>199</v>
      </c>
      <c r="C33" s="87"/>
      <c r="D33" s="78"/>
      <c r="E33" s="78"/>
      <c r="F33" s="90">
        <v>0</v>
      </c>
      <c r="G33" s="89">
        <v>0</v>
      </c>
      <c r="H33" s="89">
        <v>441736.78333333373</v>
      </c>
      <c r="I33" s="89">
        <v>0</v>
      </c>
      <c r="J33" s="8">
        <v>-441736.78333333373</v>
      </c>
      <c r="K33" s="8">
        <v>0</v>
      </c>
      <c r="L33" s="89">
        <v>0</v>
      </c>
      <c r="M33" s="89">
        <v>200687.28522336765</v>
      </c>
      <c r="N33" s="89"/>
      <c r="O33" s="89">
        <v>0</v>
      </c>
      <c r="P33" s="8">
        <f t="shared" si="0"/>
        <v>200687.28522336765</v>
      </c>
    </row>
    <row r="34" spans="1:16" ht="18.95" customHeight="1" x14ac:dyDescent="0.2">
      <c r="A34" s="9">
        <f t="shared" si="1"/>
        <v>19</v>
      </c>
      <c r="B34" s="2" t="s">
        <v>200</v>
      </c>
      <c r="C34" s="87"/>
      <c r="D34" s="78"/>
      <c r="E34" s="78"/>
      <c r="F34" s="90">
        <v>0</v>
      </c>
      <c r="G34" s="89">
        <v>0</v>
      </c>
      <c r="H34" s="89">
        <v>0</v>
      </c>
      <c r="I34" s="89">
        <v>129607.26823529412</v>
      </c>
      <c r="J34" s="8">
        <v>-129607.26823529412</v>
      </c>
      <c r="K34" s="8">
        <v>0</v>
      </c>
      <c r="L34" s="89">
        <v>0</v>
      </c>
      <c r="M34" s="89">
        <v>0</v>
      </c>
      <c r="N34" s="89">
        <v>5821.3059793814682</v>
      </c>
      <c r="O34" s="89">
        <v>405555.55555555556</v>
      </c>
      <c r="P34" s="8">
        <f t="shared" si="0"/>
        <v>411376.86153493705</v>
      </c>
    </row>
    <row r="35" spans="1:16" ht="18.95" customHeight="1" x14ac:dyDescent="0.2">
      <c r="A35" s="9">
        <f t="shared" si="1"/>
        <v>20</v>
      </c>
      <c r="B35" s="2" t="s">
        <v>201</v>
      </c>
      <c r="C35" s="87"/>
      <c r="D35" s="78"/>
      <c r="E35" s="78"/>
      <c r="F35" s="90"/>
      <c r="G35" s="89"/>
      <c r="H35" s="89"/>
      <c r="I35" s="89"/>
      <c r="J35" s="8"/>
      <c r="K35" s="8">
        <v>-1428467.37</v>
      </c>
      <c r="L35" s="89">
        <v>0</v>
      </c>
      <c r="M35" s="89">
        <v>0</v>
      </c>
      <c r="N35" s="89">
        <v>0</v>
      </c>
      <c r="O35" s="89">
        <v>0</v>
      </c>
      <c r="P35" s="8">
        <f t="shared" si="0"/>
        <v>-1428467.37</v>
      </c>
    </row>
    <row r="36" spans="1:16" ht="18.95" customHeight="1" x14ac:dyDescent="0.2">
      <c r="A36" s="9">
        <f t="shared" si="1"/>
        <v>21</v>
      </c>
      <c r="B36" s="2" t="s">
        <v>202</v>
      </c>
      <c r="K36" s="8">
        <v>1400566.8072580644</v>
      </c>
      <c r="P36" s="8">
        <f t="shared" si="0"/>
        <v>1400566.8072580644</v>
      </c>
    </row>
    <row r="37" spans="1:16" ht="18.95" customHeight="1" x14ac:dyDescent="0.2">
      <c r="A37" s="9">
        <f t="shared" si="1"/>
        <v>22</v>
      </c>
      <c r="B37" s="2" t="s">
        <v>203</v>
      </c>
      <c r="G37" s="89"/>
      <c r="H37" s="89"/>
      <c r="I37" s="89"/>
      <c r="J37" s="8"/>
      <c r="K37" s="8">
        <v>982679.30806451547</v>
      </c>
      <c r="L37" s="89"/>
      <c r="M37" s="89"/>
      <c r="N37" s="89"/>
      <c r="O37" s="89"/>
      <c r="P37" s="8">
        <f>SUM(K37:O37)</f>
        <v>982679.30806451547</v>
      </c>
    </row>
    <row r="38" spans="1:16" ht="18.95" customHeight="1" x14ac:dyDescent="0.2">
      <c r="A38" s="9">
        <v>23</v>
      </c>
      <c r="B38" s="7" t="s">
        <v>264</v>
      </c>
      <c r="C38" s="19"/>
      <c r="D38" s="10"/>
      <c r="E38" s="10"/>
      <c r="F38" s="19"/>
      <c r="G38" s="19"/>
      <c r="H38" s="19"/>
      <c r="I38" s="19"/>
      <c r="J38" s="8">
        <v>61114297.966741487</v>
      </c>
      <c r="K38" s="8"/>
      <c r="L38" s="8"/>
      <c r="M38" s="8"/>
      <c r="N38" s="8"/>
      <c r="O38" s="8"/>
      <c r="P38" s="8"/>
    </row>
    <row r="39" spans="1:16" ht="18.95" customHeight="1" x14ac:dyDescent="0.2">
      <c r="A39" s="9">
        <v>24</v>
      </c>
    </row>
    <row r="40" spans="1:16" ht="18.95" customHeight="1" thickBot="1" x14ac:dyDescent="0.25">
      <c r="A40" s="9">
        <v>25</v>
      </c>
      <c r="B40" s="7"/>
      <c r="C40" s="8"/>
      <c r="D40" s="4" t="s">
        <v>204</v>
      </c>
      <c r="F40" s="37">
        <f>SUM(F14:F39)</f>
        <v>2350779405</v>
      </c>
      <c r="G40" s="37">
        <f t="shared" ref="G40:P40" si="2">SUM(G14:G39)</f>
        <v>-8212126.4088235293</v>
      </c>
      <c r="H40" s="37">
        <f t="shared" si="2"/>
        <v>16712525.514509806</v>
      </c>
      <c r="I40" s="37">
        <f t="shared" si="2"/>
        <v>8473445.8841176461</v>
      </c>
      <c r="J40" s="37">
        <f t="shared" si="2"/>
        <v>2378495605.1592908</v>
      </c>
      <c r="K40" s="37">
        <f t="shared" si="2"/>
        <v>93121971.878697589</v>
      </c>
      <c r="L40" s="37">
        <f t="shared" si="2"/>
        <v>538645.22041237121</v>
      </c>
      <c r="M40" s="37">
        <f>SUM(M14:M39)</f>
        <v>2174197.9508934706</v>
      </c>
      <c r="N40" s="37">
        <f t="shared" si="2"/>
        <v>530679.1518556698</v>
      </c>
      <c r="O40" s="37">
        <f t="shared" si="2"/>
        <v>1922545.2503805554</v>
      </c>
      <c r="P40" s="37">
        <f t="shared" si="2"/>
        <v>98288039.452239648</v>
      </c>
    </row>
    <row r="41" spans="1:16" ht="18.95" customHeight="1" thickTop="1" x14ac:dyDescent="0.2">
      <c r="A41" s="9">
        <v>26</v>
      </c>
      <c r="B41" s="7"/>
      <c r="D41" s="10"/>
      <c r="E41" s="10"/>
      <c r="F41" s="91"/>
    </row>
    <row r="42" spans="1:16" ht="18.95" customHeight="1" thickBot="1" x14ac:dyDescent="0.25">
      <c r="A42" s="9">
        <v>27</v>
      </c>
      <c r="B42" s="92"/>
      <c r="C42" s="8"/>
      <c r="D42" s="4" t="s">
        <v>250</v>
      </c>
      <c r="E42" s="10"/>
      <c r="F42" s="8"/>
      <c r="G42" s="8"/>
      <c r="H42" s="8"/>
      <c r="I42" s="8"/>
      <c r="J42" s="8"/>
      <c r="K42" s="8"/>
      <c r="L42" s="8"/>
      <c r="M42" s="8"/>
      <c r="N42" s="8"/>
      <c r="O42" s="8"/>
      <c r="P42" s="93">
        <f>P40/(J40-J38)</f>
        <v>4.2413408249725289E-2</v>
      </c>
    </row>
    <row r="43" spans="1:16" ht="18.95" customHeight="1" thickTop="1" x14ac:dyDescent="0.2">
      <c r="B43" s="92"/>
      <c r="D43" s="10"/>
      <c r="E43" s="10"/>
    </row>
    <row r="44" spans="1:16" ht="18.95" customHeight="1" x14ac:dyDescent="0.2">
      <c r="A44" s="9"/>
      <c r="B44" s="92"/>
      <c r="C44" s="8"/>
      <c r="D44" s="10"/>
      <c r="E44" s="10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8.95" customHeight="1" x14ac:dyDescent="0.2">
      <c r="B45" s="92"/>
      <c r="D45" s="10"/>
      <c r="E45" s="10"/>
    </row>
    <row r="46" spans="1:16" ht="18.95" customHeight="1" x14ac:dyDescent="0.2">
      <c r="A46" s="9"/>
      <c r="B46" s="92"/>
      <c r="C46" s="84"/>
      <c r="D46" s="10"/>
      <c r="E46" s="10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</row>
    <row r="47" spans="1:16" ht="18.95" customHeight="1" x14ac:dyDescent="0.2">
      <c r="D47" s="10"/>
      <c r="E47" s="10"/>
    </row>
    <row r="48" spans="1:16" ht="18.95" customHeight="1" x14ac:dyDescent="0.2">
      <c r="D48" s="10"/>
      <c r="E48" s="10"/>
    </row>
    <row r="49" spans="4:5" ht="18.95" customHeight="1" x14ac:dyDescent="0.2">
      <c r="D49" s="10"/>
      <c r="E49" s="10"/>
    </row>
    <row r="50" spans="4:5" ht="18.95" customHeight="1" x14ac:dyDescent="0.2"/>
    <row r="51" spans="4:5" ht="18.95" customHeight="1" x14ac:dyDescent="0.2"/>
    <row r="52" spans="4:5" ht="18.95" customHeight="1" x14ac:dyDescent="0.2"/>
    <row r="53" spans="4:5" ht="18.95" customHeight="1" x14ac:dyDescent="0.2"/>
    <row r="54" spans="4:5" ht="18.95" customHeight="1" x14ac:dyDescent="0.2"/>
    <row r="55" spans="4:5" ht="18.95" customHeight="1" x14ac:dyDescent="0.2"/>
    <row r="56" spans="4:5" ht="18.95" customHeight="1" x14ac:dyDescent="0.2"/>
    <row r="57" spans="4:5" ht="18.95" customHeight="1" x14ac:dyDescent="0.2"/>
    <row r="58" spans="4:5" ht="18.95" customHeight="1" x14ac:dyDescent="0.2"/>
    <row r="59" spans="4:5" ht="18.95" customHeight="1" x14ac:dyDescent="0.2"/>
    <row r="60" spans="4:5" ht="18.95" customHeight="1" x14ac:dyDescent="0.2"/>
    <row r="61" spans="4:5" ht="18.95" customHeight="1" x14ac:dyDescent="0.2"/>
    <row r="62" spans="4:5" ht="18.95" customHeight="1" x14ac:dyDescent="0.2"/>
    <row r="63" spans="4:5" ht="18.95" customHeight="1" x14ac:dyDescent="0.2"/>
    <row r="64" spans="4:5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</sheetData>
  <mergeCells count="6">
    <mergeCell ref="K11:P11"/>
    <mergeCell ref="A4:P4"/>
    <mergeCell ref="A5:P5"/>
    <mergeCell ref="A6:P6"/>
    <mergeCell ref="A7:P7"/>
    <mergeCell ref="A8:P8"/>
  </mergeCells>
  <pageMargins left="0.5" right="0.5" top="1" bottom="0.75" header="0.3" footer="0.3"/>
  <pageSetup scale="4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E192"/>
  <sheetViews>
    <sheetView zoomScaleNormal="100" workbookViewId="0">
      <selection activeCell="A7" sqref="A7:E7"/>
    </sheetView>
  </sheetViews>
  <sheetFormatPr defaultRowHeight="12.75" x14ac:dyDescent="0.2"/>
  <cols>
    <col min="1" max="1" width="6.85546875" style="5" customWidth="1"/>
    <col min="2" max="2" width="59.42578125" style="5" customWidth="1"/>
    <col min="3" max="3" width="14.42578125" style="5" customWidth="1"/>
    <col min="4" max="4" width="18.85546875" style="5" customWidth="1"/>
    <col min="5" max="5" width="15.7109375" style="5" customWidth="1"/>
    <col min="6" max="6" width="1.85546875" style="5" customWidth="1"/>
    <col min="7" max="7" width="9.140625" style="5" customWidth="1"/>
    <col min="8" max="16384" width="9.140625" style="5"/>
  </cols>
  <sheetData>
    <row r="1" spans="1:5" s="1" customFormat="1" ht="20.100000000000001" customHeight="1" x14ac:dyDescent="0.2">
      <c r="A1" s="150"/>
      <c r="B1" s="150"/>
      <c r="C1" s="150"/>
      <c r="D1" s="150"/>
      <c r="E1" s="3" t="s">
        <v>256</v>
      </c>
    </row>
    <row r="2" spans="1:5" s="1" customFormat="1" ht="20.100000000000001" customHeight="1" x14ac:dyDescent="0.2">
      <c r="A2" s="152"/>
      <c r="B2" s="152"/>
      <c r="C2" s="152"/>
      <c r="D2" s="152"/>
      <c r="E2" s="3" t="s">
        <v>285</v>
      </c>
    </row>
    <row r="3" spans="1:5" s="1" customFormat="1" ht="20.100000000000001" customHeight="1" x14ac:dyDescent="0.2">
      <c r="A3" s="150"/>
      <c r="B3" s="150"/>
      <c r="C3" s="150"/>
      <c r="D3" s="150"/>
      <c r="E3" s="3" t="s">
        <v>263</v>
      </c>
    </row>
    <row r="4" spans="1:5" s="1" customFormat="1" ht="20.100000000000001" customHeight="1" x14ac:dyDescent="0.2">
      <c r="A4" s="158" t="s">
        <v>0</v>
      </c>
      <c r="B4" s="159"/>
      <c r="C4" s="159"/>
      <c r="D4" s="159"/>
      <c r="E4" s="159"/>
    </row>
    <row r="5" spans="1:5" s="1" customFormat="1" ht="20.100000000000001" customHeight="1" x14ac:dyDescent="0.2">
      <c r="A5" s="158" t="s">
        <v>253</v>
      </c>
      <c r="B5" s="159"/>
      <c r="C5" s="159"/>
      <c r="D5" s="159"/>
      <c r="E5" s="159"/>
    </row>
    <row r="6" spans="1:5" s="1" customFormat="1" ht="20.100000000000001" customHeight="1" x14ac:dyDescent="0.2">
      <c r="A6" s="159" t="s">
        <v>257</v>
      </c>
      <c r="B6" s="159"/>
      <c r="C6" s="159"/>
      <c r="D6" s="159"/>
      <c r="E6" s="159"/>
    </row>
    <row r="7" spans="1:5" s="1" customFormat="1" ht="20.100000000000001" customHeight="1" x14ac:dyDescent="0.2">
      <c r="A7" s="158" t="s">
        <v>267</v>
      </c>
      <c r="B7" s="159"/>
      <c r="C7" s="159"/>
      <c r="D7" s="159"/>
      <c r="E7" s="159"/>
    </row>
    <row r="8" spans="1:5" s="1" customFormat="1" ht="20.100000000000001" customHeight="1" x14ac:dyDescent="0.2">
      <c r="A8" s="150"/>
      <c r="B8" s="150"/>
      <c r="C8" s="150"/>
      <c r="D8" s="150"/>
      <c r="E8" s="150"/>
    </row>
    <row r="9" spans="1:5" s="1" customFormat="1" ht="18.75" customHeight="1" x14ac:dyDescent="0.2"/>
    <row r="10" spans="1:5" s="1" customFormat="1" ht="7.5" customHeight="1" x14ac:dyDescent="0.2">
      <c r="A10" s="20"/>
      <c r="B10" s="20"/>
      <c r="C10" s="20"/>
      <c r="D10" s="20"/>
      <c r="E10" s="20"/>
    </row>
    <row r="11" spans="1:5" ht="24" customHeight="1" x14ac:dyDescent="0.2">
      <c r="A11" s="21" t="s">
        <v>3</v>
      </c>
      <c r="B11" s="21" t="s">
        <v>1</v>
      </c>
      <c r="C11" s="21"/>
      <c r="D11" s="21" t="s">
        <v>2</v>
      </c>
      <c r="E11" s="21" t="s">
        <v>6</v>
      </c>
    </row>
    <row r="12" spans="1:5" ht="18.95" customHeight="1" x14ac:dyDescent="0.2">
      <c r="A12" s="6"/>
      <c r="B12" s="11"/>
      <c r="C12" s="12"/>
      <c r="D12" s="12"/>
      <c r="E12" s="12"/>
    </row>
    <row r="13" spans="1:5" ht="18.95" customHeight="1" x14ac:dyDescent="0.2">
      <c r="A13" s="6">
        <v>1</v>
      </c>
      <c r="B13" s="7" t="s">
        <v>7</v>
      </c>
      <c r="C13" s="8"/>
      <c r="D13" s="153">
        <v>1</v>
      </c>
      <c r="E13" s="153">
        <v>1</v>
      </c>
    </row>
    <row r="14" spans="1:5" ht="18.95" customHeight="1" x14ac:dyDescent="0.2">
      <c r="A14" s="9"/>
      <c r="B14" s="7"/>
      <c r="C14" s="8"/>
      <c r="D14" s="153"/>
      <c r="E14" s="153"/>
    </row>
    <row r="15" spans="1:5" ht="18.95" customHeight="1" x14ac:dyDescent="0.2">
      <c r="A15" s="9">
        <v>2</v>
      </c>
      <c r="B15" s="7" t="s">
        <v>8</v>
      </c>
      <c r="C15" s="153"/>
      <c r="D15" s="153">
        <v>3.2000000000000002E-3</v>
      </c>
      <c r="E15" s="153">
        <f>D15</f>
        <v>3.2000000000000002E-3</v>
      </c>
    </row>
    <row r="16" spans="1:5" ht="18.95" customHeight="1" x14ac:dyDescent="0.2">
      <c r="A16" s="9"/>
      <c r="B16" s="7"/>
      <c r="C16" s="8"/>
      <c r="D16" s="153"/>
      <c r="E16" s="153"/>
    </row>
    <row r="17" spans="1:5" ht="18.95" customHeight="1" x14ac:dyDescent="0.2">
      <c r="A17" s="9">
        <v>3</v>
      </c>
      <c r="B17" s="7" t="s">
        <v>9</v>
      </c>
      <c r="D17" s="154">
        <v>1.941E-3</v>
      </c>
      <c r="E17" s="154">
        <f>D17</f>
        <v>1.941E-3</v>
      </c>
    </row>
    <row r="18" spans="1:5" ht="18.95" customHeight="1" x14ac:dyDescent="0.2">
      <c r="A18" s="9"/>
      <c r="B18" s="16"/>
      <c r="C18" s="8"/>
      <c r="D18" s="153"/>
      <c r="E18" s="153"/>
    </row>
    <row r="19" spans="1:5" ht="18.95" customHeight="1" x14ac:dyDescent="0.2">
      <c r="A19" s="9">
        <v>4</v>
      </c>
      <c r="B19" s="7" t="s">
        <v>258</v>
      </c>
      <c r="C19" s="8"/>
      <c r="D19" s="153">
        <f>D13-D15-D17</f>
        <v>0.99485900000000005</v>
      </c>
      <c r="E19" s="153">
        <f>E13-E15-E17</f>
        <v>0.99485900000000005</v>
      </c>
    </row>
    <row r="20" spans="1:5" ht="18.95" customHeight="1" x14ac:dyDescent="0.2">
      <c r="A20" s="9"/>
      <c r="B20" s="40"/>
      <c r="C20" s="8"/>
      <c r="D20" s="153"/>
      <c r="E20" s="153"/>
    </row>
    <row r="21" spans="1:5" ht="18.95" customHeight="1" x14ac:dyDescent="0.2">
      <c r="A21" s="9">
        <v>5</v>
      </c>
      <c r="B21" s="40" t="s">
        <v>259</v>
      </c>
      <c r="C21" s="24">
        <v>0.06</v>
      </c>
      <c r="D21" s="153">
        <f>D19*C21</f>
        <v>5.9691540000000001E-2</v>
      </c>
      <c r="E21" s="154">
        <f>D21</f>
        <v>5.9691540000000001E-2</v>
      </c>
    </row>
    <row r="22" spans="1:5" ht="18.95" customHeight="1" x14ac:dyDescent="0.2">
      <c r="A22" s="9"/>
      <c r="B22" s="40"/>
      <c r="C22" s="8"/>
      <c r="D22" s="153"/>
      <c r="E22" s="153"/>
    </row>
    <row r="23" spans="1:5" ht="18.95" customHeight="1" x14ac:dyDescent="0.2">
      <c r="A23" s="9">
        <v>6</v>
      </c>
      <c r="B23" s="7" t="s">
        <v>260</v>
      </c>
      <c r="D23" s="153"/>
      <c r="E23" s="153">
        <f>E19-E21</f>
        <v>0.93516746000000006</v>
      </c>
    </row>
    <row r="24" spans="1:5" ht="18.95" customHeight="1" x14ac:dyDescent="0.2">
      <c r="A24" s="9"/>
      <c r="B24" s="41"/>
      <c r="C24" s="8"/>
      <c r="D24" s="153"/>
      <c r="E24" s="153"/>
    </row>
    <row r="25" spans="1:5" ht="18.95" customHeight="1" x14ac:dyDescent="0.2">
      <c r="A25" s="9">
        <v>7</v>
      </c>
      <c r="B25" s="40" t="s">
        <v>277</v>
      </c>
      <c r="C25" s="24">
        <v>0.35</v>
      </c>
      <c r="D25" s="155"/>
      <c r="E25" s="154">
        <f>E23*C25</f>
        <v>0.32730861100000003</v>
      </c>
    </row>
    <row r="26" spans="1:5" ht="18.95" customHeight="1" x14ac:dyDescent="0.2">
      <c r="A26" s="9"/>
      <c r="B26" s="41"/>
      <c r="C26" s="8"/>
      <c r="D26" s="153"/>
      <c r="E26" s="153"/>
    </row>
    <row r="27" spans="1:5" ht="18.95" customHeight="1" thickBot="1" x14ac:dyDescent="0.25">
      <c r="A27" s="9">
        <v>8</v>
      </c>
      <c r="B27" s="40" t="s">
        <v>262</v>
      </c>
      <c r="E27" s="156">
        <f>E21+E25</f>
        <v>0.38700015100000001</v>
      </c>
    </row>
    <row r="28" spans="1:5" ht="18.95" customHeight="1" thickTop="1" x14ac:dyDescent="0.2"/>
    <row r="29" spans="1:5" ht="18.95" customHeight="1" x14ac:dyDescent="0.2">
      <c r="E29" s="157"/>
    </row>
    <row r="30" spans="1:5" ht="18.95" customHeight="1" x14ac:dyDescent="0.2">
      <c r="E30" s="157"/>
    </row>
    <row r="31" spans="1:5" ht="18.95" customHeight="1" x14ac:dyDescent="0.2">
      <c r="E31" s="153"/>
    </row>
    <row r="32" spans="1:5" ht="18.95" customHeight="1" x14ac:dyDescent="0.2">
      <c r="E32" s="153"/>
    </row>
    <row r="33" spans="5:5" ht="18.95" customHeight="1" x14ac:dyDescent="0.2">
      <c r="E33" s="153"/>
    </row>
    <row r="34" spans="5:5" ht="18.95" customHeight="1" x14ac:dyDescent="0.2">
      <c r="E34" s="153"/>
    </row>
    <row r="35" spans="5:5" ht="18.95" customHeight="1" x14ac:dyDescent="0.2"/>
    <row r="36" spans="5:5" ht="18.95" customHeight="1" x14ac:dyDescent="0.2"/>
    <row r="37" spans="5:5" ht="18.95" customHeight="1" x14ac:dyDescent="0.2"/>
    <row r="38" spans="5:5" ht="18.95" customHeight="1" x14ac:dyDescent="0.2"/>
    <row r="39" spans="5:5" ht="18.95" customHeight="1" x14ac:dyDescent="0.2"/>
    <row r="40" spans="5:5" ht="18.95" customHeight="1" x14ac:dyDescent="0.2"/>
    <row r="41" spans="5:5" ht="18.95" customHeight="1" x14ac:dyDescent="0.2"/>
    <row r="42" spans="5:5" ht="18.95" customHeight="1" x14ac:dyDescent="0.2"/>
    <row r="43" spans="5:5" ht="18.95" customHeight="1" x14ac:dyDescent="0.2"/>
    <row r="44" spans="5:5" ht="18.95" customHeight="1" x14ac:dyDescent="0.2"/>
    <row r="45" spans="5:5" ht="18.95" customHeight="1" x14ac:dyDescent="0.2"/>
    <row r="46" spans="5:5" ht="18.95" customHeight="1" x14ac:dyDescent="0.2"/>
    <row r="47" spans="5:5" ht="18.95" customHeight="1" x14ac:dyDescent="0.2"/>
    <row r="48" spans="5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</sheetData>
  <mergeCells count="4">
    <mergeCell ref="A4:E4"/>
    <mergeCell ref="A5:E5"/>
    <mergeCell ref="A6:E6"/>
    <mergeCell ref="A7:E7"/>
  </mergeCells>
  <pageMargins left="0.95" right="0.5" top="0.75" bottom="0.75" header="0.3" footer="0.3"/>
  <pageSetup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E192"/>
  <sheetViews>
    <sheetView zoomScaleNormal="100" workbookViewId="0">
      <selection activeCell="E8" sqref="E8"/>
    </sheetView>
  </sheetViews>
  <sheetFormatPr defaultRowHeight="12.75" x14ac:dyDescent="0.2"/>
  <cols>
    <col min="1" max="1" width="6.85546875" style="5" customWidth="1"/>
    <col min="2" max="2" width="59.42578125" style="5" customWidth="1"/>
    <col min="3" max="3" width="14.42578125" style="5" customWidth="1"/>
    <col min="4" max="4" width="18.85546875" style="5" customWidth="1"/>
    <col min="5" max="5" width="15.7109375" style="5" customWidth="1"/>
    <col min="6" max="6" width="1.85546875" style="5" customWidth="1"/>
    <col min="7" max="7" width="9.140625" style="5" customWidth="1"/>
    <col min="8" max="16384" width="9.140625" style="5"/>
  </cols>
  <sheetData>
    <row r="1" spans="1:5" s="1" customFormat="1" ht="20.100000000000001" customHeight="1" x14ac:dyDescent="0.2">
      <c r="A1" s="150"/>
      <c r="B1" s="150"/>
      <c r="C1" s="150"/>
      <c r="D1" s="150"/>
      <c r="E1" s="3" t="s">
        <v>256</v>
      </c>
    </row>
    <row r="2" spans="1:5" s="1" customFormat="1" ht="20.100000000000001" customHeight="1" x14ac:dyDescent="0.2">
      <c r="A2" s="152"/>
      <c r="B2" s="152"/>
      <c r="C2" s="152"/>
      <c r="D2" s="152"/>
      <c r="E2" s="3" t="s">
        <v>293</v>
      </c>
    </row>
    <row r="3" spans="1:5" s="1" customFormat="1" ht="20.100000000000001" customHeight="1" x14ac:dyDescent="0.2">
      <c r="A3" s="150"/>
      <c r="B3" s="150"/>
      <c r="C3" s="150"/>
      <c r="D3" s="150"/>
      <c r="E3" s="3" t="s">
        <v>263</v>
      </c>
    </row>
    <row r="4" spans="1:5" s="1" customFormat="1" ht="20.100000000000001" customHeight="1" x14ac:dyDescent="0.2">
      <c r="A4" s="158" t="s">
        <v>0</v>
      </c>
      <c r="B4" s="159"/>
      <c r="C4" s="159"/>
      <c r="D4" s="159"/>
      <c r="E4" s="159"/>
    </row>
    <row r="5" spans="1:5" s="1" customFormat="1" ht="20.100000000000001" customHeight="1" x14ac:dyDescent="0.2">
      <c r="A5" s="158" t="s">
        <v>253</v>
      </c>
      <c r="B5" s="159"/>
      <c r="C5" s="159"/>
      <c r="D5" s="159"/>
      <c r="E5" s="159"/>
    </row>
    <row r="6" spans="1:5" s="1" customFormat="1" ht="20.100000000000001" customHeight="1" x14ac:dyDescent="0.2">
      <c r="A6" s="159" t="s">
        <v>257</v>
      </c>
      <c r="B6" s="159"/>
      <c r="C6" s="159"/>
      <c r="D6" s="159"/>
      <c r="E6" s="159"/>
    </row>
    <row r="7" spans="1:5" s="1" customFormat="1" ht="20.100000000000001" customHeight="1" x14ac:dyDescent="0.2">
      <c r="A7" s="158" t="s">
        <v>268</v>
      </c>
      <c r="B7" s="159"/>
      <c r="C7" s="159"/>
      <c r="D7" s="159"/>
      <c r="E7" s="159"/>
    </row>
    <row r="8" spans="1:5" s="1" customFormat="1" ht="20.100000000000001" customHeight="1" x14ac:dyDescent="0.2">
      <c r="A8" s="150"/>
      <c r="B8" s="150"/>
      <c r="C8" s="150"/>
      <c r="D8" s="150"/>
      <c r="E8" s="150"/>
    </row>
    <row r="9" spans="1:5" s="1" customFormat="1" ht="18.75" customHeight="1" x14ac:dyDescent="0.2"/>
    <row r="10" spans="1:5" s="1" customFormat="1" ht="7.5" customHeight="1" x14ac:dyDescent="0.2">
      <c r="A10" s="20"/>
      <c r="B10" s="20"/>
      <c r="C10" s="20"/>
      <c r="D10" s="20"/>
      <c r="E10" s="20"/>
    </row>
    <row r="11" spans="1:5" ht="24" customHeight="1" x14ac:dyDescent="0.2">
      <c r="A11" s="21" t="s">
        <v>3</v>
      </c>
      <c r="B11" s="21" t="s">
        <v>1</v>
      </c>
      <c r="C11" s="21"/>
      <c r="D11" s="21" t="s">
        <v>2</v>
      </c>
      <c r="E11" s="21" t="s">
        <v>6</v>
      </c>
    </row>
    <row r="12" spans="1:5" ht="18.95" customHeight="1" x14ac:dyDescent="0.2">
      <c r="A12" s="6"/>
      <c r="B12" s="11"/>
      <c r="C12" s="12"/>
      <c r="D12" s="12"/>
      <c r="E12" s="12"/>
    </row>
    <row r="13" spans="1:5" ht="18.95" customHeight="1" x14ac:dyDescent="0.2">
      <c r="A13" s="6">
        <v>1</v>
      </c>
      <c r="B13" s="7" t="s">
        <v>7</v>
      </c>
      <c r="C13" s="8"/>
      <c r="D13" s="153">
        <v>1</v>
      </c>
      <c r="E13" s="153">
        <v>1</v>
      </c>
    </row>
    <row r="14" spans="1:5" ht="18.95" customHeight="1" x14ac:dyDescent="0.2">
      <c r="A14" s="9"/>
      <c r="B14" s="7"/>
      <c r="C14" s="8"/>
      <c r="D14" s="153"/>
      <c r="E14" s="153"/>
    </row>
    <row r="15" spans="1:5" ht="18.95" customHeight="1" x14ac:dyDescent="0.2">
      <c r="A15" s="9">
        <v>2</v>
      </c>
      <c r="B15" s="7" t="s">
        <v>8</v>
      </c>
      <c r="C15" s="153"/>
      <c r="D15" s="153">
        <v>3.2000000000000002E-3</v>
      </c>
      <c r="E15" s="153">
        <f>D15</f>
        <v>3.2000000000000002E-3</v>
      </c>
    </row>
    <row r="16" spans="1:5" ht="18.95" customHeight="1" x14ac:dyDescent="0.2">
      <c r="A16" s="9"/>
      <c r="B16" s="7"/>
      <c r="C16" s="8"/>
      <c r="D16" s="153"/>
      <c r="E16" s="153"/>
    </row>
    <row r="17" spans="1:5" ht="18.95" customHeight="1" x14ac:dyDescent="0.2">
      <c r="A17" s="9">
        <v>3</v>
      </c>
      <c r="B17" s="7" t="s">
        <v>9</v>
      </c>
      <c r="D17" s="154">
        <v>1.941E-3</v>
      </c>
      <c r="E17" s="154">
        <f>D17</f>
        <v>1.941E-3</v>
      </c>
    </row>
    <row r="18" spans="1:5" ht="18.95" customHeight="1" x14ac:dyDescent="0.2">
      <c r="A18" s="9"/>
      <c r="B18" s="16"/>
      <c r="C18" s="8"/>
      <c r="D18" s="153"/>
      <c r="E18" s="153"/>
    </row>
    <row r="19" spans="1:5" ht="18.95" customHeight="1" x14ac:dyDescent="0.2">
      <c r="A19" s="9">
        <v>4</v>
      </c>
      <c r="B19" s="7" t="s">
        <v>258</v>
      </c>
      <c r="C19" s="8"/>
      <c r="D19" s="153">
        <f>D13-D15-D17</f>
        <v>0.99485900000000005</v>
      </c>
      <c r="E19" s="153">
        <f>E13-E15-E17</f>
        <v>0.99485900000000005</v>
      </c>
    </row>
    <row r="20" spans="1:5" ht="18.95" customHeight="1" x14ac:dyDescent="0.2">
      <c r="A20" s="9"/>
      <c r="B20" s="40"/>
      <c r="C20" s="8"/>
      <c r="D20" s="153"/>
      <c r="E20" s="153"/>
    </row>
    <row r="21" spans="1:5" ht="18.95" customHeight="1" x14ac:dyDescent="0.2">
      <c r="A21" s="9">
        <v>5</v>
      </c>
      <c r="B21" s="40" t="s">
        <v>259</v>
      </c>
      <c r="C21" s="24">
        <v>0.06</v>
      </c>
      <c r="D21" s="153">
        <f>D19*C21</f>
        <v>5.9691540000000001E-2</v>
      </c>
      <c r="E21" s="154">
        <f>D21</f>
        <v>5.9691540000000001E-2</v>
      </c>
    </row>
    <row r="22" spans="1:5" ht="18.95" customHeight="1" x14ac:dyDescent="0.2">
      <c r="A22" s="9"/>
      <c r="B22" s="40"/>
      <c r="C22" s="8"/>
      <c r="D22" s="153"/>
      <c r="E22" s="153"/>
    </row>
    <row r="23" spans="1:5" ht="18.95" customHeight="1" x14ac:dyDescent="0.2">
      <c r="A23" s="9">
        <v>6</v>
      </c>
      <c r="B23" s="7" t="s">
        <v>260</v>
      </c>
      <c r="D23" s="153"/>
      <c r="E23" s="153">
        <f>E19-E21</f>
        <v>0.93516746000000006</v>
      </c>
    </row>
    <row r="24" spans="1:5" ht="18.95" customHeight="1" x14ac:dyDescent="0.2">
      <c r="A24" s="9"/>
      <c r="B24" s="41"/>
      <c r="C24" s="8"/>
      <c r="D24" s="153"/>
      <c r="E24" s="153"/>
    </row>
    <row r="25" spans="1:5" ht="18.95" customHeight="1" x14ac:dyDescent="0.2">
      <c r="A25" s="9">
        <v>7</v>
      </c>
      <c r="B25" s="40" t="s">
        <v>261</v>
      </c>
      <c r="C25" s="24">
        <v>0.21</v>
      </c>
      <c r="D25" s="155"/>
      <c r="E25" s="154">
        <f>E23*C25</f>
        <v>0.19638516659999999</v>
      </c>
    </row>
    <row r="26" spans="1:5" ht="18.95" customHeight="1" x14ac:dyDescent="0.2">
      <c r="A26" s="9"/>
      <c r="B26" s="41"/>
      <c r="C26" s="8"/>
      <c r="D26" s="153"/>
      <c r="E26" s="153"/>
    </row>
    <row r="27" spans="1:5" ht="18.95" customHeight="1" thickBot="1" x14ac:dyDescent="0.25">
      <c r="A27" s="9">
        <v>8</v>
      </c>
      <c r="B27" s="40" t="s">
        <v>262</v>
      </c>
      <c r="E27" s="156">
        <f>E21+E25</f>
        <v>0.25607670659999998</v>
      </c>
    </row>
    <row r="28" spans="1:5" ht="18.95" customHeight="1" thickTop="1" x14ac:dyDescent="0.2"/>
    <row r="29" spans="1:5" ht="18.95" customHeight="1" x14ac:dyDescent="0.2">
      <c r="E29" s="157"/>
    </row>
    <row r="30" spans="1:5" ht="18.95" customHeight="1" x14ac:dyDescent="0.2">
      <c r="E30" s="157"/>
    </row>
    <row r="31" spans="1:5" ht="18.95" customHeight="1" x14ac:dyDescent="0.2">
      <c r="E31" s="153"/>
    </row>
    <row r="32" spans="1:5" ht="18.95" customHeight="1" x14ac:dyDescent="0.2">
      <c r="E32" s="153"/>
    </row>
    <row r="33" spans="5:5" ht="18.95" customHeight="1" x14ac:dyDescent="0.2">
      <c r="E33" s="153"/>
    </row>
    <row r="34" spans="5:5" ht="18.95" customHeight="1" x14ac:dyDescent="0.2">
      <c r="E34" s="153"/>
    </row>
    <row r="35" spans="5:5" ht="18.95" customHeight="1" x14ac:dyDescent="0.2"/>
    <row r="36" spans="5:5" ht="18.95" customHeight="1" x14ac:dyDescent="0.2"/>
    <row r="37" spans="5:5" ht="18.95" customHeight="1" x14ac:dyDescent="0.2"/>
    <row r="38" spans="5:5" ht="18.95" customHeight="1" x14ac:dyDescent="0.2"/>
    <row r="39" spans="5:5" ht="18.95" customHeight="1" x14ac:dyDescent="0.2"/>
    <row r="40" spans="5:5" ht="18.95" customHeight="1" x14ac:dyDescent="0.2"/>
    <row r="41" spans="5:5" ht="18.95" customHeight="1" x14ac:dyDescent="0.2"/>
    <row r="42" spans="5:5" ht="18.95" customHeight="1" x14ac:dyDescent="0.2"/>
    <row r="43" spans="5:5" ht="18.95" customHeight="1" x14ac:dyDescent="0.2"/>
    <row r="44" spans="5:5" ht="18.95" customHeight="1" x14ac:dyDescent="0.2"/>
    <row r="45" spans="5:5" ht="18.95" customHeight="1" x14ac:dyDescent="0.2"/>
    <row r="46" spans="5:5" ht="18.95" customHeight="1" x14ac:dyDescent="0.2"/>
    <row r="47" spans="5:5" ht="18.95" customHeight="1" x14ac:dyDescent="0.2"/>
    <row r="48" spans="5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</sheetData>
  <mergeCells count="4">
    <mergeCell ref="A4:E4"/>
    <mergeCell ref="A5:E5"/>
    <mergeCell ref="A6:E6"/>
    <mergeCell ref="A7:E7"/>
  </mergeCells>
  <pageMargins left="0.95" right="0.5" top="0.75" bottom="0.75" header="0.3" footer="0.3"/>
  <pageSetup scale="7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A65E7599FF547971B22BAED25D99A" ma:contentTypeVersion="22" ma:contentTypeDescription="Create a new document." ma:contentTypeScope="" ma:versionID="b174c1499cc8f9bb7711ff0e46de0e04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b151a8680e131b47c3a0a7c4e678ac38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18" ma:format="Dropdown" ma:internalName="Year">
      <xsd:simpleType>
        <xsd:restriction base="dms:Choice">
          <xsd:enumeration value="2018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Supplemental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estimony Only"/>
          <xsd:enumeration value="13 - Intervenor Testimony"/>
          <xsd:enumeration value="14 - Rebuttal Testimony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2018</Year>
    <Review_x0020_Case_x0020_Doc_x0020_Types xmlns="65bfb563-8fe2-4d34-a09f-38a217d8feea">04 - Supplemental Data Request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KU</Value>
    </Company>
  </documentManagement>
</p:properties>
</file>

<file path=customXml/itemProps1.xml><?xml version="1.0" encoding="utf-8"?>
<ds:datastoreItem xmlns:ds="http://schemas.openxmlformats.org/officeDocument/2006/customXml" ds:itemID="{A37D4350-80D9-47EC-9923-881B1495411E}"/>
</file>

<file path=customXml/itemProps2.xml><?xml version="1.0" encoding="utf-8"?>
<ds:datastoreItem xmlns:ds="http://schemas.openxmlformats.org/officeDocument/2006/customXml" ds:itemID="{BF61F19C-5A13-44AF-A073-113829533E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BFCBAC-AD00-4CAB-924D-E517ADEE521D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2ad705b9-adad-42ba-803b-2580de5ca47a"/>
    <ds:schemaRef ds:uri="f789fa03-9022-4931-acb2-79f11ac92edf"/>
    <ds:schemaRef ds:uri="65bfb563-8fe2-4d34-a09f-38a217d8feea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SUMMARY (PG1)</vt:lpstr>
      <vt:lpstr>Cost of Capital (PG2) (35%)</vt:lpstr>
      <vt:lpstr>Cost of Capital (PG3) (21%)</vt:lpstr>
      <vt:lpstr>Cost of Capital (PGS4-5)</vt:lpstr>
      <vt:lpstr>ST Debt (PG6)</vt:lpstr>
      <vt:lpstr>LT Debt (PG7)</vt:lpstr>
      <vt:lpstr>Composite Tax Rate (PG8) (35%)</vt:lpstr>
      <vt:lpstr>Composite Tax Rate (PG9) (21%)</vt:lpstr>
      <vt:lpstr>SUPPORT&gt;&gt;&gt;</vt:lpstr>
      <vt:lpstr>TY TARIFF BILLING</vt:lpstr>
      <vt:lpstr>TY KWH-RS vs Non-RS</vt:lpstr>
      <vt:lpstr>Excess DIT</vt:lpstr>
      <vt:lpstr>'Cost of Capital (PG2) (35%)'!Print_Area</vt:lpstr>
      <vt:lpstr>'Cost of Capital (PG3) (21%)'!Print_Area</vt:lpstr>
      <vt:lpstr>'Cost of Capital (PGS4-5)'!Print_Area</vt:lpstr>
      <vt:lpstr>'SUMMARY (PG1)'!Print_Area</vt:lpstr>
      <vt:lpstr>'TY TARIFF BILLING'!Print_Area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2014-12-04T19:33:26Z</dcterms:created>
  <dcterms:modified xsi:type="dcterms:W3CDTF">2018-04-18T16:55:36Z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0x010100DF8A65E7599FF547971B22BAED25D99A</vt:lpwstr>
  </property>
</Properties>
</file>