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90" windowWidth="10575" windowHeight="6165" tabRatio="888" activeTab="0"/>
  </bookViews>
  <sheets>
    <sheet name="Testimony Summary" sheetId="1" r:id="rId1"/>
    <sheet name="Input" sheetId="2" r:id="rId2"/>
    <sheet name="KU - Summary" sheetId="3" r:id="rId3"/>
    <sheet name="KU - Project 36" sheetId="4" r:id="rId4"/>
    <sheet name="Cash Flows-KU" sheetId="5" r:id="rId5"/>
    <sheet name="Depreciation" sheetId="6" r:id="rId6"/>
    <sheet name="KU Depreciation Rate" sheetId="7" r:id="rId7"/>
  </sheets>
  <definedNames>
    <definedName name="_xlnm.Print_Area" localSheetId="4">'Cash Flows-KU'!$A$1:$G$21</definedName>
    <definedName name="_xlnm.Print_Area" localSheetId="5">'Depreciation'!$A$1:$E$58</definedName>
    <definedName name="_xlnm.Print_Area" localSheetId="3">'KU - Project 36'!$C$5:$G$88</definedName>
    <definedName name="_xlnm.Print_Area" localSheetId="2">'KU - Summary'!$C$5:$G$41</definedName>
    <definedName name="_xlnm.Print_Titles" localSheetId="3">'KU - Project 36'!$B:$B,'KU - Project 36'!$1:$4</definedName>
    <definedName name="_xlnm.Print_Titles" localSheetId="2">'KU - Summary'!$A:$B,'KU - Summary'!$1:$4</definedName>
  </definedNames>
  <calcPr fullCalcOnLoad="1"/>
</workbook>
</file>

<file path=xl/comments2.xml><?xml version="1.0" encoding="utf-8"?>
<comments xmlns="http://schemas.openxmlformats.org/spreadsheetml/2006/main">
  <authors>
    <author>e026206</author>
    <author>Andrea Schroeder</author>
  </authors>
  <commentList>
    <comment ref="A9" authorId="0">
      <text>
        <r>
          <rPr>
            <sz val="8"/>
            <rFont val="Tahoma"/>
            <family val="2"/>
          </rPr>
          <t>UPDATED Capital Structure as of February 28, 2017 - from ECR two year review DR1 attachment to Q-7</t>
        </r>
      </text>
    </comment>
    <comment ref="A3" authorId="1">
      <text>
        <r>
          <rPr>
            <b/>
            <sz val="9"/>
            <rFont val="Tahoma"/>
            <family val="2"/>
          </rPr>
          <t>Andrea Schroeder:</t>
        </r>
        <r>
          <rPr>
            <sz val="9"/>
            <rFont val="Tahoma"/>
            <family val="2"/>
          </rPr>
          <t xml:space="preserve">
Reflects 2018 Fed tax rate of 21% and State Section 199/Production tax credit included.
</t>
        </r>
      </text>
    </comment>
  </commentList>
</comments>
</file>

<file path=xl/comments4.xml><?xml version="1.0" encoding="utf-8"?>
<comments xmlns="http://schemas.openxmlformats.org/spreadsheetml/2006/main">
  <authors>
    <author>Knoy, Jason</author>
  </authors>
  <commentList>
    <comment ref="B65" authorId="0">
      <text>
        <r>
          <rPr>
            <b/>
            <sz val="9"/>
            <rFont val="Tahoma"/>
            <family val="2"/>
          </rPr>
          <t>Knoy, Jason:</t>
        </r>
        <r>
          <rPr>
            <sz val="9"/>
            <rFont val="Tahoma"/>
            <family val="2"/>
          </rPr>
          <t xml:space="preserve">
Formula was changed for CCR Projects to allow for 100% annual expenditures in tax expense total</t>
        </r>
      </text>
    </comment>
  </commentList>
</comments>
</file>

<file path=xl/sharedStrings.xml><?xml version="1.0" encoding="utf-8"?>
<sst xmlns="http://schemas.openxmlformats.org/spreadsheetml/2006/main" count="355" uniqueCount="286">
  <si>
    <t>Book Depreciation rate, per year</t>
  </si>
  <si>
    <t>Tax Depreciation rate, per year</t>
  </si>
  <si>
    <t>Income tax rate</t>
  </si>
  <si>
    <t>Deferred Tax Balance</t>
  </si>
  <si>
    <t>Book Accumulated Depreciation Balance</t>
  </si>
  <si>
    <t>Unrecovered Investment -- Book</t>
  </si>
  <si>
    <t>Book Depreciation</t>
  </si>
  <si>
    <t>Unrecovered Investment -- Tax total</t>
  </si>
  <si>
    <t>Book Depreciation expense total</t>
  </si>
  <si>
    <t>Annual Property Tax Rate</t>
  </si>
  <si>
    <t>Less:  Accumulated Depreciation</t>
  </si>
  <si>
    <t>Environmental Compliance Rate Base</t>
  </si>
  <si>
    <t>Rate of return</t>
  </si>
  <si>
    <t>Total E(m)</t>
  </si>
  <si>
    <t>Revenue Requirement</t>
  </si>
  <si>
    <t>Revenue Recovery on Capital Expenditure to date</t>
  </si>
  <si>
    <t>Eligible Plant, cumulative capital expenditures</t>
  </si>
  <si>
    <t xml:space="preserve">Allowed Rate of Return </t>
  </si>
  <si>
    <t>Summary Cash Flow</t>
  </si>
  <si>
    <t>Date</t>
  </si>
  <si>
    <t>Total</t>
  </si>
  <si>
    <t>Average</t>
  </si>
  <si>
    <t>Year in Service</t>
  </si>
  <si>
    <t>Ghent 1PC</t>
  </si>
  <si>
    <t>Ghent 1</t>
  </si>
  <si>
    <t>Ghent 2</t>
  </si>
  <si>
    <t>Ghent 3</t>
  </si>
  <si>
    <t>Ghent 4</t>
  </si>
  <si>
    <t>Brown 1</t>
  </si>
  <si>
    <t>Brown 2</t>
  </si>
  <si>
    <t>Brown 3</t>
  </si>
  <si>
    <t>Mill Creek 1PC</t>
  </si>
  <si>
    <t>Mill Creek 1NPC</t>
  </si>
  <si>
    <t>Mill Creek 2PC</t>
  </si>
  <si>
    <t>Mill Creek 2NPC</t>
  </si>
  <si>
    <t>Mill Creek 3PC</t>
  </si>
  <si>
    <t>Mill Creek 3NPC</t>
  </si>
  <si>
    <t>Mill Creek 4NPC</t>
  </si>
  <si>
    <t>Mill Creek 4PC</t>
  </si>
  <si>
    <t>TrimblePC</t>
  </si>
  <si>
    <t>Tax Depreciation, 20 yr HL</t>
  </si>
  <si>
    <t>Jurisdictional Ratios from ECR Filings</t>
  </si>
  <si>
    <t xml:space="preserve">In-Service </t>
  </si>
  <si>
    <t>Less: Retired Plant</t>
  </si>
  <si>
    <t>Plus: Accumulated Depreciation on Retired Plant</t>
  </si>
  <si>
    <t>Less: Deferred Tax Balance</t>
  </si>
  <si>
    <t>Plus: Deferred Tax Balance on Retired Plant</t>
  </si>
  <si>
    <t>Annual Depreciation expense</t>
  </si>
  <si>
    <t>Less depreciation on retired plant</t>
  </si>
  <si>
    <t>Annual Property Tax expense</t>
  </si>
  <si>
    <t>Total OE</t>
  </si>
  <si>
    <t xml:space="preserve">Operating Expenses </t>
  </si>
  <si>
    <t>KU</t>
  </si>
  <si>
    <t>Revenue Requirements</t>
  </si>
  <si>
    <t>Revenue Requirements Summary</t>
  </si>
  <si>
    <t>Accumulated Expenditures</t>
  </si>
  <si>
    <t>Return on Environmental Compliance Rate Base</t>
  </si>
  <si>
    <t>Total E(m) - Project</t>
  </si>
  <si>
    <t>Eligible Plant</t>
  </si>
  <si>
    <t>Less:  Retired Plant</t>
  </si>
  <si>
    <t>Plus:  Accumulated Depreciation on retired plant</t>
  </si>
  <si>
    <t>Less:  Deferred Tax Balance</t>
  </si>
  <si>
    <t>Plus:  Deferred Tax Balance on retired plant</t>
  </si>
  <si>
    <t>Operating expenses</t>
  </si>
  <si>
    <t>12 Month Average Jurisdictional Ratio</t>
  </si>
  <si>
    <t xml:space="preserve">Jurisdictional Allocation </t>
  </si>
  <si>
    <t>Tax Rate</t>
  </si>
  <si>
    <t>Property Tax Rate</t>
  </si>
  <si>
    <t>Tax Rate-Retirements</t>
  </si>
  <si>
    <t>Long-Term Debt</t>
  </si>
  <si>
    <t>Short-Term Debt</t>
  </si>
  <si>
    <t>Preferred Stock</t>
  </si>
  <si>
    <t>Total Company</t>
  </si>
  <si>
    <t>Elec Rate Base %</t>
  </si>
  <si>
    <t>Electric Capitalization</t>
  </si>
  <si>
    <t>Adjusted Electric Capitalization</t>
  </si>
  <si>
    <t>Annual Cost Rate</t>
  </si>
  <si>
    <t>Composite Tax Rate</t>
  </si>
  <si>
    <t>Composite Debt Rate</t>
  </si>
  <si>
    <t xml:space="preserve">Overall Rate of Return Grossed Up </t>
  </si>
  <si>
    <t>KU Rate of Return Calculation</t>
  </si>
  <si>
    <t>1994 ECR Roll-In</t>
  </si>
  <si>
    <t>Post 1994 Plan Capitalization Adjustments</t>
  </si>
  <si>
    <t>Customer Charge</t>
  </si>
  <si>
    <t>KU Residential Bill Impact</t>
  </si>
  <si>
    <t>% Change</t>
  </si>
  <si>
    <t>Revenue Calculations Percentage Change</t>
  </si>
  <si>
    <t>Ghent 1,3,&amp;4</t>
  </si>
  <si>
    <t>Kentucky Utilities Company</t>
  </si>
  <si>
    <t>Additional ECR factor</t>
  </si>
  <si>
    <t>Energy</t>
  </si>
  <si>
    <t>FAC</t>
  </si>
  <si>
    <t>DSM</t>
  </si>
  <si>
    <t>Billing Factors as of</t>
  </si>
  <si>
    <t>ECR Factor</t>
  </si>
  <si>
    <t>Unit</t>
  </si>
  <si>
    <t>Rate</t>
  </si>
  <si>
    <t>BR1N.1311</t>
  </si>
  <si>
    <t>BR1N.1312</t>
  </si>
  <si>
    <t>BR1N.1314</t>
  </si>
  <si>
    <t>BR1N.1315</t>
  </si>
  <si>
    <t>BR1N.1316</t>
  </si>
  <si>
    <t>BR2N.1311</t>
  </si>
  <si>
    <t>BR2N.1312</t>
  </si>
  <si>
    <t>BR2N.1314</t>
  </si>
  <si>
    <t>BR2N.1315</t>
  </si>
  <si>
    <t>BR2N.1316</t>
  </si>
  <si>
    <t>BR3N.1311</t>
  </si>
  <si>
    <t>BR3N.1312</t>
  </si>
  <si>
    <t>BR3N.1314</t>
  </si>
  <si>
    <t>BR3N.1315</t>
  </si>
  <si>
    <t>BR3N.1316</t>
  </si>
  <si>
    <t>BR3S.1311</t>
  </si>
  <si>
    <t>BR3S.1312</t>
  </si>
  <si>
    <t>BR3S.1314</t>
  </si>
  <si>
    <t>BR3S.1315</t>
  </si>
  <si>
    <t>GH4S.1311</t>
  </si>
  <si>
    <t>GH4S.1312</t>
  </si>
  <si>
    <t>GH4S.1314</t>
  </si>
  <si>
    <t>GH4S.1315</t>
  </si>
  <si>
    <t>GH4S.1316</t>
  </si>
  <si>
    <t>GH1N.1311</t>
  </si>
  <si>
    <t>GH1N.1312</t>
  </si>
  <si>
    <t>GH1N.1314</t>
  </si>
  <si>
    <t>GH1N.1315</t>
  </si>
  <si>
    <t>GH1N.1316</t>
  </si>
  <si>
    <t>GH1S.1311</t>
  </si>
  <si>
    <t>GH1S.1312</t>
  </si>
  <si>
    <t>GH1S.1314</t>
  </si>
  <si>
    <t>GH1S.1315</t>
  </si>
  <si>
    <t>GH1S.1316</t>
  </si>
  <si>
    <t>GH2N.1311</t>
  </si>
  <si>
    <t>GH2N.1312</t>
  </si>
  <si>
    <t>GH2N.1314</t>
  </si>
  <si>
    <t>GH2N.1315</t>
  </si>
  <si>
    <t>GH2N.1316</t>
  </si>
  <si>
    <t>GH2S.1311</t>
  </si>
  <si>
    <t>GH2S.1312</t>
  </si>
  <si>
    <t>GH2S.1314</t>
  </si>
  <si>
    <t>GH2S.1315</t>
  </si>
  <si>
    <t>GH2S.1316</t>
  </si>
  <si>
    <t>GH3N.1311</t>
  </si>
  <si>
    <t>GH3N.1312</t>
  </si>
  <si>
    <t>GH3N.1314</t>
  </si>
  <si>
    <t>GH3N.1315</t>
  </si>
  <si>
    <t>GH3N.1316</t>
  </si>
  <si>
    <t>GH3N.1392</t>
  </si>
  <si>
    <t>GH3S.1311</t>
  </si>
  <si>
    <t>GH3S.1312</t>
  </si>
  <si>
    <t>GH3S.1314</t>
  </si>
  <si>
    <t>GH3S.1315</t>
  </si>
  <si>
    <t>GH3S.1316</t>
  </si>
  <si>
    <t>GH4N.1311</t>
  </si>
  <si>
    <t>GH4N.1312</t>
  </si>
  <si>
    <t>GH4N.1314</t>
  </si>
  <si>
    <t>GH4N.1315</t>
  </si>
  <si>
    <t>GH4N.1316</t>
  </si>
  <si>
    <t>GR2N.1311</t>
  </si>
  <si>
    <t>GR2N.1312</t>
  </si>
  <si>
    <t>GR2N.1314</t>
  </si>
  <si>
    <t>GR2N.1315</t>
  </si>
  <si>
    <t>GR2N.1316</t>
  </si>
  <si>
    <t>GR3N.1311</t>
  </si>
  <si>
    <t>GR3N.1312</t>
  </si>
  <si>
    <t>GR3N.1314</t>
  </si>
  <si>
    <t>GR3N.1315</t>
  </si>
  <si>
    <t>GR3N.1316</t>
  </si>
  <si>
    <t>GR4N.1311</t>
  </si>
  <si>
    <t>GR4N.1312</t>
  </si>
  <si>
    <t>GR4N.1314</t>
  </si>
  <si>
    <t>GR4N.1315</t>
  </si>
  <si>
    <t>GR4N.1316</t>
  </si>
  <si>
    <t>KUTR.1392</t>
  </si>
  <si>
    <t>SW00.1391</t>
  </si>
  <si>
    <t>TY3N.1311</t>
  </si>
  <si>
    <t>TY3N.1312</t>
  </si>
  <si>
    <t>TY3N.1314</t>
  </si>
  <si>
    <t>TY3N.1315</t>
  </si>
  <si>
    <t>TY3N.1316</t>
  </si>
  <si>
    <t>Assumes all investments to plant account 312</t>
  </si>
  <si>
    <t xml:space="preserve">Forecasted 12-Month Retail Revenue </t>
  </si>
  <si>
    <t>Non-Fuel Base Revenues</t>
  </si>
  <si>
    <t>Source:  KU and LG&amp;E ECR Databases</t>
  </si>
  <si>
    <t>Common Equity</t>
  </si>
  <si>
    <t>Total (less ECR)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</si>
  <si>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</si>
  <si>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</si>
  <si>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</si>
  <si>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</si>
  <si>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</si>
  <si>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</si>
  <si>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</si>
  <si>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</si>
  <si>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</si>
  <si>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</si>
  <si>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</si>
  <si>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</si>
  <si>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E(m) - ($000)</t>
  </si>
  <si>
    <t>Jurisdictional E(m) - ($000)</t>
  </si>
  <si>
    <t>Environmental Cost Recovery Surcharge Summary</t>
  </si>
  <si>
    <t>Forecasted Jurisdictional R(m) - (million)</t>
  </si>
  <si>
    <t>Residential Customer Impact</t>
  </si>
  <si>
    <t>PC = Scrubber/FGD</t>
  </si>
  <si>
    <t>NPC = All other Pollution Control</t>
  </si>
  <si>
    <t>Fuel Revenue</t>
  </si>
  <si>
    <t>ECR Revenue</t>
  </si>
  <si>
    <t>DSM Revenue</t>
  </si>
  <si>
    <t xml:space="preserve">  (land)</t>
  </si>
  <si>
    <t>***</t>
  </si>
  <si>
    <t>KY Distribution Line - GH Transmission</t>
  </si>
  <si>
    <t>BR3N.1310</t>
  </si>
  <si>
    <t>GH4N.1310</t>
  </si>
  <si>
    <t>GHTR.1364</t>
  </si>
  <si>
    <t>GHTR.1365</t>
  </si>
  <si>
    <t>GHTR.1366</t>
  </si>
  <si>
    <t>GHTR.1367</t>
  </si>
  <si>
    <t>KUTX.1354</t>
  </si>
  <si>
    <t>KUTX.1355</t>
  </si>
  <si>
    <t>KUTX.1356</t>
  </si>
  <si>
    <t>TC2N.1311</t>
  </si>
  <si>
    <t>TC2N.1312</t>
  </si>
  <si>
    <t>TC2N.1315</t>
  </si>
  <si>
    <t>TC2S.1311</t>
  </si>
  <si>
    <t>TC2S.1312</t>
  </si>
  <si>
    <t>TC2S.1315</t>
  </si>
  <si>
    <t>Updated using Depreciation Rates in effect as of 5/29/15</t>
  </si>
  <si>
    <t>Project 36</t>
  </si>
  <si>
    <t>Billing Month</t>
  </si>
  <si>
    <t>Mill Creek CCR</t>
  </si>
  <si>
    <t>Green River CCR</t>
  </si>
  <si>
    <t>Pineville CCR</t>
  </si>
  <si>
    <t>Tyrone CCR</t>
  </si>
  <si>
    <t>Ghent CCR</t>
  </si>
  <si>
    <t>Brown CCR</t>
  </si>
  <si>
    <t>Bonus Depreciation</t>
  </si>
  <si>
    <t>Bonus Tax Depreciation</t>
  </si>
  <si>
    <t>MACRS Tax Depreciation</t>
  </si>
  <si>
    <t>Deferred Tax Activity</t>
  </si>
  <si>
    <t>Tax expense total</t>
  </si>
  <si>
    <t>CCR Projects Tax Depreciation</t>
  </si>
  <si>
    <t>Trimble 2NPC KU</t>
  </si>
  <si>
    <t>Trimble 2NPC LGE</t>
  </si>
  <si>
    <t>Trimble 1NPC</t>
  </si>
  <si>
    <t>Ghent 2PC</t>
  </si>
  <si>
    <t>Trimble CCR LGE</t>
  </si>
  <si>
    <t>Trimble CCR KU</t>
  </si>
  <si>
    <t>No Bonus</t>
  </si>
  <si>
    <t>Cash Flow for 2018 thru 2027</t>
  </si>
  <si>
    <t>OSS Tracker Adjustment</t>
  </si>
  <si>
    <t>BR Landfill</t>
  </si>
  <si>
    <t>Book Amortization</t>
  </si>
  <si>
    <t>Less:  Accumulated Amortization</t>
  </si>
  <si>
    <t>Book Amortization expense total</t>
  </si>
  <si>
    <t>Amended Project 36 - BR Landfill Phase II</t>
  </si>
  <si>
    <t>Amended Project 36 - Cap and Closure (BR Main Ash Pond)</t>
  </si>
  <si>
    <t>Amended Project 36 - KU</t>
  </si>
  <si>
    <t>Amended Project 36 (Construction)</t>
  </si>
  <si>
    <t>Amended Project 36 (Cap and Close)</t>
  </si>
  <si>
    <t>Amendment to 2016 Amended ECR Plan</t>
  </si>
  <si>
    <t>Monthly bill (1,122 kWh per month)</t>
  </si>
  <si>
    <t>Group 1</t>
  </si>
  <si>
    <t>Group 2</t>
  </si>
  <si>
    <t>Total Revenue Split by Group</t>
  </si>
  <si>
    <t>KU - Group 1</t>
  </si>
  <si>
    <t>KU - Group 2</t>
  </si>
  <si>
    <t>Total Non-Fuel Revenue (less ECR and Fuel)</t>
  </si>
  <si>
    <t xml:space="preserve">Forecasted 12-Month Retail Non-Fuel Revenue </t>
  </si>
  <si>
    <t>Billing Factor - Group 1</t>
  </si>
  <si>
    <t>Billing Factor - Group 2</t>
  </si>
  <si>
    <t>Incremental Billing Factor Group 1</t>
  </si>
  <si>
    <t>Incremental Billing Factor Group 2</t>
  </si>
  <si>
    <t>All Electric Schools (Rate AES)</t>
  </si>
  <si>
    <t>Lighting Energy</t>
  </si>
  <si>
    <t>Traffic Energy</t>
  </si>
  <si>
    <t>Lighting Service and Restricted Lighting</t>
  </si>
  <si>
    <t>Bill Impact for other Group 1 Rate Schedules</t>
  </si>
  <si>
    <t>General Service (Rate GS)</t>
  </si>
  <si>
    <t>Power Service Secondary (Rate PSS)</t>
  </si>
  <si>
    <t>Power Service Primary (Rate PSP)</t>
  </si>
  <si>
    <t>Time of Day Secondary (Rate TODS)</t>
  </si>
  <si>
    <t>Time of Day Primary (Rate TODP)</t>
  </si>
  <si>
    <t>Retail Transmission Service (Rate RTS)</t>
  </si>
  <si>
    <t>Fluctuating Load Service (Rate FLS)</t>
  </si>
  <si>
    <t>Bill Impact for Group 2 Rate Schedules</t>
  </si>
  <si>
    <t>Amortization on retired plant</t>
  </si>
  <si>
    <t>Assumes 25-year Amortization - PSC 1-4a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</si>
</sst>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000%"/>
    <numFmt numFmtId="167" formatCode="_(* #,##0_);_(* \(#,##0\);_(* &quot;-&quot;??_);_(@_)"/>
    <numFmt numFmtId="168" formatCode="0.0%"/>
    <numFmt numFmtId="169" formatCode="[$-409]mmmm\-yy;@"/>
    <numFmt numFmtId="170" formatCode="[$-409]mmm\-yy;@"/>
    <numFmt numFmtId="171" formatCode="0_);\(0\)"/>
    <numFmt numFmtId="172" formatCode="0.00000%"/>
    <numFmt numFmtId="173" formatCode="&quot;$&quot;#,##0.00"/>
    <numFmt numFmtId="174" formatCode="#,##0.0000_);\(#,##0.0000\)"/>
    <numFmt numFmtId="175" formatCode="#,##0.00000_);\(#,##0.00000\)"/>
    <numFmt numFmtId="176" formatCode="[$-409]mmmm\ d\,\ yyyy;@"/>
    <numFmt numFmtId="177" formatCode="_(* #,##0.00000_);_(* \(#,##0.00000\);_(* &quot;-&quot;??_);_(@_)"/>
    <numFmt numFmtId="178" formatCode="&quot;$&quot;#,##0\ ;\(&quot;$&quot;#,##0\)"/>
    <numFmt numFmtId="179" formatCode="&quot;$&quot;#,##0"/>
    <numFmt numFmtId="180" formatCode="_([$€-2]* #,##0.00_);_([$€-2]* \(#,##0.00\);_([$€-2]* &quot;-&quot;??_)"/>
    <numFmt numFmtId="181" formatCode="_(&quot;$&quot;#,##0_);_(&quot;$&quot;\(#,##0\);_(&quot;$&quot;&quot;0&quot;_);_(@_)"/>
    <numFmt numFmtId="182" formatCode="_(* #,##0_);_(* \(#,##0\);_(* &quot;0&quot;_);_(@_)"/>
    <numFmt numFmtId="183" formatCode="_(* #,##0.000_);_(* \(#,##0.000\);_(* &quot;0&quot;_);_(@_)"/>
    <numFmt numFmtId="184" formatCode="&quot;$&quot;#,##0.000"/>
    <numFmt numFmtId="185" formatCode="&quot;$&quot;#,##0.0000"/>
    <numFmt numFmtId="186" formatCode="_(* #,##0.0_);_(* \(#,##0.0\);_(* &quot;-&quot;??_);_(@_)"/>
    <numFmt numFmtId="187" formatCode="_(&quot;$&quot;#,##0.0_);_(&quot;$&quot;\(#,##0.0\);_(&quot;$&quot;&quot;0&quot;_);_(@_)"/>
    <numFmt numFmtId="188" formatCode="_(&quot;$&quot;#,##0.00_);_(&quot;$&quot;\(#,##0.00\);_(&quot;$&quot;&quot;0&quot;_);_(@_)"/>
    <numFmt numFmtId="189" formatCode="&quot;$&quot;#,##0.0"/>
  </numFmts>
  <fonts count="59">
    <font>
      <sz val="8"/>
      <name val="Arial"/>
      <family val="0"/>
    </font>
    <font>
      <b/>
      <sz val="8"/>
      <name val="Arial"/>
      <family val="2"/>
    </font>
    <font>
      <sz val="8"/>
      <color indexed="21"/>
      <name val="Arial"/>
      <family val="2"/>
    </font>
    <font>
      <b/>
      <i/>
      <sz val="16"/>
      <name val="Arial"/>
      <family val="2"/>
    </font>
    <font>
      <b/>
      <u val="singleAccounting"/>
      <sz val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Polo"/>
      <family val="0"/>
    </font>
    <font>
      <sz val="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5" fillId="0" borderId="0" applyProtection="0">
      <alignment/>
    </xf>
    <xf numFmtId="0" fontId="0" fillId="0" borderId="0" applyProtection="0">
      <alignment/>
    </xf>
    <xf numFmtId="0" fontId="11" fillId="0" borderId="0" applyProtection="0">
      <alignment/>
    </xf>
    <xf numFmtId="0" fontId="15" fillId="0" borderId="0" applyProtection="0">
      <alignment/>
    </xf>
    <xf numFmtId="0" fontId="17" fillId="0" borderId="0" applyProtection="0">
      <alignment/>
    </xf>
    <xf numFmtId="2" fontId="1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4" applyNumberFormat="0" applyFill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0" fontId="52" fillId="27" borderId="6" applyNumberFormat="0" applyAlignment="0" applyProtection="0"/>
    <xf numFmtId="9" fontId="0" fillId="0" borderId="0" applyFont="0" applyFill="0" applyBorder="0" applyAlignment="0" applyProtection="0"/>
    <xf numFmtId="171" fontId="13" fillId="33" borderId="7">
      <alignment horizontal="left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165" fontId="0" fillId="0" borderId="0" xfId="73" applyNumberFormat="1" applyFont="1" applyAlignment="1">
      <alignment/>
    </xf>
    <xf numFmtId="10" fontId="0" fillId="0" borderId="0" xfId="73" applyNumberFormat="1" applyFont="1" applyAlignment="1">
      <alignment/>
    </xf>
    <xf numFmtId="166" fontId="0" fillId="0" borderId="0" xfId="73" applyNumberFormat="1" applyFont="1" applyAlignment="1">
      <alignment/>
    </xf>
    <xf numFmtId="167" fontId="0" fillId="0" borderId="0" xfId="0" applyNumberFormat="1" applyFont="1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17" fontId="0" fillId="0" borderId="0" xfId="0" applyNumberFormat="1" applyFont="1" applyAlignment="1">
      <alignment horizontal="center"/>
    </xf>
    <xf numFmtId="17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4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0" fontId="1" fillId="0" borderId="0" xfId="73" applyNumberFormat="1" applyFont="1" applyAlignment="1">
      <alignment/>
    </xf>
    <xf numFmtId="10" fontId="0" fillId="0" borderId="0" xfId="73" applyNumberFormat="1" applyAlignment="1">
      <alignment/>
    </xf>
    <xf numFmtId="10" fontId="0" fillId="0" borderId="0" xfId="73" applyNumberFormat="1" applyFont="1" applyAlignment="1">
      <alignment/>
    </xf>
    <xf numFmtId="10" fontId="1" fillId="0" borderId="0" xfId="73" applyNumberFormat="1" applyFont="1" applyAlignment="1" quotePrefix="1">
      <alignment horizontal="left"/>
    </xf>
    <xf numFmtId="43" fontId="0" fillId="0" borderId="0" xfId="42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6" fontId="0" fillId="0" borderId="0" xfId="0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0" fontId="0" fillId="0" borderId="0" xfId="73" applyNumberFormat="1" applyFont="1" applyFill="1" applyAlignment="1">
      <alignment/>
    </xf>
    <xf numFmtId="0" fontId="6" fillId="0" borderId="0" xfId="0" applyFont="1" applyAlignment="1">
      <alignment/>
    </xf>
    <xf numFmtId="10" fontId="0" fillId="0" borderId="0" xfId="73" applyNumberFormat="1" applyFill="1" applyAlignment="1">
      <alignment/>
    </xf>
    <xf numFmtId="43" fontId="0" fillId="0" borderId="0" xfId="42" applyAlignment="1">
      <alignment/>
    </xf>
    <xf numFmtId="171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10" fontId="0" fillId="0" borderId="0" xfId="73" applyNumberFormat="1" applyFont="1" applyFill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71" fontId="1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center"/>
    </xf>
    <xf numFmtId="164" fontId="2" fillId="0" borderId="0" xfId="45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164" fontId="0" fillId="0" borderId="0" xfId="45" applyNumberFormat="1" applyFont="1" applyFill="1" applyBorder="1" applyAlignment="1">
      <alignment/>
    </xf>
    <xf numFmtId="0" fontId="1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NumberFormat="1" applyFill="1" applyAlignment="1">
      <alignment horizontal="left"/>
    </xf>
    <xf numFmtId="10" fontId="0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left" wrapText="1"/>
    </xf>
    <xf numFmtId="0" fontId="0" fillId="0" borderId="0" xfId="70" applyFont="1">
      <alignment/>
      <protection/>
    </xf>
    <xf numFmtId="0" fontId="0" fillId="0" borderId="0" xfId="70" applyFont="1" applyAlignment="1" quotePrefix="1">
      <alignment horizontal="left"/>
      <protection/>
    </xf>
    <xf numFmtId="10" fontId="0" fillId="0" borderId="0" xfId="73" applyNumberFormat="1" applyFont="1" applyAlignment="1">
      <alignment/>
    </xf>
    <xf numFmtId="166" fontId="0" fillId="0" borderId="0" xfId="70" applyNumberFormat="1" applyFont="1">
      <alignment/>
      <protection/>
    </xf>
    <xf numFmtId="172" fontId="0" fillId="0" borderId="0" xfId="73" applyNumberFormat="1" applyFont="1" applyAlignment="1">
      <alignment/>
    </xf>
    <xf numFmtId="10" fontId="0" fillId="0" borderId="0" xfId="70" applyNumberFormat="1" applyFont="1">
      <alignment/>
      <protection/>
    </xf>
    <xf numFmtId="9" fontId="0" fillId="0" borderId="0" xfId="70" applyNumberFormat="1" applyFont="1">
      <alignment/>
      <protection/>
    </xf>
    <xf numFmtId="10" fontId="0" fillId="0" borderId="0" xfId="70" applyNumberFormat="1" applyFont="1" applyFill="1">
      <alignment/>
      <protection/>
    </xf>
    <xf numFmtId="10" fontId="0" fillId="0" borderId="0" xfId="73" applyNumberFormat="1" applyFont="1" applyAlignment="1">
      <alignment/>
    </xf>
    <xf numFmtId="10" fontId="0" fillId="0" borderId="0" xfId="73" applyNumberFormat="1" applyFont="1" applyFill="1" applyAlignment="1">
      <alignment/>
    </xf>
    <xf numFmtId="0" fontId="0" fillId="0" borderId="0" xfId="0" applyFill="1" applyAlignment="1" quotePrefix="1">
      <alignment horizontal="left" wrapText="1"/>
    </xf>
    <xf numFmtId="170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70" fontId="0" fillId="0" borderId="0" xfId="0" applyNumberForma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6" fillId="0" borderId="0" xfId="69">
      <alignment/>
      <protection/>
    </xf>
    <xf numFmtId="42" fontId="16" fillId="0" borderId="0" xfId="69" applyNumberFormat="1">
      <alignment/>
      <protection/>
    </xf>
    <xf numFmtId="165" fontId="0" fillId="0" borderId="0" xfId="0" applyNumberFormat="1" applyAlignment="1">
      <alignment/>
    </xf>
    <xf numFmtId="0" fontId="5" fillId="0" borderId="0" xfId="0" applyFont="1" applyFill="1" applyAlignment="1">
      <alignment horizontal="centerContinuous"/>
    </xf>
    <xf numFmtId="164" fontId="0" fillId="0" borderId="0" xfId="45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179" fontId="18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10" fontId="18" fillId="0" borderId="0" xfId="0" applyNumberFormat="1" applyFont="1" applyAlignment="1">
      <alignment/>
    </xf>
    <xf numFmtId="167" fontId="18" fillId="0" borderId="0" xfId="42" applyNumberFormat="1" applyFont="1" applyAlignment="1">
      <alignment/>
    </xf>
    <xf numFmtId="37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10" fontId="55" fillId="0" borderId="0" xfId="0" applyNumberFormat="1" applyFont="1" applyFill="1" applyAlignment="1">
      <alignment/>
    </xf>
    <xf numFmtId="43" fontId="55" fillId="0" borderId="0" xfId="0" applyNumberFormat="1" applyFont="1" applyFill="1" applyAlignment="1">
      <alignment/>
    </xf>
    <xf numFmtId="177" fontId="55" fillId="0" borderId="0" xfId="0" applyNumberFormat="1" applyFont="1" applyFill="1" applyAlignment="1">
      <alignment/>
    </xf>
    <xf numFmtId="37" fontId="55" fillId="0" borderId="0" xfId="0" applyNumberFormat="1" applyFont="1" applyFill="1" applyAlignment="1">
      <alignment/>
    </xf>
    <xf numFmtId="0" fontId="56" fillId="0" borderId="0" xfId="0" applyFont="1" applyAlignment="1">
      <alignment horizontal="center"/>
    </xf>
    <xf numFmtId="171" fontId="57" fillId="0" borderId="0" xfId="0" applyNumberFormat="1" applyFont="1" applyFill="1" applyAlignment="1">
      <alignment horizontal="center"/>
    </xf>
    <xf numFmtId="0" fontId="0" fillId="0" borderId="0" xfId="70" applyFont="1" applyFill="1">
      <alignment/>
      <protection/>
    </xf>
    <xf numFmtId="10" fontId="0" fillId="0" borderId="0" xfId="73" applyNumberFormat="1" applyFont="1" applyAlignment="1">
      <alignment/>
    </xf>
    <xf numFmtId="0" fontId="0" fillId="0" borderId="9" xfId="70" applyFont="1" applyBorder="1" applyAlignment="1">
      <alignment horizontal="center"/>
      <protection/>
    </xf>
    <xf numFmtId="14" fontId="0" fillId="0" borderId="0" xfId="70" applyNumberFormat="1" applyFont="1" applyAlignment="1">
      <alignment horizontal="center"/>
      <protection/>
    </xf>
    <xf numFmtId="0" fontId="1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15" fillId="0" borderId="9" xfId="0" applyFont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171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181" fontId="0" fillId="0" borderId="0" xfId="45" applyNumberFormat="1" applyFont="1" applyAlignment="1">
      <alignment/>
    </xf>
    <xf numFmtId="181" fontId="0" fillId="0" borderId="9" xfId="45" applyNumberFormat="1" applyFont="1" applyBorder="1" applyAlignment="1">
      <alignment/>
    </xf>
    <xf numFmtId="182" fontId="0" fillId="0" borderId="0" xfId="42" applyNumberFormat="1" applyAlignment="1">
      <alignment/>
    </xf>
    <xf numFmtId="182" fontId="0" fillId="0" borderId="0" xfId="42" applyNumberFormat="1" applyFont="1" applyFill="1" applyAlignment="1">
      <alignment/>
    </xf>
    <xf numFmtId="182" fontId="0" fillId="0" borderId="0" xfId="42" applyNumberFormat="1" applyFont="1" applyAlignment="1">
      <alignment/>
    </xf>
    <xf numFmtId="182" fontId="0" fillId="0" borderId="0" xfId="0" applyNumberFormat="1" applyFont="1" applyAlignment="1">
      <alignment/>
    </xf>
    <xf numFmtId="181" fontId="0" fillId="0" borderId="0" xfId="45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10" xfId="45" applyNumberFormat="1" applyFont="1" applyBorder="1" applyAlignment="1">
      <alignment/>
    </xf>
    <xf numFmtId="181" fontId="0" fillId="0" borderId="10" xfId="45" applyNumberFormat="1" applyBorder="1" applyAlignment="1">
      <alignment/>
    </xf>
    <xf numFmtId="182" fontId="0" fillId="0" borderId="0" xfId="42" applyNumberFormat="1" applyFill="1" applyAlignment="1">
      <alignment/>
    </xf>
    <xf numFmtId="182" fontId="0" fillId="0" borderId="0" xfId="0" applyNumberFormat="1" applyFill="1" applyAlignment="1">
      <alignment/>
    </xf>
    <xf numFmtId="181" fontId="0" fillId="0" borderId="10" xfId="45" applyNumberFormat="1" applyFill="1" applyBorder="1" applyAlignment="1">
      <alignment/>
    </xf>
    <xf numFmtId="181" fontId="0" fillId="0" borderId="10" xfId="45" applyNumberFormat="1" applyFont="1" applyFill="1" applyBorder="1" applyAlignment="1">
      <alignment/>
    </xf>
    <xf numFmtId="182" fontId="0" fillId="0" borderId="0" xfId="0" applyNumberFormat="1" applyFont="1" applyFill="1" applyAlignment="1">
      <alignment/>
    </xf>
    <xf numFmtId="42" fontId="55" fillId="0" borderId="0" xfId="0" applyNumberFormat="1" applyFont="1" applyAlignment="1">
      <alignment/>
    </xf>
    <xf numFmtId="42" fontId="55" fillId="0" borderId="9" xfId="0" applyNumberFormat="1" applyFont="1" applyBorder="1" applyAlignment="1">
      <alignment/>
    </xf>
    <xf numFmtId="171" fontId="0" fillId="0" borderId="0" xfId="0" applyNumberFormat="1" applyBorder="1" applyAlignment="1">
      <alignment horizontal="center"/>
    </xf>
    <xf numFmtId="171" fontId="0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17" fontId="0" fillId="34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left" wrapText="1"/>
    </xf>
    <xf numFmtId="0" fontId="0" fillId="34" borderId="0" xfId="0" applyFont="1" applyFill="1" applyAlignment="1">
      <alignment/>
    </xf>
    <xf numFmtId="10" fontId="0" fillId="35" borderId="0" xfId="73" applyNumberFormat="1" applyFont="1" applyFill="1" applyAlignment="1">
      <alignment/>
    </xf>
    <xf numFmtId="0" fontId="1" fillId="0" borderId="11" xfId="0" applyFont="1" applyBorder="1" applyAlignment="1">
      <alignment/>
    </xf>
    <xf numFmtId="10" fontId="0" fillId="0" borderId="12" xfId="0" applyNumberFormat="1" applyFill="1" applyBorder="1" applyAlignment="1">
      <alignment/>
    </xf>
    <xf numFmtId="10" fontId="0" fillId="0" borderId="12" xfId="73" applyNumberFormat="1" applyFont="1" applyFill="1" applyBorder="1" applyAlignment="1">
      <alignment/>
    </xf>
    <xf numFmtId="10" fontId="0" fillId="0" borderId="12" xfId="0" applyNumberFormat="1" applyBorder="1" applyAlignment="1">
      <alignment/>
    </xf>
    <xf numFmtId="10" fontId="0" fillId="34" borderId="12" xfId="0" applyNumberFormat="1" applyFill="1" applyBorder="1" applyAlignment="1">
      <alignment/>
    </xf>
    <xf numFmtId="10" fontId="0" fillId="34" borderId="12" xfId="73" applyNumberFormat="1" applyFont="1" applyFill="1" applyBorder="1" applyAlignment="1">
      <alignment/>
    </xf>
    <xf numFmtId="10" fontId="0" fillId="0" borderId="12" xfId="73" applyNumberFormat="1" applyFont="1" applyBorder="1" applyAlignment="1">
      <alignment/>
    </xf>
    <xf numFmtId="10" fontId="0" fillId="34" borderId="13" xfId="0" applyNumberFormat="1" applyFill="1" applyBorder="1" applyAlignment="1">
      <alignment/>
    </xf>
    <xf numFmtId="10" fontId="0" fillId="0" borderId="11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10" fontId="0" fillId="0" borderId="0" xfId="73" applyNumberFormat="1" applyFont="1" applyFill="1" applyBorder="1" applyAlignment="1">
      <alignment/>
    </xf>
    <xf numFmtId="10" fontId="1" fillId="0" borderId="0" xfId="73" applyNumberFormat="1" applyFont="1" applyFill="1" applyBorder="1" applyAlignment="1">
      <alignment/>
    </xf>
    <xf numFmtId="10" fontId="0" fillId="0" borderId="0" xfId="73" applyNumberFormat="1" applyFont="1" applyFill="1" applyBorder="1" applyAlignment="1" quotePrefix="1">
      <alignment horizontal="left"/>
    </xf>
    <xf numFmtId="10" fontId="1" fillId="0" borderId="0" xfId="73" applyNumberFormat="1" applyFont="1" applyFill="1" applyBorder="1" applyAlignment="1" quotePrefix="1">
      <alignment horizontal="left"/>
    </xf>
    <xf numFmtId="10" fontId="0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>
      <alignment/>
    </xf>
    <xf numFmtId="10" fontId="1" fillId="0" borderId="15" xfId="0" applyNumberFormat="1" applyFont="1" applyFill="1" applyBorder="1" applyAlignment="1">
      <alignment/>
    </xf>
    <xf numFmtId="10" fontId="1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10" fontId="0" fillId="0" borderId="0" xfId="73" applyNumberFormat="1" applyFill="1" applyBorder="1" applyAlignment="1">
      <alignment/>
    </xf>
    <xf numFmtId="0" fontId="0" fillId="0" borderId="18" xfId="0" applyFill="1" applyBorder="1" applyAlignment="1">
      <alignment/>
    </xf>
    <xf numFmtId="10" fontId="0" fillId="0" borderId="15" xfId="73" applyNumberFormat="1" applyFill="1" applyBorder="1" applyAlignment="1">
      <alignment/>
    </xf>
    <xf numFmtId="1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10" fontId="0" fillId="0" borderId="16" xfId="73" applyNumberFormat="1" applyFont="1" applyBorder="1" applyAlignment="1">
      <alignment/>
    </xf>
    <xf numFmtId="10" fontId="0" fillId="0" borderId="14" xfId="73" applyNumberFormat="1" applyFont="1" applyBorder="1" applyAlignment="1">
      <alignment/>
    </xf>
    <xf numFmtId="10" fontId="0" fillId="0" borderId="14" xfId="0" applyNumberFormat="1" applyBorder="1" applyAlignment="1">
      <alignment/>
    </xf>
    <xf numFmtId="171" fontId="0" fillId="34" borderId="0" xfId="0" applyNumberFormat="1" applyFont="1" applyFill="1" applyAlignment="1">
      <alignment/>
    </xf>
    <xf numFmtId="181" fontId="0" fillId="0" borderId="0" xfId="45" applyNumberFormat="1" applyFill="1" applyBorder="1" applyAlignment="1">
      <alignment/>
    </xf>
    <xf numFmtId="42" fontId="55" fillId="0" borderId="0" xfId="0" applyNumberFormat="1" applyFont="1" applyBorder="1" applyAlignment="1">
      <alignment/>
    </xf>
    <xf numFmtId="0" fontId="0" fillId="0" borderId="0" xfId="0" applyAlignment="1">
      <alignment/>
    </xf>
    <xf numFmtId="17" fontId="9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17" fontId="9" fillId="0" borderId="0" xfId="0" applyNumberFormat="1" applyFont="1" applyAlignment="1">
      <alignment horizontal="centerContinuous"/>
    </xf>
    <xf numFmtId="0" fontId="0" fillId="0" borderId="0" xfId="0" applyFill="1" applyAlignment="1">
      <alignment horizontal="right"/>
    </xf>
    <xf numFmtId="170" fontId="0" fillId="0" borderId="0" xfId="0" applyNumberFormat="1" applyAlignment="1">
      <alignment horizontal="right"/>
    </xf>
    <xf numFmtId="0" fontId="23" fillId="0" borderId="0" xfId="0" applyFont="1" applyFill="1" applyAlignment="1">
      <alignment horizontal="centerContinuous"/>
    </xf>
    <xf numFmtId="168" fontId="0" fillId="0" borderId="12" xfId="0" applyNumberFormat="1" applyFill="1" applyBorder="1" applyAlignment="1">
      <alignment/>
    </xf>
    <xf numFmtId="10" fontId="0" fillId="0" borderId="17" xfId="73" applyNumberFormat="1" applyFon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10" fontId="0" fillId="0" borderId="12" xfId="73" applyNumberFormat="1" applyFont="1" applyFill="1" applyBorder="1" applyAlignment="1">
      <alignment/>
    </xf>
    <xf numFmtId="168" fontId="0" fillId="0" borderId="13" xfId="0" applyNumberFormat="1" applyFill="1" applyBorder="1" applyAlignment="1">
      <alignment/>
    </xf>
    <xf numFmtId="10" fontId="0" fillId="0" borderId="18" xfId="73" applyNumberFormat="1" applyFont="1" applyFill="1" applyBorder="1" applyAlignment="1">
      <alignment/>
    </xf>
    <xf numFmtId="10" fontId="0" fillId="0" borderId="15" xfId="73" applyNumberFormat="1" applyFont="1" applyFill="1" applyBorder="1" applyAlignment="1">
      <alignment/>
    </xf>
    <xf numFmtId="10" fontId="0" fillId="0" borderId="13" xfId="73" applyNumberFormat="1" applyFont="1" applyFill="1" applyBorder="1" applyAlignment="1">
      <alignment/>
    </xf>
    <xf numFmtId="181" fontId="0" fillId="0" borderId="0" xfId="0" applyNumberFormat="1" applyAlignment="1">
      <alignment/>
    </xf>
    <xf numFmtId="0" fontId="19" fillId="0" borderId="0" xfId="0" applyFont="1" applyFill="1" applyAlignment="1" quotePrefix="1">
      <alignment horizontal="right"/>
    </xf>
    <xf numFmtId="168" fontId="0" fillId="0" borderId="0" xfId="73" applyNumberFormat="1" applyFont="1" applyAlignment="1">
      <alignment/>
    </xf>
    <xf numFmtId="0" fontId="9" fillId="0" borderId="0" xfId="0" applyFont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Font="1" applyFill="1" applyAlignment="1" quotePrefix="1">
      <alignment horizontal="left"/>
    </xf>
    <xf numFmtId="0" fontId="18" fillId="0" borderId="0" xfId="0" applyFont="1" applyFill="1" applyAlignment="1">
      <alignment/>
    </xf>
    <xf numFmtId="10" fontId="18" fillId="0" borderId="0" xfId="0" applyNumberFormat="1" applyFont="1" applyFill="1" applyAlignment="1">
      <alignment/>
    </xf>
    <xf numFmtId="173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 indent="1"/>
    </xf>
    <xf numFmtId="0" fontId="58" fillId="0" borderId="0" xfId="0" applyFont="1" applyFill="1" applyAlignment="1">
      <alignment/>
    </xf>
    <xf numFmtId="0" fontId="9" fillId="0" borderId="0" xfId="0" applyFont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0" fontId="5" fillId="0" borderId="0" xfId="0" applyNumberFormat="1" applyFont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uro" xfId="49"/>
    <cellStyle name="Explanatory Text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Fixed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_20090313 2009 ECR Expenditures" xfId="69"/>
    <cellStyle name="Normal_KU ECR Database" xfId="70"/>
    <cellStyle name="Note" xfId="71"/>
    <cellStyle name="Output" xfId="72"/>
    <cellStyle name="Percent" xfId="73"/>
    <cellStyle name="Project Overview Data Entry" xfId="74"/>
    <cellStyle name="STYL5 - Style5" xfId="75"/>
    <cellStyle name="STYL6 - Style6" xfId="76"/>
    <cellStyle name="STYLE1 - Style1" xfId="77"/>
    <cellStyle name="STYLE2 - Style2" xfId="78"/>
    <cellStyle name="STYLE3 - Style3" xfId="79"/>
    <cellStyle name="STYLE4 - Style4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75" zoomScaleNormal="75" workbookViewId="0" topLeftCell="A1">
      <selection activeCell="B5" sqref="B5"/>
    </sheetView>
  </sheetViews>
  <sheetFormatPr defaultColWidth="9.33203125" defaultRowHeight="11.25"/>
  <cols>
    <col min="1" max="1" width="0.328125" style="95" customWidth="1"/>
    <col min="2" max="2" width="53.16015625" style="95" customWidth="1"/>
    <col min="3" max="7" width="17" style="95" bestFit="1" customWidth="1"/>
    <col min="8" max="16384" width="9.33203125" style="95" customWidth="1"/>
  </cols>
  <sheetData>
    <row r="1" spans="1:7" ht="15.75">
      <c r="A1"/>
      <c r="B1"/>
      <c r="C1"/>
      <c r="D1"/>
      <c r="E1"/>
      <c r="F1"/>
      <c r="G1"/>
    </row>
    <row r="2" spans="2:7" ht="20.25">
      <c r="B2" s="101" t="s">
        <v>88</v>
      </c>
      <c r="C2" s="94"/>
      <c r="D2" s="94"/>
      <c r="E2" s="94"/>
      <c r="F2" s="94"/>
      <c r="G2" s="94"/>
    </row>
    <row r="3" spans="2:7" ht="15.75">
      <c r="B3" s="102" t="s">
        <v>199</v>
      </c>
      <c r="C3" s="94"/>
      <c r="D3" s="94"/>
      <c r="E3" s="94"/>
      <c r="F3" s="94"/>
      <c r="G3" s="94"/>
    </row>
    <row r="5" ht="15.75">
      <c r="B5" s="97" t="s">
        <v>285</v>
      </c>
    </row>
    <row r="6" spans="3:7" ht="15.75">
      <c r="C6" s="96">
        <f>Input!B2</f>
        <v>2018</v>
      </c>
      <c r="D6" s="96">
        <f>C6+1</f>
        <v>2019</v>
      </c>
      <c r="E6" s="96">
        <f>D6+1</f>
        <v>2020</v>
      </c>
      <c r="F6" s="96">
        <f>E6+1</f>
        <v>2021</v>
      </c>
      <c r="G6" s="96">
        <f>F6+1</f>
        <v>2022</v>
      </c>
    </row>
    <row r="8" spans="2:7" ht="15.75">
      <c r="B8" s="97" t="s">
        <v>197</v>
      </c>
      <c r="C8" s="98">
        <f>'KU - Summary'!C23/1000</f>
        <v>776.9025027589252</v>
      </c>
      <c r="D8" s="98">
        <f>'KU - Summary'!D23/1000</f>
        <v>1411.9448167110043</v>
      </c>
      <c r="E8" s="98">
        <f>'KU - Summary'!E23/1000</f>
        <v>1588.1291947382008</v>
      </c>
      <c r="F8" s="98">
        <f>'KU - Summary'!F23/1000</f>
        <v>1542.981445046255</v>
      </c>
      <c r="G8" s="98">
        <f>'KU - Summary'!G23/1000</f>
        <v>1498.776862435032</v>
      </c>
    </row>
    <row r="10" spans="2:7" ht="15.75">
      <c r="B10" s="99" t="s">
        <v>64</v>
      </c>
      <c r="C10" s="103">
        <f>'KU - Summary'!C25</f>
        <v>0.8805083333333333</v>
      </c>
      <c r="D10" s="103">
        <f>'KU - Summary'!D25</f>
        <v>0.8805083333333333</v>
      </c>
      <c r="E10" s="103">
        <f>'KU - Summary'!E25</f>
        <v>0.8805083333333333</v>
      </c>
      <c r="F10" s="103">
        <f>'KU - Summary'!F25</f>
        <v>0.8805083333333333</v>
      </c>
      <c r="G10" s="103">
        <f>'KU - Summary'!G25</f>
        <v>0.8805083333333333</v>
      </c>
    </row>
    <row r="12" spans="2:7" ht="15.75">
      <c r="B12" s="100" t="s">
        <v>198</v>
      </c>
      <c r="C12" s="98">
        <f>'KU - Summary'!C27/1000</f>
        <v>684.0691278667566</v>
      </c>
      <c r="D12" s="98">
        <f>'KU - Summary'!D27/1000</f>
        <v>1243.229177320845</v>
      </c>
      <c r="E12" s="98">
        <f>'KU - Summary'!E27/1000</f>
        <v>1398.360990376942</v>
      </c>
      <c r="F12" s="98">
        <f>'KU - Summary'!F27/1000</f>
        <v>1358.6080205419362</v>
      </c>
      <c r="G12" s="98">
        <f>'KU - Summary'!G27/1000</f>
        <v>1319.6855171812326</v>
      </c>
    </row>
    <row r="14" spans="2:7" ht="15.75">
      <c r="B14" s="100" t="s">
        <v>200</v>
      </c>
      <c r="C14" s="104">
        <f>'KU - Summary'!C29/1000000</f>
        <v>1414.5597532088311</v>
      </c>
      <c r="D14" s="104">
        <f>'KU - Summary'!D29/1000000</f>
        <v>1400.2436540630458</v>
      </c>
      <c r="E14" s="104">
        <f>'KU - Summary'!E29/1000000</f>
        <v>1399.147256608936</v>
      </c>
      <c r="F14" s="104">
        <f>'KU - Summary'!F29/1000000</f>
        <v>1405.2638174191945</v>
      </c>
      <c r="G14" s="104">
        <f>'KU - Summary'!G29/1000000</f>
        <v>1423.936357706561</v>
      </c>
    </row>
    <row r="15" spans="1:8" ht="15.75">
      <c r="A15" s="206"/>
      <c r="B15" s="206"/>
      <c r="C15" s="206"/>
      <c r="D15" s="206"/>
      <c r="E15" s="206"/>
      <c r="F15" s="206"/>
      <c r="G15" s="206"/>
      <c r="H15" s="206"/>
    </row>
    <row r="16" spans="1:8" ht="15.75">
      <c r="A16" s="206"/>
      <c r="B16" s="100" t="s">
        <v>269</v>
      </c>
      <c r="C16" s="207">
        <f>'KU - Summary'!C32</f>
        <v>0.0004835915388621747</v>
      </c>
      <c r="D16" s="207">
        <f>'KU - Summary'!D32</f>
        <v>0.0008878663179178879</v>
      </c>
      <c r="E16" s="207">
        <f>'KU - Summary'!E32</f>
        <v>0.0009994380389710376</v>
      </c>
      <c r="F16" s="207">
        <f>'KU - Summary'!F32</f>
        <v>0.0009667992612497894</v>
      </c>
      <c r="G16" s="207">
        <f>'KU - Summary'!G32</f>
        <v>0.0009267868679937083</v>
      </c>
      <c r="H16" s="206"/>
    </row>
    <row r="17" spans="1:8" ht="15.75">
      <c r="A17" s="206"/>
      <c r="B17" s="100"/>
      <c r="C17" s="206"/>
      <c r="D17" s="206"/>
      <c r="E17" s="206"/>
      <c r="F17" s="206"/>
      <c r="G17" s="206"/>
      <c r="H17" s="206"/>
    </row>
    <row r="18" spans="1:8" ht="15.75">
      <c r="A18" s="206"/>
      <c r="B18" s="100" t="s">
        <v>201</v>
      </c>
      <c r="C18" s="206"/>
      <c r="D18" s="206"/>
      <c r="E18" s="206"/>
      <c r="F18" s="206"/>
      <c r="G18" s="206"/>
      <c r="H18" s="206"/>
    </row>
    <row r="19" spans="1:8" ht="15.75">
      <c r="A19" s="206"/>
      <c r="B19" s="201" t="s">
        <v>259</v>
      </c>
      <c r="C19" s="208">
        <f>'KU - Summary'!C41</f>
        <v>0.05354166900257251</v>
      </c>
      <c r="D19" s="208">
        <f>'KU - Summary'!D41</f>
        <v>0.09830164651834578</v>
      </c>
      <c r="E19" s="208">
        <f>'KU - Summary'!E41</f>
        <v>0.11065450151810545</v>
      </c>
      <c r="F19" s="208">
        <f>'KU - Summary'!F41</f>
        <v>0.10704084310399978</v>
      </c>
      <c r="G19" s="208">
        <f>'KU - Summary'!G41</f>
        <v>0.10261080216333636</v>
      </c>
      <c r="H19" s="206"/>
    </row>
    <row r="20" spans="1:8" ht="15.75">
      <c r="A20" s="206"/>
      <c r="B20" s="206"/>
      <c r="C20" s="208"/>
      <c r="D20" s="208"/>
      <c r="E20" s="208"/>
      <c r="F20" s="208"/>
      <c r="G20" s="208"/>
      <c r="H20" s="206"/>
    </row>
    <row r="21" spans="1:8" ht="15.75">
      <c r="A21" s="206"/>
      <c r="B21" s="99" t="s">
        <v>275</v>
      </c>
      <c r="C21" s="208"/>
      <c r="D21" s="208"/>
      <c r="E21" s="208"/>
      <c r="F21" s="208"/>
      <c r="G21" s="208"/>
      <c r="H21" s="206"/>
    </row>
    <row r="22" spans="1:8" ht="15.75">
      <c r="A22" s="206"/>
      <c r="B22" s="209" t="s">
        <v>271</v>
      </c>
      <c r="C22" s="208">
        <v>0.9033</v>
      </c>
      <c r="D22" s="208">
        <v>1.6584</v>
      </c>
      <c r="E22" s="208">
        <v>1.8668</v>
      </c>
      <c r="F22" s="208">
        <v>1.8058</v>
      </c>
      <c r="G22" s="208">
        <v>1.7311</v>
      </c>
      <c r="H22" s="206"/>
    </row>
    <row r="23" spans="1:8" ht="15.75">
      <c r="A23" s="206"/>
      <c r="B23" s="209" t="s">
        <v>272</v>
      </c>
      <c r="C23" s="208">
        <v>0.3156</v>
      </c>
      <c r="D23" s="208">
        <v>0.5795</v>
      </c>
      <c r="E23" s="208">
        <v>0.6523</v>
      </c>
      <c r="F23" s="208">
        <v>0.631</v>
      </c>
      <c r="G23" s="208">
        <v>0.6049</v>
      </c>
      <c r="H23" s="206"/>
    </row>
    <row r="24" spans="1:8" ht="15.75">
      <c r="A24" s="206"/>
      <c r="B24" s="209" t="s">
        <v>273</v>
      </c>
      <c r="C24" s="208">
        <v>0.0087</v>
      </c>
      <c r="D24" s="208">
        <v>0.0159</v>
      </c>
      <c r="E24" s="208">
        <v>0.0179</v>
      </c>
      <c r="F24" s="208">
        <v>0.0173</v>
      </c>
      <c r="G24" s="208">
        <v>0.0166</v>
      </c>
      <c r="H24" s="206"/>
    </row>
    <row r="25" spans="1:8" ht="15.75">
      <c r="A25" s="206"/>
      <c r="B25" s="209" t="s">
        <v>274</v>
      </c>
      <c r="C25" s="208">
        <v>0.0067</v>
      </c>
      <c r="D25" s="208">
        <v>0.0123</v>
      </c>
      <c r="E25" s="208">
        <v>0.0138</v>
      </c>
      <c r="F25" s="208">
        <v>0.0133</v>
      </c>
      <c r="G25" s="208">
        <v>0.0128</v>
      </c>
      <c r="H25" s="206"/>
    </row>
    <row r="26" spans="1:8" ht="15.75">
      <c r="A26" s="206"/>
      <c r="B26" s="206"/>
      <c r="C26" s="208"/>
      <c r="D26" s="208"/>
      <c r="E26" s="208"/>
      <c r="F26" s="208"/>
      <c r="G26" s="208"/>
      <c r="H26" s="206"/>
    </row>
    <row r="27" spans="2:7" ht="15.75">
      <c r="B27" s="100" t="s">
        <v>270</v>
      </c>
      <c r="C27" s="103">
        <f>+'KU - Summary'!C33</f>
        <v>0.0007001553460902223</v>
      </c>
      <c r="D27" s="103">
        <f>+'KU - Summary'!D33</f>
        <v>0.0012908430703608745</v>
      </c>
      <c r="E27" s="103">
        <f>+'KU - Summary'!E33</f>
        <v>0.001452915499559364</v>
      </c>
      <c r="F27" s="103">
        <f>+'KU - Summary'!F33</f>
        <v>0.0014149321375162818</v>
      </c>
      <c r="G27" s="103">
        <f>+'KU - Summary'!G33</f>
        <v>0.0013741926078056858</v>
      </c>
    </row>
    <row r="29" ht="15.75">
      <c r="B29" s="100" t="s">
        <v>283</v>
      </c>
    </row>
    <row r="30" spans="2:7" ht="15.75">
      <c r="B30" s="209" t="s">
        <v>276</v>
      </c>
      <c r="C30" s="208">
        <v>0.1241</v>
      </c>
      <c r="D30" s="208">
        <v>0.2288</v>
      </c>
      <c r="E30" s="208">
        <v>0.2576</v>
      </c>
      <c r="F30" s="208">
        <v>0.2508</v>
      </c>
      <c r="G30" s="208">
        <v>0.2436</v>
      </c>
    </row>
    <row r="31" spans="2:7" ht="15.75">
      <c r="B31" s="209" t="s">
        <v>277</v>
      </c>
      <c r="C31" s="208">
        <v>1.7218</v>
      </c>
      <c r="D31" s="208">
        <v>3.1745</v>
      </c>
      <c r="E31" s="208">
        <v>3.5731</v>
      </c>
      <c r="F31" s="208">
        <v>3.4797</v>
      </c>
      <c r="G31" s="208">
        <v>3.3795</v>
      </c>
    </row>
    <row r="32" spans="2:7" ht="15.75">
      <c r="B32" s="209" t="s">
        <v>278</v>
      </c>
      <c r="C32" s="208">
        <v>3.6521</v>
      </c>
      <c r="D32" s="208">
        <v>6.7332</v>
      </c>
      <c r="E32" s="208">
        <v>7.5786</v>
      </c>
      <c r="F32" s="208">
        <v>7.3805</v>
      </c>
      <c r="G32" s="208">
        <v>7.168</v>
      </c>
    </row>
    <row r="33" spans="2:7" ht="15.75">
      <c r="B33" s="209" t="s">
        <v>279</v>
      </c>
      <c r="C33" s="208">
        <v>8.1622</v>
      </c>
      <c r="D33" s="208">
        <v>15.0482</v>
      </c>
      <c r="E33" s="208">
        <v>16.9376</v>
      </c>
      <c r="F33" s="208">
        <v>16.4948</v>
      </c>
      <c r="G33" s="208">
        <v>16.0198</v>
      </c>
    </row>
    <row r="34" spans="2:7" ht="15.75">
      <c r="B34" s="209" t="s">
        <v>280</v>
      </c>
      <c r="C34" s="208">
        <v>33.0521</v>
      </c>
      <c r="D34" s="208">
        <v>60.9366</v>
      </c>
      <c r="E34" s="208">
        <v>68.5876</v>
      </c>
      <c r="F34" s="208">
        <v>66.7945</v>
      </c>
      <c r="G34" s="208">
        <v>64.8713</v>
      </c>
    </row>
    <row r="35" spans="2:7" ht="15.75">
      <c r="B35" s="209" t="s">
        <v>281</v>
      </c>
      <c r="C35" s="208">
        <v>99.4507</v>
      </c>
      <c r="D35" s="208">
        <v>183.3526</v>
      </c>
      <c r="E35" s="208">
        <v>206.3735</v>
      </c>
      <c r="F35" s="208">
        <v>200.9783</v>
      </c>
      <c r="G35" s="208">
        <v>195.1916</v>
      </c>
    </row>
    <row r="36" spans="2:7" ht="15.75">
      <c r="B36" s="209" t="s">
        <v>282</v>
      </c>
      <c r="C36" s="208">
        <v>962.5019</v>
      </c>
      <c r="D36" s="208">
        <v>1774.519</v>
      </c>
      <c r="E36" s="208">
        <v>1997.3195</v>
      </c>
      <c r="F36" s="208">
        <v>1945.1039</v>
      </c>
      <c r="G36" s="208">
        <v>1889.0994</v>
      </c>
    </row>
  </sheetData>
  <sheetProtection/>
  <printOptions/>
  <pageMargins left="1" right="0.7" top="1.25" bottom="0.75" header="0.3" footer="0.3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80" zoomScaleNormal="80" zoomScalePageLayoutView="0" workbookViewId="0" topLeftCell="A1">
      <selection activeCell="A1" sqref="A1"/>
    </sheetView>
  </sheetViews>
  <sheetFormatPr defaultColWidth="9.33203125" defaultRowHeight="11.25"/>
  <cols>
    <col min="1" max="1" width="52.66015625" style="0" customWidth="1"/>
    <col min="2" max="3" width="15.5" style="0" bestFit="1" customWidth="1"/>
    <col min="4" max="4" width="14.66015625" style="0" customWidth="1"/>
    <col min="5" max="5" width="13.83203125" style="0" customWidth="1"/>
    <col min="6" max="6" width="13.66015625" style="0" customWidth="1"/>
    <col min="7" max="7" width="15.5" style="0" customWidth="1"/>
    <col min="8" max="9" width="15.66015625" style="0" bestFit="1" customWidth="1"/>
    <col min="10" max="10" width="14.16015625" style="0" bestFit="1" customWidth="1"/>
    <col min="11" max="11" width="14" style="0" bestFit="1" customWidth="1"/>
    <col min="12" max="12" width="15.33203125" style="0" customWidth="1"/>
    <col min="13" max="14" width="13.83203125" style="0" customWidth="1"/>
    <col min="15" max="16" width="13.66015625" style="0" customWidth="1"/>
    <col min="17" max="17" width="13.83203125" style="0" customWidth="1"/>
    <col min="18" max="18" width="13.66015625" style="0" customWidth="1"/>
    <col min="19" max="19" width="13.83203125" style="0" customWidth="1"/>
  </cols>
  <sheetData>
    <row r="1" spans="2:14" ht="18.75" customHeight="1">
      <c r="B1" s="38"/>
      <c r="C1" s="38"/>
      <c r="K1" s="46"/>
      <c r="L1" s="46"/>
      <c r="M1" s="46"/>
      <c r="N1" s="46"/>
    </row>
    <row r="2" spans="2:11" ht="18.75" customHeight="1">
      <c r="B2" s="113">
        <v>2018</v>
      </c>
      <c r="C2" s="44">
        <f>B2+1</f>
        <v>2019</v>
      </c>
      <c r="D2" s="44">
        <f>C2+1</f>
        <v>2020</v>
      </c>
      <c r="E2" s="44">
        <f>D2+1</f>
        <v>2021</v>
      </c>
      <c r="F2" s="44">
        <f>E2+1</f>
        <v>2022</v>
      </c>
      <c r="G2" s="44"/>
      <c r="H2" s="44"/>
      <c r="I2" s="44"/>
      <c r="J2" s="44"/>
      <c r="K2" s="44"/>
    </row>
    <row r="3" spans="1:11" ht="18.75" customHeight="1">
      <c r="A3" t="s">
        <v>66</v>
      </c>
      <c r="B3" s="108">
        <f>(21+(6*0.79*0.94))/100</f>
        <v>0.254556</v>
      </c>
      <c r="C3" s="57">
        <f>+B3</f>
        <v>0.254556</v>
      </c>
      <c r="D3" s="57">
        <f>+C3</f>
        <v>0.254556</v>
      </c>
      <c r="E3" s="57">
        <f>+D3</f>
        <v>0.254556</v>
      </c>
      <c r="F3" s="57">
        <f>+E3</f>
        <v>0.254556</v>
      </c>
      <c r="G3" s="57"/>
      <c r="H3" s="57"/>
      <c r="I3" s="57"/>
      <c r="J3" s="57"/>
      <c r="K3" s="57"/>
    </row>
    <row r="4" spans="1:2" ht="18.75" customHeight="1">
      <c r="A4" t="s">
        <v>68</v>
      </c>
      <c r="B4" s="108"/>
    </row>
    <row r="5" spans="1:2" ht="18.75" customHeight="1">
      <c r="A5" t="s">
        <v>67</v>
      </c>
      <c r="B5" s="108">
        <v>0.0015</v>
      </c>
    </row>
    <row r="6" spans="2:3" ht="18.75" customHeight="1">
      <c r="B6" s="20"/>
      <c r="C6" s="20"/>
    </row>
    <row r="7" spans="2:3" ht="18.75" customHeight="1">
      <c r="B7" s="20"/>
      <c r="C7" s="20"/>
    </row>
    <row r="8" spans="1:9" ht="18.75" customHeight="1">
      <c r="A8" s="211" t="s">
        <v>80</v>
      </c>
      <c r="B8" s="211"/>
      <c r="C8" s="211"/>
      <c r="D8" s="211"/>
      <c r="E8" s="211"/>
      <c r="F8" s="211"/>
      <c r="G8" s="211"/>
      <c r="H8" s="211"/>
      <c r="I8" s="211"/>
    </row>
    <row r="9" spans="1:9" ht="18.75" customHeight="1">
      <c r="A9" s="212">
        <v>42794</v>
      </c>
      <c r="B9" s="212"/>
      <c r="C9" s="212"/>
      <c r="D9" s="212"/>
      <c r="E9" s="212"/>
      <c r="F9" s="212"/>
      <c r="G9" s="212"/>
      <c r="H9" s="212"/>
      <c r="I9" s="212"/>
    </row>
    <row r="10" spans="2:19" ht="42" customHeight="1">
      <c r="B10" s="20" t="s">
        <v>72</v>
      </c>
      <c r="C10" s="20" t="s">
        <v>73</v>
      </c>
      <c r="D10" t="s">
        <v>74</v>
      </c>
      <c r="E10" t="s">
        <v>81</v>
      </c>
      <c r="F10" t="s">
        <v>82</v>
      </c>
      <c r="G10" t="s">
        <v>75</v>
      </c>
      <c r="I10" t="s">
        <v>76</v>
      </c>
      <c r="J10" s="77" t="str">
        <f>B2&amp;" Weighted Cost of Capital"</f>
        <v>2018 Weighted Cost of Capital</v>
      </c>
      <c r="K10" s="77" t="str">
        <f>C2&amp;" Weighted Cost of Capital"</f>
        <v>2019 Weighted Cost of Capital</v>
      </c>
      <c r="L10" s="77" t="str">
        <f>D2&amp;" Weighted Cost of Capital"</f>
        <v>2020 Weighted Cost of Capital</v>
      </c>
      <c r="M10" s="77" t="str">
        <f>E2&amp;" Weighted Cost of Capital"</f>
        <v>2021 Weighted Cost of Capital</v>
      </c>
      <c r="N10" s="77" t="str">
        <f>F2&amp;" Weighted Cost of Capital"</f>
        <v>2022 Weighted Cost of Capital</v>
      </c>
      <c r="O10" s="77"/>
      <c r="P10" s="77"/>
      <c r="Q10" s="77"/>
      <c r="R10" s="77"/>
      <c r="S10" s="77"/>
    </row>
    <row r="11" spans="1:19" ht="18.75" customHeight="1">
      <c r="A11" t="s">
        <v>69</v>
      </c>
      <c r="B11" s="58"/>
      <c r="C11" s="57"/>
      <c r="D11" s="58"/>
      <c r="E11" s="58"/>
      <c r="F11" s="58"/>
      <c r="G11" s="107">
        <v>1648523753</v>
      </c>
      <c r="H11" s="57">
        <f>G11/$G$15</f>
        <v>0.4634645180799056</v>
      </c>
      <c r="I11" s="106">
        <v>0.0409</v>
      </c>
      <c r="J11" s="20">
        <f>H11*I11</f>
        <v>0.018955698789468137</v>
      </c>
      <c r="K11" s="20">
        <f aca="true" t="shared" si="0" ref="K11:N13">J11</f>
        <v>0.018955698789468137</v>
      </c>
      <c r="L11" s="20">
        <f t="shared" si="0"/>
        <v>0.018955698789468137</v>
      </c>
      <c r="M11" s="20">
        <f t="shared" si="0"/>
        <v>0.018955698789468137</v>
      </c>
      <c r="N11" s="20">
        <f t="shared" si="0"/>
        <v>0.018955698789468137</v>
      </c>
      <c r="O11" s="20"/>
      <c r="P11" s="20"/>
      <c r="Q11" s="20"/>
      <c r="R11" s="20"/>
      <c r="S11" s="20"/>
    </row>
    <row r="12" spans="1:19" ht="18.75" customHeight="1">
      <c r="A12" t="s">
        <v>70</v>
      </c>
      <c r="B12" s="58"/>
      <c r="C12" s="57"/>
      <c r="D12" s="58"/>
      <c r="E12" s="58"/>
      <c r="F12" s="58"/>
      <c r="G12" s="107">
        <v>12635068</v>
      </c>
      <c r="H12" s="57">
        <f>G12/$G$15</f>
        <v>0.0035522119052699124</v>
      </c>
      <c r="I12" s="106">
        <v>0.0094</v>
      </c>
      <c r="J12" s="20">
        <f>H12*I12</f>
        <v>3.3390791909537176E-05</v>
      </c>
      <c r="K12" s="20">
        <f t="shared" si="0"/>
        <v>3.3390791909537176E-05</v>
      </c>
      <c r="L12" s="20">
        <f t="shared" si="0"/>
        <v>3.3390791909537176E-05</v>
      </c>
      <c r="M12" s="20">
        <f t="shared" si="0"/>
        <v>3.3390791909537176E-05</v>
      </c>
      <c r="N12" s="20">
        <f t="shared" si="0"/>
        <v>3.3390791909537176E-05</v>
      </c>
      <c r="O12" s="20"/>
      <c r="P12" s="20"/>
      <c r="Q12" s="20"/>
      <c r="R12" s="20"/>
      <c r="S12" s="20"/>
    </row>
    <row r="13" spans="1:19" ht="18.75" customHeight="1">
      <c r="A13" t="s">
        <v>71</v>
      </c>
      <c r="B13" s="58"/>
      <c r="C13" s="57"/>
      <c r="D13" s="58"/>
      <c r="E13" s="58"/>
      <c r="F13" s="58"/>
      <c r="G13" s="105">
        <v>0</v>
      </c>
      <c r="H13" s="57">
        <f>G13/$G$15</f>
        <v>0</v>
      </c>
      <c r="I13" s="106">
        <v>0</v>
      </c>
      <c r="J13" s="20">
        <f>H13*I13</f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/>
      <c r="P13" s="20"/>
      <c r="Q13" s="20"/>
      <c r="R13" s="20"/>
      <c r="S13" s="20"/>
    </row>
    <row r="14" spans="1:19" ht="18.75" customHeight="1">
      <c r="A14" t="s">
        <v>183</v>
      </c>
      <c r="B14" s="58"/>
      <c r="C14" s="57"/>
      <c r="D14" s="58"/>
      <c r="E14" s="58"/>
      <c r="F14" s="58"/>
      <c r="G14" s="107">
        <v>1895799023</v>
      </c>
      <c r="H14" s="57">
        <f>G14/$G$15</f>
        <v>0.5329832700148245</v>
      </c>
      <c r="I14" s="106">
        <v>0.097</v>
      </c>
      <c r="J14" s="20">
        <f>H14*I14</f>
        <v>0.051699377191437974</v>
      </c>
      <c r="K14" s="20">
        <f>J14</f>
        <v>0.051699377191437974</v>
      </c>
      <c r="L14" s="20">
        <f>K14</f>
        <v>0.051699377191437974</v>
      </c>
      <c r="M14" s="20">
        <f>L14</f>
        <v>0.051699377191437974</v>
      </c>
      <c r="N14" s="20">
        <f>M14</f>
        <v>0.051699377191437974</v>
      </c>
      <c r="O14" s="20"/>
      <c r="P14" s="20"/>
      <c r="Q14" s="20"/>
      <c r="R14" s="20"/>
      <c r="S14" s="20"/>
    </row>
    <row r="15" spans="1:19" ht="18.75" customHeight="1">
      <c r="A15" t="s">
        <v>20</v>
      </c>
      <c r="B15" s="58"/>
      <c r="C15" s="57"/>
      <c r="D15" s="58"/>
      <c r="E15" s="58"/>
      <c r="F15" s="58"/>
      <c r="G15" s="58">
        <f>SUM(G11:G14)</f>
        <v>3556957844</v>
      </c>
      <c r="H15" s="58"/>
      <c r="I15" s="57"/>
      <c r="J15" s="20">
        <f>SUM(J11:J14)</f>
        <v>0.07068846677281565</v>
      </c>
      <c r="K15" s="20">
        <f>SUM(K11:K14)</f>
        <v>0.07068846677281565</v>
      </c>
      <c r="L15" s="20">
        <f>SUM(L11:L14)</f>
        <v>0.07068846677281565</v>
      </c>
      <c r="M15" s="20">
        <f>SUM(M11:M14)</f>
        <v>0.07068846677281565</v>
      </c>
      <c r="N15" s="20">
        <f>SUM(N11:N14)</f>
        <v>0.07068846677281565</v>
      </c>
      <c r="O15" s="20"/>
      <c r="P15" s="20"/>
      <c r="Q15" s="20"/>
      <c r="R15" s="20"/>
      <c r="S15" s="20"/>
    </row>
    <row r="16" spans="1:19" ht="18.75" customHeight="1">
      <c r="A16" t="s">
        <v>78</v>
      </c>
      <c r="B16" s="58"/>
      <c r="C16" s="57"/>
      <c r="D16" s="58"/>
      <c r="E16" s="46"/>
      <c r="F16" s="58"/>
      <c r="G16" s="58"/>
      <c r="H16" s="58"/>
      <c r="I16" s="57"/>
      <c r="J16" s="20">
        <f>J11+J12</f>
        <v>0.018989089581377672</v>
      </c>
      <c r="K16" s="20">
        <f>K11+K12</f>
        <v>0.018989089581377672</v>
      </c>
      <c r="L16" s="20">
        <f>L11+L12</f>
        <v>0.018989089581377672</v>
      </c>
      <c r="M16" s="20">
        <f>M11+M12</f>
        <v>0.018989089581377672</v>
      </c>
      <c r="N16" s="20">
        <f>N11+N12</f>
        <v>0.018989089581377672</v>
      </c>
      <c r="O16" s="20"/>
      <c r="P16" s="20"/>
      <c r="Q16" s="20"/>
      <c r="R16" s="20"/>
      <c r="S16" s="20"/>
    </row>
    <row r="17" spans="1:19" ht="18.75" customHeight="1">
      <c r="A17" t="s">
        <v>77</v>
      </c>
      <c r="B17" s="58"/>
      <c r="C17" s="57"/>
      <c r="D17" s="46"/>
      <c r="E17" s="46"/>
      <c r="F17" s="46"/>
      <c r="G17" s="46"/>
      <c r="H17" s="46"/>
      <c r="I17" s="46"/>
      <c r="J17" s="57">
        <f>B3</f>
        <v>0.254556</v>
      </c>
      <c r="K17" s="57">
        <f>C3</f>
        <v>0.254556</v>
      </c>
      <c r="L17" s="57">
        <f>D3</f>
        <v>0.254556</v>
      </c>
      <c r="M17" s="57">
        <f>E3</f>
        <v>0.254556</v>
      </c>
      <c r="N17" s="57">
        <f>F3</f>
        <v>0.254556</v>
      </c>
      <c r="O17" s="57"/>
      <c r="P17" s="57"/>
      <c r="Q17" s="57"/>
      <c r="R17" s="57"/>
      <c r="S17" s="57"/>
    </row>
    <row r="18" spans="1:19" ht="18.75" customHeight="1">
      <c r="A18" t="s">
        <v>79</v>
      </c>
      <c r="B18" s="46"/>
      <c r="C18" s="46"/>
      <c r="D18" s="46"/>
      <c r="E18" s="46"/>
      <c r="F18" s="46"/>
      <c r="G18" s="46"/>
      <c r="H18" s="46"/>
      <c r="I18" s="46"/>
      <c r="J18" s="20">
        <f>(J15+(J15-J16)*(J17/(1-J17)))</f>
        <v>0.08834289374565826</v>
      </c>
      <c r="K18" s="20">
        <f>(K15+(K15-K16)*(K17/(1-K17)))</f>
        <v>0.08834289374565826</v>
      </c>
      <c r="L18" s="20">
        <f>(L15+(L15-L16)*(L17/(1-L17)))</f>
        <v>0.08834289374565826</v>
      </c>
      <c r="M18" s="20">
        <f>(M15+(M15-M16)*(M17/(1-M17)))</f>
        <v>0.08834289374565826</v>
      </c>
      <c r="N18" s="20">
        <f>(N15+(N15-N16)*(N17/(1-N17)))</f>
        <v>0.08834289374565826</v>
      </c>
      <c r="O18" s="20"/>
      <c r="P18" s="20"/>
      <c r="Q18" s="20"/>
      <c r="R18" s="20"/>
      <c r="S18" s="20"/>
    </row>
    <row r="19" ht="18.75" customHeight="1">
      <c r="C19" s="20"/>
    </row>
    <row r="20" spans="2:15" ht="18.75" customHeight="1">
      <c r="B20" s="63"/>
      <c r="C20" s="63"/>
      <c r="G20" s="187" t="s">
        <v>93</v>
      </c>
      <c r="H20" s="187"/>
      <c r="I20" s="63"/>
      <c r="J20" s="63"/>
      <c r="K20" s="63"/>
      <c r="M20" s="63"/>
      <c r="N20" s="63"/>
      <c r="O20" s="63"/>
    </row>
    <row r="21" spans="1:11" ht="18.75" customHeight="1">
      <c r="A21" s="187" t="s">
        <v>41</v>
      </c>
      <c r="B21" s="45"/>
      <c r="G21" s="188" t="str">
        <f>TEXT(42979,"m/d/yyy")&amp;" Expense Month"</f>
        <v>9/1/2017 Expense Month</v>
      </c>
      <c r="H21" s="188"/>
      <c r="I21" s="186"/>
      <c r="J21" s="63"/>
      <c r="K21" s="63"/>
    </row>
    <row r="22" spans="1:8" ht="18.75" customHeight="1">
      <c r="A22" s="82" t="s">
        <v>227</v>
      </c>
      <c r="B22" s="38" t="s">
        <v>52</v>
      </c>
      <c r="H22" s="38" t="s">
        <v>52</v>
      </c>
    </row>
    <row r="23" spans="1:14" ht="18.75" customHeight="1">
      <c r="A23" s="19">
        <v>42705</v>
      </c>
      <c r="B23" s="108">
        <v>0.8674</v>
      </c>
      <c r="G23" t="s">
        <v>83</v>
      </c>
      <c r="H23" s="109">
        <v>12.25</v>
      </c>
      <c r="N23" s="42"/>
    </row>
    <row r="24" spans="1:15" ht="18.75" customHeight="1">
      <c r="A24" s="19">
        <v>42736</v>
      </c>
      <c r="B24" s="108">
        <v>0.881</v>
      </c>
      <c r="G24" t="s">
        <v>90</v>
      </c>
      <c r="H24" s="110">
        <v>0.08795</v>
      </c>
      <c r="M24" s="84"/>
      <c r="N24" s="85"/>
      <c r="O24" s="90"/>
    </row>
    <row r="25" spans="1:15" ht="18.75" customHeight="1">
      <c r="A25" s="19">
        <v>42767</v>
      </c>
      <c r="B25" s="108">
        <v>0.8834</v>
      </c>
      <c r="G25" t="s">
        <v>91</v>
      </c>
      <c r="H25" s="110">
        <v>-0.00309</v>
      </c>
      <c r="M25" s="84"/>
      <c r="N25" s="85"/>
      <c r="O25" s="90"/>
    </row>
    <row r="26" spans="1:8" ht="18.75" customHeight="1">
      <c r="A26" s="19">
        <v>42795</v>
      </c>
      <c r="B26" s="108">
        <v>0.8767</v>
      </c>
      <c r="G26" t="s">
        <v>92</v>
      </c>
      <c r="H26" s="110">
        <v>0.0029</v>
      </c>
    </row>
    <row r="27" spans="1:8" ht="18.75" customHeight="1">
      <c r="A27" s="19">
        <v>42826</v>
      </c>
      <c r="B27" s="108">
        <v>0.8799</v>
      </c>
      <c r="G27" t="s">
        <v>94</v>
      </c>
      <c r="H27" s="110">
        <v>0.0322</v>
      </c>
    </row>
    <row r="28" spans="1:2" ht="18.75" customHeight="1">
      <c r="A28" s="19">
        <v>42856</v>
      </c>
      <c r="B28" s="108">
        <v>0.8858</v>
      </c>
    </row>
    <row r="29" spans="1:2" ht="18.75" customHeight="1">
      <c r="A29" s="19">
        <v>42887</v>
      </c>
      <c r="B29" s="108">
        <v>0.8692</v>
      </c>
    </row>
    <row r="30" spans="1:8" ht="18.75" customHeight="1">
      <c r="A30" s="19">
        <v>42917</v>
      </c>
      <c r="B30" s="108">
        <v>0.8819</v>
      </c>
      <c r="G30" s="203" t="s">
        <v>262</v>
      </c>
      <c r="H30" s="119"/>
    </row>
    <row r="31" spans="1:8" ht="18.75" customHeight="1">
      <c r="A31" s="19">
        <v>42948</v>
      </c>
      <c r="B31" s="108">
        <v>0.8926</v>
      </c>
      <c r="G31" s="2" t="s">
        <v>260</v>
      </c>
      <c r="H31" s="42">
        <v>0.4</v>
      </c>
    </row>
    <row r="32" spans="1:8" ht="18.75" customHeight="1">
      <c r="A32" s="19">
        <v>42979</v>
      </c>
      <c r="B32" s="108">
        <v>0.8878</v>
      </c>
      <c r="G32" s="2" t="s">
        <v>261</v>
      </c>
      <c r="H32" s="42">
        <v>0.6</v>
      </c>
    </row>
    <row r="33" spans="1:2" ht="18.75" customHeight="1">
      <c r="A33" s="19">
        <v>43009</v>
      </c>
      <c r="B33" s="108">
        <v>0.8887</v>
      </c>
    </row>
    <row r="34" spans="1:2" ht="18.75" customHeight="1">
      <c r="A34" s="19">
        <v>43040</v>
      </c>
      <c r="B34" s="108">
        <v>0.8717</v>
      </c>
    </row>
    <row r="35" spans="1:2" ht="18.75" customHeight="1">
      <c r="A35" s="190" t="s">
        <v>21</v>
      </c>
      <c r="B35" s="20">
        <f>AVERAGE(B23:B34)</f>
        <v>0.8805083333333333</v>
      </c>
    </row>
    <row r="36" spans="1:13" ht="18.75" customHeight="1">
      <c r="A36" s="46"/>
      <c r="K36" s="42"/>
      <c r="M36" s="81"/>
    </row>
    <row r="37" spans="1:2" ht="18.75" customHeight="1">
      <c r="A37" s="189" t="str">
        <f>""&amp;TEXT(Input!$G$21,"mmm yy")&amp;" Avg Mth Juris Rev"</f>
        <v>9/1/2017 Expense Month Avg Mth Juris Rev</v>
      </c>
      <c r="B37" s="111">
        <f>(48800292+48812315)*12</f>
        <v>1171351284</v>
      </c>
    </row>
    <row r="38" spans="1:3" ht="18.75" customHeight="1">
      <c r="A38" s="19"/>
      <c r="B38" s="41"/>
      <c r="C38" s="41"/>
    </row>
    <row r="39" spans="1:15" ht="18.75" customHeight="1">
      <c r="A39" s="213" t="s">
        <v>86</v>
      </c>
      <c r="B39" s="213"/>
      <c r="C39" s="213"/>
      <c r="D39" s="213"/>
      <c r="E39" s="213"/>
      <c r="F39" s="213"/>
      <c r="G39" s="204"/>
      <c r="H39" s="204"/>
      <c r="I39" s="204"/>
      <c r="J39" s="204"/>
      <c r="K39" s="204"/>
      <c r="L39" s="46"/>
      <c r="M39" s="46"/>
      <c r="N39" s="46"/>
      <c r="O39" s="46"/>
    </row>
    <row r="40" spans="1:13" ht="18.75" customHeight="1">
      <c r="A40" s="21" t="s">
        <v>52</v>
      </c>
      <c r="B40" s="112">
        <v>2018</v>
      </c>
      <c r="C40" s="83">
        <f>B40+1</f>
        <v>2019</v>
      </c>
      <c r="D40" s="83">
        <f>C40+1</f>
        <v>2020</v>
      </c>
      <c r="E40" s="83">
        <f>D40+1</f>
        <v>2021</v>
      </c>
      <c r="F40" s="83">
        <f>E40+1</f>
        <v>2022</v>
      </c>
      <c r="G40" s="83"/>
      <c r="H40" s="1"/>
      <c r="I40" s="112"/>
      <c r="J40" s="83"/>
      <c r="K40" s="83"/>
      <c r="L40" s="83"/>
      <c r="M40" s="83"/>
    </row>
    <row r="41" spans="1:13" ht="18.75" customHeight="1">
      <c r="A41" s="46" t="s">
        <v>181</v>
      </c>
      <c r="B41" s="111">
        <v>951240295.4234641</v>
      </c>
      <c r="C41" s="111">
        <v>947785599.2254449</v>
      </c>
      <c r="D41" s="111">
        <v>947972854.993384</v>
      </c>
      <c r="E41" s="111">
        <v>945825579.646235</v>
      </c>
      <c r="F41" s="111">
        <v>945892707.1003599</v>
      </c>
      <c r="G41" s="111"/>
      <c r="H41" s="46"/>
      <c r="I41" s="111"/>
      <c r="J41" s="111"/>
      <c r="K41" s="111"/>
      <c r="L41" s="111"/>
      <c r="M41" s="111"/>
    </row>
    <row r="42" spans="1:13" ht="18.75" customHeight="1">
      <c r="A42" s="46" t="s">
        <v>204</v>
      </c>
      <c r="B42" s="111">
        <v>437715242.18931496</v>
      </c>
      <c r="C42" s="111">
        <v>437224730.169667</v>
      </c>
      <c r="D42" s="111">
        <v>436987063.474168</v>
      </c>
      <c r="E42" s="111">
        <v>445777276.851433</v>
      </c>
      <c r="F42" s="111">
        <v>464689878.406693</v>
      </c>
      <c r="G42" s="111"/>
      <c r="H42" s="46"/>
      <c r="I42" s="111"/>
      <c r="J42" s="111"/>
      <c r="K42" s="111"/>
      <c r="L42" s="111"/>
      <c r="M42" s="111"/>
    </row>
    <row r="43" spans="1:13" ht="18.75" customHeight="1">
      <c r="A43" s="46" t="s">
        <v>248</v>
      </c>
      <c r="B43" s="111">
        <v>-180275.960554086</v>
      </c>
      <c r="C43" s="111">
        <v>-95188.01278982661</v>
      </c>
      <c r="D43" s="111">
        <v>-291505.39899578004</v>
      </c>
      <c r="E43" s="111">
        <v>-706520.65338322</v>
      </c>
      <c r="F43" s="111">
        <v>-1088709.29389807</v>
      </c>
      <c r="G43" s="111"/>
      <c r="H43" s="46"/>
      <c r="I43" s="111"/>
      <c r="J43" s="111"/>
      <c r="K43" s="111"/>
      <c r="L43" s="111"/>
      <c r="M43" s="111"/>
    </row>
    <row r="44" spans="1:13" ht="18.75" customHeight="1">
      <c r="A44" s="46" t="s">
        <v>205</v>
      </c>
      <c r="B44" s="111">
        <v>171494350.44276002</v>
      </c>
      <c r="C44" s="111">
        <v>195905526.51707798</v>
      </c>
      <c r="D44" s="111">
        <v>203453526.95891902</v>
      </c>
      <c r="E44" s="111">
        <v>205203205.794379</v>
      </c>
      <c r="F44" s="111">
        <v>203580943.84124</v>
      </c>
      <c r="G44" s="111"/>
      <c r="H44" s="46"/>
      <c r="I44" s="111"/>
      <c r="J44" s="111"/>
      <c r="K44" s="111"/>
      <c r="L44" s="111"/>
      <c r="M44" s="111"/>
    </row>
    <row r="45" spans="1:13" ht="18.75" customHeight="1">
      <c r="A45" s="60" t="s">
        <v>206</v>
      </c>
      <c r="B45" s="111">
        <v>25784491.556606002</v>
      </c>
      <c r="C45" s="111">
        <v>15328512.6807235</v>
      </c>
      <c r="D45" s="111">
        <v>14478843.54038</v>
      </c>
      <c r="E45" s="111">
        <v>14367481.5749097</v>
      </c>
      <c r="F45" s="111">
        <v>14442481.493406199</v>
      </c>
      <c r="G45" s="111"/>
      <c r="H45" s="60"/>
      <c r="I45" s="111"/>
      <c r="J45" s="111"/>
      <c r="K45" s="111"/>
      <c r="L45" s="111"/>
      <c r="M45" s="111"/>
    </row>
    <row r="46" spans="1:13" ht="18.75" customHeight="1">
      <c r="A46" s="86" t="s">
        <v>184</v>
      </c>
      <c r="B46" s="58">
        <f>SUM(B41:B45)-B44</f>
        <v>1414559753.208831</v>
      </c>
      <c r="C46" s="58">
        <f>SUM(C41:C45)-C44</f>
        <v>1400243654.0630457</v>
      </c>
      <c r="D46" s="58">
        <f>SUM(D41:D45)-D44</f>
        <v>1399147256.608936</v>
      </c>
      <c r="E46" s="58">
        <f>SUM(E41:E45)-E44</f>
        <v>1405263817.4191945</v>
      </c>
      <c r="F46" s="58">
        <f>SUM(F41:F45)-F44</f>
        <v>1423936357.706561</v>
      </c>
      <c r="G46" s="58"/>
      <c r="H46" s="86"/>
      <c r="I46" s="58"/>
      <c r="J46" s="58"/>
      <c r="K46" s="58"/>
      <c r="L46" s="58"/>
      <c r="M46" s="58"/>
    </row>
    <row r="47" spans="1:13" ht="18.75" customHeight="1">
      <c r="A47" s="78" t="s">
        <v>85</v>
      </c>
      <c r="B47" s="58"/>
      <c r="C47" s="79">
        <f>(C46-B46)/B46</f>
        <v>-0.010120533341423188</v>
      </c>
      <c r="D47" s="79">
        <f>(D46-C46)/C46</f>
        <v>-0.0007830047655836786</v>
      </c>
      <c r="E47" s="79">
        <f>(E46-D46)/D46</f>
        <v>0.004371634780661245</v>
      </c>
      <c r="F47" s="79">
        <f>(F46-E46)/E46</f>
        <v>0.013287569249209917</v>
      </c>
      <c r="G47" s="79"/>
      <c r="H47" s="78"/>
      <c r="I47" s="58"/>
      <c r="J47" s="79"/>
      <c r="K47" s="79"/>
      <c r="L47" s="79"/>
      <c r="M47" s="79"/>
    </row>
    <row r="48" spans="1:11" ht="18.75" customHeight="1">
      <c r="A48" s="78"/>
      <c r="B48" s="58"/>
      <c r="C48" s="58"/>
      <c r="D48" s="80"/>
      <c r="E48" s="80"/>
      <c r="F48" s="80"/>
      <c r="G48" s="80"/>
      <c r="H48" s="80"/>
      <c r="I48" s="80"/>
      <c r="J48" s="80"/>
      <c r="K48" s="80"/>
    </row>
    <row r="49" spans="1:9" ht="18.75" customHeight="1">
      <c r="A49" s="46"/>
      <c r="B49" s="202"/>
      <c r="C49" s="202"/>
      <c r="D49" s="202"/>
      <c r="E49" s="202"/>
      <c r="F49" s="202"/>
      <c r="G49" s="42"/>
      <c r="I49" s="81"/>
    </row>
    <row r="50" spans="1:6" ht="18.75" customHeight="1">
      <c r="A50" s="1" t="s">
        <v>263</v>
      </c>
      <c r="B50" s="112">
        <v>2018</v>
      </c>
      <c r="C50" s="83">
        <f>B50+1</f>
        <v>2019</v>
      </c>
      <c r="D50" s="83">
        <f>C50+1</f>
        <v>2020</v>
      </c>
      <c r="E50" s="83">
        <f>D50+1</f>
        <v>2021</v>
      </c>
      <c r="F50" s="83">
        <f>E50+1</f>
        <v>2022</v>
      </c>
    </row>
    <row r="51" spans="1:13" ht="18.75" customHeight="1">
      <c r="A51" s="46" t="s">
        <v>181</v>
      </c>
      <c r="B51" s="111">
        <f>+B41*$H$31</f>
        <v>380496118.1693857</v>
      </c>
      <c r="C51" s="111">
        <f>+C41*$H$31</f>
        <v>379114239.690178</v>
      </c>
      <c r="D51" s="111">
        <f>+D41*$H$31</f>
        <v>379189141.9973536</v>
      </c>
      <c r="E51" s="111">
        <f>+E41*$H$31</f>
        <v>378330231.85849404</v>
      </c>
      <c r="F51" s="111">
        <f>+F41*$H$31</f>
        <v>378357082.840144</v>
      </c>
      <c r="I51" s="41"/>
      <c r="J51" s="41"/>
      <c r="K51" s="41"/>
      <c r="L51" s="41"/>
      <c r="M51" s="41"/>
    </row>
    <row r="52" spans="1:13" ht="18.75" customHeight="1">
      <c r="A52" s="46" t="s">
        <v>204</v>
      </c>
      <c r="B52" s="111">
        <f aca="true" t="shared" si="1" ref="B52:F55">+B42*$H$31</f>
        <v>175086096.87572598</v>
      </c>
      <c r="C52" s="111">
        <f t="shared" si="1"/>
        <v>174889892.0678668</v>
      </c>
      <c r="D52" s="111">
        <f t="shared" si="1"/>
        <v>174794825.3896672</v>
      </c>
      <c r="E52" s="111">
        <f t="shared" si="1"/>
        <v>178310910.7405732</v>
      </c>
      <c r="F52" s="111">
        <f t="shared" si="1"/>
        <v>185875951.36267722</v>
      </c>
      <c r="I52" s="41"/>
      <c r="J52" s="41"/>
      <c r="K52" s="41"/>
      <c r="L52" s="41"/>
      <c r="M52" s="41"/>
    </row>
    <row r="53" spans="1:13" ht="18.75" customHeight="1">
      <c r="A53" s="46" t="s">
        <v>248</v>
      </c>
      <c r="B53" s="111">
        <f t="shared" si="1"/>
        <v>-72110.3842216344</v>
      </c>
      <c r="C53" s="111">
        <f t="shared" si="1"/>
        <v>-38075.20511593064</v>
      </c>
      <c r="D53" s="111">
        <f t="shared" si="1"/>
        <v>-116602.15959831202</v>
      </c>
      <c r="E53" s="111">
        <f t="shared" si="1"/>
        <v>-282608.261353288</v>
      </c>
      <c r="F53" s="111">
        <f t="shared" si="1"/>
        <v>-435483.717559228</v>
      </c>
      <c r="I53" s="41"/>
      <c r="J53" s="41"/>
      <c r="K53" s="41"/>
      <c r="L53" s="41"/>
      <c r="M53" s="41"/>
    </row>
    <row r="54" spans="1:13" ht="18.75" customHeight="1">
      <c r="A54" s="46" t="s">
        <v>205</v>
      </c>
      <c r="B54" s="111">
        <f t="shared" si="1"/>
        <v>68597740.17710401</v>
      </c>
      <c r="C54" s="111">
        <f t="shared" si="1"/>
        <v>78362210.6068312</v>
      </c>
      <c r="D54" s="111">
        <f t="shared" si="1"/>
        <v>81381410.7835676</v>
      </c>
      <c r="E54" s="111">
        <f t="shared" si="1"/>
        <v>82081282.3177516</v>
      </c>
      <c r="F54" s="111">
        <f t="shared" si="1"/>
        <v>81432377.536496</v>
      </c>
      <c r="I54" s="41"/>
      <c r="J54" s="41"/>
      <c r="K54" s="41"/>
      <c r="L54" s="41"/>
      <c r="M54" s="41"/>
    </row>
    <row r="55" spans="1:13" ht="18.75" customHeight="1">
      <c r="A55" s="60" t="s">
        <v>206</v>
      </c>
      <c r="B55" s="111">
        <f t="shared" si="1"/>
        <v>10313796.622642402</v>
      </c>
      <c r="C55" s="111">
        <f t="shared" si="1"/>
        <v>6131405.0722894</v>
      </c>
      <c r="D55" s="111">
        <f t="shared" si="1"/>
        <v>5791537.416152</v>
      </c>
      <c r="E55" s="111">
        <f t="shared" si="1"/>
        <v>5746992.62996388</v>
      </c>
      <c r="F55" s="111">
        <f t="shared" si="1"/>
        <v>5776992.59736248</v>
      </c>
      <c r="I55" s="41"/>
      <c r="J55" s="41"/>
      <c r="K55" s="41"/>
      <c r="L55" s="41"/>
      <c r="M55" s="41"/>
    </row>
    <row r="56" spans="1:13" ht="18.75" customHeight="1">
      <c r="A56" s="86" t="s">
        <v>184</v>
      </c>
      <c r="B56" s="58">
        <f>SUM(B51:B55)-B54</f>
        <v>565823901.2835324</v>
      </c>
      <c r="C56" s="58">
        <f>SUM(C51:C55)-C54</f>
        <v>560097461.6252182</v>
      </c>
      <c r="D56" s="58">
        <f>SUM(D51:D55)-D54</f>
        <v>559658902.6435745</v>
      </c>
      <c r="E56" s="58">
        <f>SUM(E51:E55)-E54</f>
        <v>562105526.9676778</v>
      </c>
      <c r="F56" s="58">
        <f>SUM(F51:F55)-F54</f>
        <v>569574543.0826246</v>
      </c>
      <c r="I56" s="41"/>
      <c r="J56" s="41"/>
      <c r="K56" s="41"/>
      <c r="L56" s="41"/>
      <c r="M56" s="41"/>
    </row>
    <row r="57" spans="1:6" ht="18.75" customHeight="1">
      <c r="A57" s="78" t="s">
        <v>85</v>
      </c>
      <c r="B57" s="58"/>
      <c r="C57" s="79">
        <f>(C56-B56)/B56</f>
        <v>-0.010120533341423358</v>
      </c>
      <c r="D57" s="79">
        <f>(D56-C56)/C56</f>
        <v>-0.0007830047655833383</v>
      </c>
      <c r="E57" s="79">
        <f>(E56-D56)/D56</f>
        <v>0.004371634780661244</v>
      </c>
      <c r="F57" s="79">
        <f>(F56-E56)/E56</f>
        <v>0.013287569249210044</v>
      </c>
    </row>
    <row r="58" ht="18.75" customHeight="1"/>
    <row r="59" ht="18.75" customHeight="1"/>
    <row r="60" spans="1:6" ht="18.75" customHeight="1">
      <c r="A60" s="1" t="s">
        <v>264</v>
      </c>
      <c r="B60" s="112">
        <v>2018</v>
      </c>
      <c r="C60" s="83">
        <f>B60+1</f>
        <v>2019</v>
      </c>
      <c r="D60" s="83">
        <f>C60+1</f>
        <v>2020</v>
      </c>
      <c r="E60" s="83">
        <f>D60+1</f>
        <v>2021</v>
      </c>
      <c r="F60" s="83">
        <f>E60+1</f>
        <v>2022</v>
      </c>
    </row>
    <row r="61" spans="1:6" ht="18.75" customHeight="1">
      <c r="A61" s="46" t="s">
        <v>181</v>
      </c>
      <c r="B61" s="111">
        <f aca="true" t="shared" si="2" ref="B61:F65">+B41*$H$32</f>
        <v>570744177.2540784</v>
      </c>
      <c r="C61" s="111">
        <f t="shared" si="2"/>
        <v>568671359.5352669</v>
      </c>
      <c r="D61" s="111">
        <f t="shared" si="2"/>
        <v>568783712.9960303</v>
      </c>
      <c r="E61" s="111">
        <f t="shared" si="2"/>
        <v>567495347.787741</v>
      </c>
      <c r="F61" s="111">
        <f t="shared" si="2"/>
        <v>567535624.2602159</v>
      </c>
    </row>
    <row r="62" spans="1:6" ht="18.75" customHeight="1">
      <c r="A62" s="46" t="s">
        <v>204</v>
      </c>
      <c r="B62" s="111">
        <f t="shared" si="2"/>
        <v>262629145.31358898</v>
      </c>
      <c r="C62" s="111">
        <f t="shared" si="2"/>
        <v>262334838.1018002</v>
      </c>
      <c r="D62" s="111">
        <f t="shared" si="2"/>
        <v>262192238.0845008</v>
      </c>
      <c r="E62" s="111">
        <f t="shared" si="2"/>
        <v>267466366.11085978</v>
      </c>
      <c r="F62" s="111">
        <f t="shared" si="2"/>
        <v>278813927.04401577</v>
      </c>
    </row>
    <row r="63" spans="1:6" ht="18.75" customHeight="1">
      <c r="A63" s="46" t="s">
        <v>248</v>
      </c>
      <c r="B63" s="111">
        <f t="shared" si="2"/>
        <v>-108165.57633245159</v>
      </c>
      <c r="C63" s="111">
        <f t="shared" si="2"/>
        <v>-57112.807673895964</v>
      </c>
      <c r="D63" s="111">
        <f t="shared" si="2"/>
        <v>-174903.23939746802</v>
      </c>
      <c r="E63" s="111">
        <f t="shared" si="2"/>
        <v>-423912.39202993194</v>
      </c>
      <c r="F63" s="111">
        <f t="shared" si="2"/>
        <v>-653225.5763388419</v>
      </c>
    </row>
    <row r="64" spans="1:6" ht="18.75" customHeight="1">
      <c r="A64" s="46" t="s">
        <v>205</v>
      </c>
      <c r="B64" s="111">
        <f t="shared" si="2"/>
        <v>102896610.26565601</v>
      </c>
      <c r="C64" s="111">
        <f t="shared" si="2"/>
        <v>117543315.91024679</v>
      </c>
      <c r="D64" s="111">
        <f t="shared" si="2"/>
        <v>122072116.17535141</v>
      </c>
      <c r="E64" s="111">
        <f t="shared" si="2"/>
        <v>123121923.4766274</v>
      </c>
      <c r="F64" s="111">
        <f t="shared" si="2"/>
        <v>122148566.30474399</v>
      </c>
    </row>
    <row r="65" spans="1:6" ht="18.75" customHeight="1">
      <c r="A65" s="60" t="s">
        <v>206</v>
      </c>
      <c r="B65" s="111">
        <f t="shared" si="2"/>
        <v>15470694.9339636</v>
      </c>
      <c r="C65" s="111">
        <f t="shared" si="2"/>
        <v>9197107.6084341</v>
      </c>
      <c r="D65" s="111">
        <f t="shared" si="2"/>
        <v>8687306.124227999</v>
      </c>
      <c r="E65" s="111">
        <f t="shared" si="2"/>
        <v>8620488.94494582</v>
      </c>
      <c r="F65" s="111">
        <f t="shared" si="2"/>
        <v>8665488.89604372</v>
      </c>
    </row>
    <row r="66" spans="1:6" ht="18.75" customHeight="1">
      <c r="A66" s="86" t="s">
        <v>184</v>
      </c>
      <c r="B66" s="58">
        <f>SUM(B61:B65)-B64</f>
        <v>848735851.9252986</v>
      </c>
      <c r="C66" s="58">
        <f>SUM(C61:C65)-C64</f>
        <v>840146192.4378273</v>
      </c>
      <c r="D66" s="58">
        <f>SUM(D61:D65)-D64</f>
        <v>839488353.9653616</v>
      </c>
      <c r="E66" s="58">
        <f>SUM(E61:E65)-E64</f>
        <v>843158290.4515166</v>
      </c>
      <c r="F66" s="58">
        <f>SUM(F61:F65)-F64</f>
        <v>854361814.6239365</v>
      </c>
    </row>
    <row r="67" spans="1:6" ht="18.75" customHeight="1">
      <c r="A67" s="78" t="s">
        <v>85</v>
      </c>
      <c r="B67" s="58"/>
      <c r="C67" s="79">
        <f>(C66-B66)/B66</f>
        <v>-0.010120533341423217</v>
      </c>
      <c r="D67" s="79">
        <f>(D66-C66)/C66</f>
        <v>-0.000783004765583622</v>
      </c>
      <c r="E67" s="79">
        <f>(E66-D66)/D66</f>
        <v>0.004371634780661245</v>
      </c>
      <c r="F67" s="79">
        <f>(F66-E66)/E66</f>
        <v>0.013287569249209834</v>
      </c>
    </row>
    <row r="68" spans="1:6" ht="18.75" customHeight="1">
      <c r="A68" s="205" t="s">
        <v>265</v>
      </c>
      <c r="B68" s="58">
        <f>+B61+B65</f>
        <v>586214872.188042</v>
      </c>
      <c r="C68" s="58">
        <f>+C61+C65</f>
        <v>577868467.143701</v>
      </c>
      <c r="D68" s="58">
        <f>+D61+D65</f>
        <v>577471019.1202583</v>
      </c>
      <c r="E68" s="58">
        <f>+E61+E65</f>
        <v>576115836.7326868</v>
      </c>
      <c r="F68" s="58">
        <f>+F61+F65</f>
        <v>576201113.1562597</v>
      </c>
    </row>
    <row r="69" spans="1:6" ht="18.75" customHeight="1">
      <c r="A69" s="78"/>
      <c r="B69" s="58"/>
      <c r="C69" s="79"/>
      <c r="D69" s="79"/>
      <c r="E69" s="79"/>
      <c r="F69" s="79"/>
    </row>
    <row r="70" spans="1:6" ht="18.75" customHeight="1">
      <c r="A70" s="86"/>
      <c r="B70" s="58"/>
      <c r="C70" s="58"/>
      <c r="D70" s="58"/>
      <c r="E70" s="58"/>
      <c r="F70" s="58"/>
    </row>
    <row r="71" spans="1:6" ht="18.75" customHeight="1">
      <c r="A71" s="78"/>
      <c r="B71" s="58"/>
      <c r="C71" s="79"/>
      <c r="D71" s="79"/>
      <c r="E71" s="79"/>
      <c r="F71" s="79"/>
    </row>
  </sheetData>
  <sheetProtection/>
  <mergeCells count="3">
    <mergeCell ref="A8:I8"/>
    <mergeCell ref="A9:I9"/>
    <mergeCell ref="A39:F39"/>
  </mergeCells>
  <printOptions/>
  <pageMargins left="0.75" right="0.75" top="1" bottom="1" header="0.5" footer="0.5"/>
  <pageSetup horizontalDpi="600" verticalDpi="600" orientation="landscape" scale="61" r:id="rId3"/>
  <headerFooter alignWithMargins="0">
    <oddFooter>&amp;R&amp;"Times New Roman,Regular"&amp;F&amp;D&amp;T</oddFooter>
  </headerFooter>
  <rowBreaks count="1" manualBreakCount="1">
    <brk id="1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14.83203125" style="3" customWidth="1"/>
    <col min="2" max="2" width="48.16015625" style="3" customWidth="1"/>
    <col min="3" max="7" width="15.33203125" style="3" customWidth="1"/>
    <col min="8" max="8" width="12.83203125" style="3" bestFit="1" customWidth="1"/>
    <col min="9" max="9" width="13.66015625" style="3" bestFit="1" customWidth="1"/>
    <col min="10" max="16384" width="9.33203125" style="3" customWidth="1"/>
  </cols>
  <sheetData>
    <row r="1" spans="2:7" ht="18.75" customHeight="1">
      <c r="B1" s="61" t="s">
        <v>54</v>
      </c>
      <c r="C1" s="61"/>
      <c r="D1" s="61"/>
      <c r="E1" s="61"/>
      <c r="F1" s="61"/>
      <c r="G1" s="61"/>
    </row>
    <row r="2" spans="2:7" ht="18.75" customHeight="1">
      <c r="B2" s="61"/>
      <c r="C2" s="61"/>
      <c r="D2" s="61"/>
      <c r="E2" s="61"/>
      <c r="F2" s="61"/>
      <c r="G2" s="61"/>
    </row>
    <row r="3" spans="2:7" ht="18.75" customHeight="1">
      <c r="B3" s="11"/>
      <c r="C3" s="13"/>
      <c r="D3" s="13"/>
      <c r="E3" s="13"/>
      <c r="F3" s="13"/>
      <c r="G3" s="13"/>
    </row>
    <row r="4" spans="3:7" s="47" customFormat="1" ht="18.75" customHeight="1">
      <c r="C4" s="48">
        <f>Input!B2</f>
        <v>2018</v>
      </c>
      <c r="D4" s="48">
        <f>C4+1</f>
        <v>2019</v>
      </c>
      <c r="E4" s="48">
        <f>D4+1</f>
        <v>2020</v>
      </c>
      <c r="F4" s="48">
        <f>E4+1</f>
        <v>2021</v>
      </c>
      <c r="G4" s="48">
        <f>F4+1</f>
        <v>2022</v>
      </c>
    </row>
    <row r="5" spans="1:9" ht="18.75" customHeight="1">
      <c r="A5" s="10" t="s">
        <v>226</v>
      </c>
      <c r="B5" s="39" t="s">
        <v>249</v>
      </c>
      <c r="C5" s="49"/>
      <c r="D5" s="49"/>
      <c r="E5" s="49"/>
      <c r="F5" s="49"/>
      <c r="G5" s="49"/>
      <c r="H5" s="50"/>
      <c r="I5" s="50"/>
    </row>
    <row r="6" spans="1:7" ht="18.75" customHeight="1">
      <c r="A6" s="51"/>
      <c r="B6" s="52" t="s">
        <v>14</v>
      </c>
      <c r="C6" s="32"/>
      <c r="D6" s="32"/>
      <c r="E6" s="32"/>
      <c r="F6" s="32"/>
      <c r="G6" s="32"/>
    </row>
    <row r="7" spans="1:7" ht="18.75" customHeight="1">
      <c r="A7" s="51">
        <v>1</v>
      </c>
      <c r="B7" s="51" t="s">
        <v>58</v>
      </c>
      <c r="C7" s="128">
        <f>'KU - Project 36'!C28+'KU - Project 36'!C70</f>
        <v>8673165.99</v>
      </c>
      <c r="D7" s="128">
        <f>'KU - Project 36'!D28+'KU - Project 36'!D70</f>
        <v>14681273.888222523</v>
      </c>
      <c r="E7" s="128">
        <f>'KU - Project 36'!E28+'KU - Project 36'!E70</f>
        <v>14681273.888222523</v>
      </c>
      <c r="F7" s="128">
        <f>'KU - Project 36'!F28+'KU - Project 36'!F70</f>
        <v>14681273.888222523</v>
      </c>
      <c r="G7" s="128">
        <f>'KU - Project 36'!G28+'KU - Project 36'!G70</f>
        <v>14681273.888222523</v>
      </c>
    </row>
    <row r="8" spans="1:7" ht="18.75" customHeight="1">
      <c r="A8" s="51"/>
      <c r="B8" s="53" t="s">
        <v>59</v>
      </c>
      <c r="C8" s="128">
        <f>'KU - Project 36'!C29+'KU - Project 36'!C71</f>
        <v>0</v>
      </c>
      <c r="D8" s="128">
        <f>'KU - Project 36'!D29+'KU - Project 36'!D71</f>
        <v>0</v>
      </c>
      <c r="E8" s="128">
        <f>'KU - Project 36'!E29+'KU - Project 36'!E71</f>
        <v>0</v>
      </c>
      <c r="F8" s="128">
        <f>'KU - Project 36'!F29+'KU - Project 36'!F71</f>
        <v>0</v>
      </c>
      <c r="G8" s="128">
        <f>'KU - Project 36'!G29+'KU - Project 36'!G71</f>
        <v>0</v>
      </c>
    </row>
    <row r="9" spans="1:7" ht="18.75" customHeight="1">
      <c r="A9" s="51"/>
      <c r="B9" s="51" t="s">
        <v>10</v>
      </c>
      <c r="C9" s="128">
        <f>'KU - Project 36'!C30+'KU - Project 36'!C72</f>
        <v>-28740.9848</v>
      </c>
      <c r="D9" s="128">
        <f>'KU - Project 36'!D30+'KU - Project 36'!D72</f>
        <v>-299020.8266903912</v>
      </c>
      <c r="E9" s="128">
        <f>'KU - Project 36'!E30+'KU - Project 36'!E72</f>
        <v>-782323.49333097</v>
      </c>
      <c r="F9" s="128">
        <f>'KU - Project 36'!F30+'KU - Project 36'!F72</f>
        <v>-1265626.159971549</v>
      </c>
      <c r="G9" s="128">
        <f>'KU - Project 36'!G30+'KU - Project 36'!G72</f>
        <v>-1748928.826612128</v>
      </c>
    </row>
    <row r="10" spans="1:7" ht="18.75" customHeight="1">
      <c r="A10" s="51"/>
      <c r="B10" s="54" t="s">
        <v>60</v>
      </c>
      <c r="C10" s="128">
        <f>'KU - Project 36'!C31+'KU - Project 36'!C73</f>
        <v>0</v>
      </c>
      <c r="D10" s="128">
        <f>'KU - Project 36'!D31+'KU - Project 36'!D73</f>
        <v>0</v>
      </c>
      <c r="E10" s="128">
        <f>'KU - Project 36'!E31+'KU - Project 36'!E73</f>
        <v>0</v>
      </c>
      <c r="F10" s="128">
        <f>'KU - Project 36'!F31+'KU - Project 36'!F73</f>
        <v>0</v>
      </c>
      <c r="G10" s="128">
        <f>'KU - Project 36'!G31+'KU - Project 36'!G73</f>
        <v>0</v>
      </c>
    </row>
    <row r="11" spans="1:7" ht="18.75" customHeight="1">
      <c r="A11" s="51"/>
      <c r="B11" s="51" t="s">
        <v>61</v>
      </c>
      <c r="C11" s="128">
        <f>'KU - Project 36'!C32+'KU - Project 36'!C74</f>
        <v>-175588.5630419712</v>
      </c>
      <c r="D11" s="128">
        <f>'KU - Project 36'!D32+'KU - Project 36'!D74</f>
        <v>-1605918.8318388176</v>
      </c>
      <c r="E11" s="128">
        <f>'KU - Project 36'!E32+'KU - Project 36'!E74</f>
        <v>-1637034.3247202402</v>
      </c>
      <c r="F11" s="128">
        <f>'KU - Project 36'!F32+'KU - Project 36'!F74</f>
        <v>-1656576.808476022</v>
      </c>
      <c r="G11" s="128">
        <f>'KU - Project 36'!G32+'KU - Project 36'!G74</f>
        <v>-1665443.0845513227</v>
      </c>
    </row>
    <row r="12" spans="1:7" ht="18.75" customHeight="1">
      <c r="A12" s="51"/>
      <c r="B12" s="53" t="s">
        <v>62</v>
      </c>
      <c r="C12" s="128">
        <f>'KU - Project 36'!C33+'KU - Project 36'!C75</f>
        <v>0</v>
      </c>
      <c r="D12" s="128">
        <f>'KU - Project 36'!D33+'KU - Project 36'!D75</f>
        <v>0</v>
      </c>
      <c r="E12" s="128">
        <f>'KU - Project 36'!E33+'KU - Project 36'!E75</f>
        <v>0</v>
      </c>
      <c r="F12" s="128">
        <f>'KU - Project 36'!F33+'KU - Project 36'!F75</f>
        <v>0</v>
      </c>
      <c r="G12" s="128">
        <f>'KU - Project 36'!G33+'KU - Project 36'!G75</f>
        <v>0</v>
      </c>
    </row>
    <row r="13" spans="1:7" ht="18.75" customHeight="1">
      <c r="A13" s="51"/>
      <c r="B13" s="51" t="s">
        <v>11</v>
      </c>
      <c r="C13" s="128">
        <f>SUM(C7:C12)</f>
        <v>8468836.442158028</v>
      </c>
      <c r="D13" s="128">
        <f>SUM(D7:D12)</f>
        <v>12776334.229693314</v>
      </c>
      <c r="E13" s="128">
        <f>SUM(E7:E12)</f>
        <v>12261916.070171311</v>
      </c>
      <c r="F13" s="128">
        <f>SUM(F7:F12)</f>
        <v>11759070.919774953</v>
      </c>
      <c r="G13" s="128">
        <f>SUM(G7:G12)</f>
        <v>11266901.977059072</v>
      </c>
    </row>
    <row r="14" spans="1:7" ht="18.75" customHeight="1">
      <c r="A14" s="51"/>
      <c r="B14" s="51" t="s">
        <v>12</v>
      </c>
      <c r="C14" s="33">
        <f>'KU - Project 36'!C35</f>
        <v>0.08834289374565826</v>
      </c>
      <c r="D14" s="33">
        <f>'KU - Project 36'!D35</f>
        <v>0.08834289374565826</v>
      </c>
      <c r="E14" s="33">
        <f>'KU - Project 36'!E35</f>
        <v>0.08834289374565826</v>
      </c>
      <c r="F14" s="33">
        <f>'KU - Project 36'!F35</f>
        <v>0.08834289374565826</v>
      </c>
      <c r="G14" s="33">
        <f>'KU - Project 36'!G35</f>
        <v>0.08834289374565826</v>
      </c>
    </row>
    <row r="15" spans="1:7" ht="18.75" customHeight="1">
      <c r="A15" s="51"/>
      <c r="B15" s="40"/>
      <c r="C15" s="138">
        <f>C13*C14</f>
        <v>748161.5179589252</v>
      </c>
      <c r="D15" s="138">
        <f>D13*D14</f>
        <v>1128698.3373128131</v>
      </c>
      <c r="E15" s="138">
        <f>E13*E14</f>
        <v>1083253.1485053238</v>
      </c>
      <c r="F15" s="138">
        <f>F13*F14</f>
        <v>1038830.3528133386</v>
      </c>
      <c r="G15" s="138">
        <f>G13*G14</f>
        <v>995350.7242020766</v>
      </c>
    </row>
    <row r="16" spans="1:7" ht="18.75" customHeight="1">
      <c r="A16" s="51"/>
      <c r="B16" s="40"/>
      <c r="C16" s="55"/>
      <c r="D16" s="55"/>
      <c r="E16" s="55"/>
      <c r="F16" s="55"/>
      <c r="G16" s="55"/>
    </row>
    <row r="17" spans="1:7" ht="18.75" customHeight="1">
      <c r="A17" s="51"/>
      <c r="B17" s="53" t="s">
        <v>63</v>
      </c>
      <c r="C17" s="135">
        <f>'KU - Project 36'!C38+'KU - Project 36'!C80</f>
        <v>0</v>
      </c>
      <c r="D17" s="135">
        <f>'KU - Project 36'!D38+'KU - Project 36'!D80</f>
        <v>0</v>
      </c>
      <c r="E17" s="135">
        <f>'KU - Project 36'!E38+'KU - Project 36'!E80</f>
        <v>0</v>
      </c>
      <c r="F17" s="135">
        <f>'KU - Project 36'!F38+'KU - Project 36'!F80</f>
        <v>0</v>
      </c>
      <c r="G17" s="135">
        <f>'KU - Project 36'!G38+'KU - Project 36'!G80</f>
        <v>0</v>
      </c>
    </row>
    <row r="18" spans="1:7" ht="18.75" customHeight="1">
      <c r="A18" s="51"/>
      <c r="B18" s="51" t="s">
        <v>47</v>
      </c>
      <c r="C18" s="135">
        <f>'KU - Project 36'!C39+'KU - Project 36'!C81</f>
        <v>0</v>
      </c>
      <c r="D18" s="135">
        <f>'KU - Project 36'!D39+'KU - Project 36'!D81</f>
        <v>9261.861945660336</v>
      </c>
      <c r="E18" s="135">
        <f>'KU - Project 36'!E39+'KU - Project 36'!E81</f>
        <v>222284.686695848</v>
      </c>
      <c r="F18" s="135">
        <f>'KU - Project 36'!F39+'KU - Project 36'!F81</f>
        <v>222284.686695848</v>
      </c>
      <c r="G18" s="135">
        <f>'KU - Project 36'!G39+'KU - Project 36'!G81</f>
        <v>222284.686695848</v>
      </c>
    </row>
    <row r="19" spans="1:7" ht="18.75" customHeight="1">
      <c r="A19" s="51"/>
      <c r="B19" s="3" t="s">
        <v>284</v>
      </c>
      <c r="C19" s="128">
        <f>'KU - Project 36'!C82</f>
        <v>28740.9848</v>
      </c>
      <c r="D19" s="128">
        <f>'KU - Project 36'!D82</f>
        <v>261017.97994473088</v>
      </c>
      <c r="E19" s="128">
        <f>'KU - Project 36'!E82</f>
        <v>261017.97994473088</v>
      </c>
      <c r="F19" s="128">
        <f>'KU - Project 36'!F82</f>
        <v>261017.97994473088</v>
      </c>
      <c r="G19" s="128">
        <f>'KU - Project 36'!G82</f>
        <v>261017.97994473088</v>
      </c>
    </row>
    <row r="20" spans="1:7" ht="18.75" customHeight="1">
      <c r="A20" s="51"/>
      <c r="B20" s="51" t="s">
        <v>49</v>
      </c>
      <c r="C20" s="135">
        <f>'KU - Project 36'!C41+'KU - Project 36'!C83</f>
        <v>0</v>
      </c>
      <c r="D20" s="135">
        <f>'KU - Project 36'!D41+'KU - Project 36'!D83</f>
        <v>12966.6375078</v>
      </c>
      <c r="E20" s="135">
        <f>'KU - Project 36'!E41+'KU - Project 36'!E83</f>
        <v>21573.379592298195</v>
      </c>
      <c r="F20" s="135">
        <f>'KU - Project 36'!F41+'KU - Project 36'!F83</f>
        <v>20848.425592337328</v>
      </c>
      <c r="G20" s="135">
        <f>'KU - Project 36'!G41+'KU - Project 36'!G83</f>
        <v>20123.471592376463</v>
      </c>
    </row>
    <row r="21" spans="1:7" ht="18.75" customHeight="1">
      <c r="A21" s="51"/>
      <c r="B21" s="56" t="s">
        <v>50</v>
      </c>
      <c r="C21" s="137">
        <f>SUM(C17:C20)</f>
        <v>28740.9848</v>
      </c>
      <c r="D21" s="137">
        <f>SUM(D17:D20)</f>
        <v>283246.4793981912</v>
      </c>
      <c r="E21" s="137">
        <f>SUM(E17:E20)</f>
        <v>504876.04623287707</v>
      </c>
      <c r="F21" s="137">
        <f>SUM(F17:F20)</f>
        <v>504151.0922329162</v>
      </c>
      <c r="G21" s="137">
        <f>SUM(G17:G20)</f>
        <v>503426.13823295536</v>
      </c>
    </row>
    <row r="22" spans="1:7" ht="18.75" customHeight="1">
      <c r="A22" s="51"/>
      <c r="B22" s="56"/>
      <c r="C22" s="35"/>
      <c r="D22" s="32"/>
      <c r="E22" s="32"/>
      <c r="F22" s="32"/>
      <c r="G22" s="32"/>
    </row>
    <row r="23" spans="1:7" ht="18.75" customHeight="1">
      <c r="A23" s="51"/>
      <c r="B23" s="56" t="s">
        <v>13</v>
      </c>
      <c r="C23" s="135">
        <f>C15+C21</f>
        <v>776902.5027589252</v>
      </c>
      <c r="D23" s="135">
        <f>D15+D21</f>
        <v>1411944.8167110044</v>
      </c>
      <c r="E23" s="135">
        <f>E15+E21</f>
        <v>1588129.1947382009</v>
      </c>
      <c r="F23" s="135">
        <f>F15+F21</f>
        <v>1542981.445046255</v>
      </c>
      <c r="G23" s="135">
        <f>G15+G21</f>
        <v>1498776.862435032</v>
      </c>
    </row>
    <row r="24" s="46" customFormat="1" ht="18.75" customHeight="1"/>
    <row r="25" spans="2:7" s="46" customFormat="1" ht="18.75" customHeight="1">
      <c r="B25" s="56" t="s">
        <v>64</v>
      </c>
      <c r="C25" s="57">
        <f>Input!$B$35</f>
        <v>0.8805083333333333</v>
      </c>
      <c r="D25" s="57">
        <f>Input!$B$35</f>
        <v>0.8805083333333333</v>
      </c>
      <c r="E25" s="57">
        <f>Input!$B$35</f>
        <v>0.8805083333333333</v>
      </c>
      <c r="F25" s="57">
        <f>Input!$B$35</f>
        <v>0.8805083333333333</v>
      </c>
      <c r="G25" s="57">
        <f>Input!$B$35</f>
        <v>0.8805083333333333</v>
      </c>
    </row>
    <row r="26" s="46" customFormat="1" ht="18.75" customHeight="1"/>
    <row r="27" spans="2:7" s="46" customFormat="1" ht="18.75" customHeight="1">
      <c r="B27" s="56" t="s">
        <v>65</v>
      </c>
      <c r="C27" s="136">
        <f>C23*C25</f>
        <v>684069.1278667566</v>
      </c>
      <c r="D27" s="136">
        <f>D23*D25</f>
        <v>1243229.1773208452</v>
      </c>
      <c r="E27" s="136">
        <f>E23*E25</f>
        <v>1398360.990376942</v>
      </c>
      <c r="F27" s="136">
        <f>F23*F25</f>
        <v>1358608.0205419362</v>
      </c>
      <c r="G27" s="136">
        <f>G23*G25</f>
        <v>1319685.5171812326</v>
      </c>
    </row>
    <row r="28" s="46" customFormat="1" ht="18.75" customHeight="1"/>
    <row r="29" spans="2:7" s="46" customFormat="1" ht="18.75" customHeight="1">
      <c r="B29" s="56" t="s">
        <v>180</v>
      </c>
      <c r="C29" s="58">
        <f>+Input!B46</f>
        <v>1414559753.208831</v>
      </c>
      <c r="D29" s="58">
        <f>+Input!C46</f>
        <v>1400243654.0630457</v>
      </c>
      <c r="E29" s="58">
        <f>+Input!D46</f>
        <v>1399147256.608936</v>
      </c>
      <c r="F29" s="58">
        <f>+Input!E46</f>
        <v>1405263817.4191945</v>
      </c>
      <c r="G29" s="58">
        <f>+Input!F46</f>
        <v>1423936357.706561</v>
      </c>
    </row>
    <row r="30" spans="2:7" s="46" customFormat="1" ht="18.75" customHeight="1">
      <c r="B30" s="10" t="s">
        <v>266</v>
      </c>
      <c r="C30" s="58">
        <f>+Input!B68</f>
        <v>586214872.188042</v>
      </c>
      <c r="D30" s="58">
        <f>+Input!C68</f>
        <v>577868467.143701</v>
      </c>
      <c r="E30" s="58">
        <f>+Input!D68</f>
        <v>577471019.1202583</v>
      </c>
      <c r="F30" s="58">
        <f>+Input!E68</f>
        <v>576115836.7326868</v>
      </c>
      <c r="G30" s="58">
        <f>+Input!F68</f>
        <v>576201113.1562597</v>
      </c>
    </row>
    <row r="31" spans="2:7" s="46" customFormat="1" ht="18.75" customHeight="1">
      <c r="B31" s="10"/>
      <c r="C31" s="58"/>
      <c r="D31" s="58"/>
      <c r="E31" s="58"/>
      <c r="F31" s="58"/>
      <c r="G31" s="58"/>
    </row>
    <row r="32" spans="2:7" s="46" customFormat="1" ht="18.75" customHeight="1">
      <c r="B32" s="10" t="s">
        <v>267</v>
      </c>
      <c r="C32" s="57">
        <f>C27/C29</f>
        <v>0.0004835915388621747</v>
      </c>
      <c r="D32" s="57">
        <f>D27/D29</f>
        <v>0.0008878663179178879</v>
      </c>
      <c r="E32" s="57">
        <f>E27/E29</f>
        <v>0.0009994380389710376</v>
      </c>
      <c r="F32" s="57">
        <f>F27/F29</f>
        <v>0.0009667992612497894</v>
      </c>
      <c r="G32" s="57">
        <f>G27/G29</f>
        <v>0.0009267868679937083</v>
      </c>
    </row>
    <row r="33" spans="2:7" s="46" customFormat="1" ht="18.75" customHeight="1">
      <c r="B33" s="10" t="s">
        <v>268</v>
      </c>
      <c r="C33" s="57">
        <f>(C27*Input!$H$32)/C30</f>
        <v>0.0007001553460902223</v>
      </c>
      <c r="D33" s="57">
        <f>(D27*Input!$H$32)/D30</f>
        <v>0.0012908430703608745</v>
      </c>
      <c r="E33" s="57">
        <f>(E27*Input!$H$32)/E30</f>
        <v>0.001452915499559364</v>
      </c>
      <c r="F33" s="57">
        <f>(F27*Input!$H$32)/F30</f>
        <v>0.0014149321375162818</v>
      </c>
      <c r="G33" s="57">
        <f>(G27*Input!$H$32)/G30</f>
        <v>0.0013741926078056858</v>
      </c>
    </row>
    <row r="34" spans="3:7" s="46" customFormat="1" ht="18.75" customHeight="1">
      <c r="C34" s="57"/>
      <c r="D34" s="57"/>
      <c r="E34" s="57"/>
      <c r="F34" s="57"/>
      <c r="G34" s="57"/>
    </row>
    <row r="35" s="46" customFormat="1" ht="18.75" customHeight="1">
      <c r="B35" s="39" t="s">
        <v>84</v>
      </c>
    </row>
    <row r="36" spans="2:9" s="46" customFormat="1" ht="18.75" customHeight="1">
      <c r="B36" s="46" t="s">
        <v>83</v>
      </c>
      <c r="C36" s="59">
        <f>+Input!H23</f>
        <v>12.25</v>
      </c>
      <c r="D36" s="59">
        <f>C36</f>
        <v>12.25</v>
      </c>
      <c r="E36" s="59">
        <f aca="true" t="shared" si="0" ref="E36:G40">D36</f>
        <v>12.25</v>
      </c>
      <c r="F36" s="59">
        <f t="shared" si="0"/>
        <v>12.25</v>
      </c>
      <c r="G36" s="59">
        <f t="shared" si="0"/>
        <v>12.25</v>
      </c>
      <c r="H36" s="62"/>
      <c r="I36" s="62"/>
    </row>
    <row r="37" spans="1:9" s="46" customFormat="1" ht="18.75" customHeight="1">
      <c r="A37" s="210">
        <v>1122</v>
      </c>
      <c r="B37" s="64" t="str">
        <f>"Energy - "&amp;A37&amp;" kWh @ $"&amp;Input!H24</f>
        <v>Energy - 1122 kWh @ $0.08795</v>
      </c>
      <c r="C37" s="59">
        <f>$A$37*Input!H24</f>
        <v>98.6799</v>
      </c>
      <c r="D37" s="59">
        <f>C37</f>
        <v>98.6799</v>
      </c>
      <c r="E37" s="59">
        <f t="shared" si="0"/>
        <v>98.6799</v>
      </c>
      <c r="F37" s="59">
        <f t="shared" si="0"/>
        <v>98.6799</v>
      </c>
      <c r="G37" s="59">
        <f t="shared" si="0"/>
        <v>98.6799</v>
      </c>
      <c r="H37" s="62"/>
      <c r="I37" s="62"/>
    </row>
    <row r="38" spans="2:9" s="46" customFormat="1" ht="18.75" customHeight="1">
      <c r="B38" s="46" t="str">
        <f>"FAC billings ("&amp;TEXT(LEFT(Input!$G$21,9),"mmm yy")&amp;" factor - $"&amp;Input!H25&amp;"/kWh)"</f>
        <v>FAC billings (Sep 17 factor - $-0.00309/kWh)</v>
      </c>
      <c r="C38" s="59">
        <f>$A$37*Input!H25</f>
        <v>-3.46698</v>
      </c>
      <c r="D38" s="59">
        <f>C38</f>
        <v>-3.46698</v>
      </c>
      <c r="E38" s="59">
        <f t="shared" si="0"/>
        <v>-3.46698</v>
      </c>
      <c r="F38" s="59">
        <f t="shared" si="0"/>
        <v>-3.46698</v>
      </c>
      <c r="G38" s="59">
        <f t="shared" si="0"/>
        <v>-3.46698</v>
      </c>
      <c r="H38" s="62"/>
      <c r="I38" s="62"/>
    </row>
    <row r="39" spans="2:9" s="46" customFormat="1" ht="18.75" customHeight="1">
      <c r="B39" s="46" t="str">
        <f>"DSM billings ("&amp;TEXT(LEFT(Input!$G$21,9),"mmm yy")&amp;" factor - $"&amp;Input!H26&amp;"/kWh)"</f>
        <v>DSM billings (Sep 17 factor - $0.0029/kWh)</v>
      </c>
      <c r="C39" s="59">
        <f>$A$37*Input!H26</f>
        <v>3.2537999999999996</v>
      </c>
      <c r="D39" s="59">
        <f>C39</f>
        <v>3.2537999999999996</v>
      </c>
      <c r="E39" s="59">
        <f t="shared" si="0"/>
        <v>3.2537999999999996</v>
      </c>
      <c r="F39" s="59">
        <f t="shared" si="0"/>
        <v>3.2537999999999996</v>
      </c>
      <c r="G39" s="59">
        <f t="shared" si="0"/>
        <v>3.2537999999999996</v>
      </c>
      <c r="H39" s="62"/>
      <c r="I39" s="62"/>
    </row>
    <row r="40" spans="2:9" s="46" customFormat="1" ht="18.75" customHeight="1">
      <c r="B40" s="46" t="str">
        <f>"ECR billings ("&amp;TEXT(LEFT(Input!$G$21,9),"mmm yy")&amp;" factor:  "&amp;Input!H27*100&amp;"%)"</f>
        <v>ECR billings (Sep 17 factor:  3.22%)</v>
      </c>
      <c r="C40" s="59">
        <f>SUM(C36:C39)*Input!H27</f>
        <v>3.565078384</v>
      </c>
      <c r="D40" s="59">
        <f>C40</f>
        <v>3.565078384</v>
      </c>
      <c r="E40" s="59">
        <f t="shared" si="0"/>
        <v>3.565078384</v>
      </c>
      <c r="F40" s="59">
        <f t="shared" si="0"/>
        <v>3.565078384</v>
      </c>
      <c r="G40" s="59">
        <f t="shared" si="0"/>
        <v>3.565078384</v>
      </c>
      <c r="H40" s="62"/>
      <c r="I40" s="62"/>
    </row>
    <row r="41" spans="2:7" s="46" customFormat="1" ht="18.75" customHeight="1">
      <c r="B41" s="60" t="s">
        <v>89</v>
      </c>
      <c r="C41" s="59">
        <f>SUM(C36:C39)*C32</f>
        <v>0.05354166900257251</v>
      </c>
      <c r="D41" s="59">
        <f>SUM(D36:D39)*D32</f>
        <v>0.09830164651834578</v>
      </c>
      <c r="E41" s="59">
        <f>SUM(E36:E39)*E32</f>
        <v>0.11065450151810545</v>
      </c>
      <c r="F41" s="59">
        <f>SUM(F36:F39)*F32</f>
        <v>0.10704084310399978</v>
      </c>
      <c r="G41" s="59">
        <f>SUM(G36:G39)*G32</f>
        <v>0.10261080216333636</v>
      </c>
    </row>
    <row r="42" spans="4:7" s="46" customFormat="1" ht="18.75" customHeight="1">
      <c r="D42" s="76"/>
      <c r="G42" s="76"/>
    </row>
    <row r="43" spans="3:7" s="46" customFormat="1" ht="18.75" customHeight="1">
      <c r="C43" s="58"/>
      <c r="D43" s="58"/>
      <c r="E43" s="58"/>
      <c r="F43" s="58"/>
      <c r="G43" s="58"/>
    </row>
    <row r="44" spans="3:7" s="46" customFormat="1" ht="18.75" customHeight="1">
      <c r="C44" s="58"/>
      <c r="D44" s="58"/>
      <c r="E44" s="58"/>
      <c r="F44" s="58"/>
      <c r="G44" s="58"/>
    </row>
    <row r="45" spans="3:7" s="46" customFormat="1" ht="18.75" customHeight="1">
      <c r="C45" s="59"/>
      <c r="D45" s="59"/>
      <c r="E45" s="59"/>
      <c r="F45" s="59"/>
      <c r="G45" s="59"/>
    </row>
    <row r="46" spans="3:7" s="46" customFormat="1" ht="18.75" customHeight="1">
      <c r="C46" s="59"/>
      <c r="D46" s="59"/>
      <c r="E46" s="59"/>
      <c r="F46" s="59"/>
      <c r="G46" s="59"/>
    </row>
    <row r="47" spans="2:7" s="46" customFormat="1" ht="18.75" customHeight="1">
      <c r="B47" s="60"/>
      <c r="C47" s="59"/>
      <c r="D47" s="59"/>
      <c r="E47" s="59"/>
      <c r="F47" s="59"/>
      <c r="G47" s="59"/>
    </row>
    <row r="48" s="46" customFormat="1" ht="18.75" customHeight="1"/>
    <row r="49" s="46" customFormat="1" ht="18.75" customHeight="1"/>
    <row r="50" s="46" customFormat="1" ht="18.75" customHeight="1"/>
    <row r="51" s="46" customFormat="1" ht="18.75" customHeight="1"/>
    <row r="52" s="46" customFormat="1" ht="18.75" customHeight="1"/>
    <row r="53" s="46" customFormat="1" ht="18.75" customHeight="1"/>
    <row r="54" s="46" customFormat="1" ht="18.75" customHeight="1"/>
    <row r="55" s="46" customFormat="1" ht="18.75" customHeight="1"/>
    <row r="56" s="46" customFormat="1" ht="18.75" customHeight="1"/>
    <row r="57" s="46" customFormat="1" ht="18.75" customHeight="1"/>
    <row r="58" s="46" customFormat="1" ht="18.75" customHeight="1"/>
    <row r="59" s="46" customFormat="1" ht="18.75" customHeight="1"/>
    <row r="60" s="46" customFormat="1" ht="18.75" customHeight="1"/>
    <row r="61" s="46" customFormat="1" ht="18.75" customHeight="1"/>
    <row r="62" s="46" customFormat="1" ht="18.75" customHeight="1"/>
    <row r="63" s="46" customFormat="1" ht="18.75" customHeight="1"/>
    <row r="64" s="46" customFormat="1" ht="18.75" customHeight="1"/>
    <row r="65" s="46" customFormat="1" ht="18.75" customHeight="1"/>
    <row r="66" s="46" customFormat="1" ht="18.75" customHeight="1"/>
    <row r="67" s="46" customFormat="1" ht="18.75" customHeight="1"/>
    <row r="68" s="46" customFormat="1" ht="18.75" customHeight="1"/>
    <row r="69" s="46" customFormat="1" ht="18.75" customHeight="1"/>
    <row r="70" s="46" customFormat="1" ht="18.75" customHeight="1"/>
    <row r="71" s="46" customFormat="1" ht="18.75" customHeight="1"/>
    <row r="72" s="46" customFormat="1" ht="18.75" customHeight="1"/>
    <row r="73" s="46" customFormat="1" ht="18.75" customHeight="1"/>
    <row r="74" s="46" customFormat="1" ht="18.75" customHeight="1"/>
    <row r="75" s="46" customFormat="1" ht="18.75" customHeight="1"/>
    <row r="76" s="46" customFormat="1" ht="18.75" customHeight="1"/>
    <row r="77" s="46" customFormat="1" ht="18.75" customHeight="1"/>
    <row r="78" s="46" customFormat="1" ht="18.75" customHeight="1"/>
    <row r="79" s="46" customFormat="1" ht="18.75" customHeight="1"/>
    <row r="80" s="46" customFormat="1" ht="18.75" customHeight="1"/>
    <row r="81" s="46" customFormat="1" ht="18.75" customHeight="1"/>
    <row r="82" s="46" customFormat="1" ht="18.75" customHeight="1"/>
    <row r="83" s="46" customFormat="1" ht="18.75" customHeight="1"/>
    <row r="84" s="46" customFormat="1" ht="18.75" customHeight="1"/>
    <row r="85" s="46" customFormat="1" ht="18.75" customHeight="1"/>
    <row r="86" s="46" customFormat="1" ht="18.75" customHeight="1"/>
    <row r="87" s="46" customFormat="1" ht="18.75" customHeight="1"/>
    <row r="88" s="46" customFormat="1" ht="18.75" customHeight="1"/>
    <row r="89" s="46" customFormat="1" ht="18.75" customHeight="1"/>
    <row r="90" s="46" customFormat="1" ht="18.75" customHeight="1"/>
    <row r="91" s="46" customFormat="1" ht="18.75" customHeight="1"/>
    <row r="92" s="46" customFormat="1" ht="18.75" customHeight="1"/>
    <row r="93" s="46" customFormat="1" ht="18.75" customHeight="1"/>
    <row r="94" s="46" customFormat="1" ht="18.75" customHeight="1"/>
    <row r="95" s="46" customFormat="1" ht="18.75" customHeight="1"/>
    <row r="96" s="46" customFormat="1" ht="18.75" customHeight="1"/>
    <row r="97" s="46" customFormat="1" ht="18.75" customHeight="1"/>
    <row r="98" s="46" customFormat="1" ht="18.75" customHeight="1"/>
    <row r="99" s="46" customFormat="1" ht="18.75" customHeight="1"/>
    <row r="100" s="46" customFormat="1" ht="18.75" customHeight="1"/>
    <row r="101" s="46" customFormat="1" ht="18.75" customHeight="1"/>
    <row r="102" s="46" customFormat="1" ht="18.75" customHeight="1"/>
    <row r="103" s="46" customFormat="1" ht="18.75" customHeight="1"/>
    <row r="104" s="46" customFormat="1" ht="18.75" customHeight="1"/>
    <row r="105" s="46" customFormat="1" ht="18.75" customHeight="1"/>
    <row r="106" s="46" customFormat="1" ht="18.75" customHeight="1"/>
    <row r="107" s="46" customFormat="1" ht="18.75" customHeight="1"/>
    <row r="108" s="46" customFormat="1" ht="18.75" customHeight="1"/>
    <row r="109" s="46" customFormat="1" ht="18.75" customHeight="1"/>
    <row r="110" s="46" customFormat="1" ht="18.75" customHeight="1"/>
    <row r="111" s="46" customFormat="1" ht="18.75" customHeight="1"/>
    <row r="112" s="46" customFormat="1" ht="18.75" customHeight="1"/>
    <row r="113" s="46" customFormat="1" ht="18.75" customHeight="1"/>
    <row r="114" s="46" customFormat="1" ht="18.75" customHeight="1"/>
    <row r="115" s="46" customFormat="1" ht="18.75" customHeight="1"/>
    <row r="116" s="46" customFormat="1" ht="18.75" customHeight="1"/>
    <row r="117" s="46" customFormat="1" ht="18.75" customHeight="1"/>
    <row r="118" s="46" customFormat="1" ht="18.75" customHeight="1"/>
    <row r="119" s="46" customFormat="1" ht="18.75" customHeight="1"/>
    <row r="120" s="46" customFormat="1" ht="18.75" customHeight="1"/>
    <row r="121" s="46" customFormat="1" ht="18.75" customHeight="1"/>
    <row r="122" s="46" customFormat="1" ht="18.75" customHeight="1"/>
    <row r="123" s="46" customFormat="1" ht="18.75" customHeight="1"/>
    <row r="124" s="46" customFormat="1" ht="18.75" customHeight="1"/>
    <row r="125" s="46" customFormat="1" ht="18.75" customHeight="1"/>
    <row r="126" s="46" customFormat="1" ht="18.75" customHeight="1"/>
    <row r="127" s="46" customFormat="1" ht="18.75" customHeight="1"/>
    <row r="128" s="46" customFormat="1" ht="18.75" customHeight="1"/>
    <row r="129" s="46" customFormat="1" ht="18.75" customHeight="1"/>
    <row r="130" s="46" customFormat="1" ht="18.75" customHeight="1"/>
    <row r="131" s="46" customFormat="1" ht="18.75" customHeight="1"/>
    <row r="132" s="46" customFormat="1" ht="18.75" customHeight="1"/>
    <row r="133" s="46" customFormat="1" ht="18.75" customHeight="1"/>
    <row r="134" s="46" customFormat="1" ht="18.75" customHeight="1"/>
    <row r="135" s="46" customFormat="1" ht="18.75" customHeight="1"/>
    <row r="136" s="46" customFormat="1" ht="18.75" customHeight="1"/>
    <row r="137" s="46" customFormat="1" ht="18.75" customHeight="1"/>
    <row r="138" s="46" customFormat="1" ht="18.75" customHeight="1"/>
    <row r="139" s="46" customFormat="1" ht="18.75" customHeight="1"/>
    <row r="140" s="46" customFormat="1" ht="18.75" customHeight="1"/>
    <row r="141" s="46" customFormat="1" ht="18.75" customHeight="1"/>
    <row r="142" s="46" customFormat="1" ht="18.75" customHeight="1"/>
    <row r="143" s="46" customFormat="1" ht="18.75" customHeight="1"/>
    <row r="144" s="46" customFormat="1" ht="18.75" customHeight="1"/>
    <row r="145" s="46" customFormat="1" ht="18.75" customHeight="1"/>
    <row r="146" s="46" customFormat="1" ht="18.75" customHeight="1"/>
    <row r="147" s="46" customFormat="1" ht="18.75" customHeight="1"/>
    <row r="148" s="46" customFormat="1" ht="18.75" customHeight="1"/>
    <row r="149" s="46" customFormat="1" ht="18.75" customHeight="1"/>
    <row r="150" s="46" customFormat="1" ht="18.75" customHeight="1"/>
    <row r="151" s="46" customFormat="1" ht="18.75" customHeight="1"/>
    <row r="152" s="46" customFormat="1" ht="18.75" customHeight="1"/>
    <row r="153" s="46" customFormat="1" ht="18.75" customHeight="1"/>
    <row r="154" s="46" customFormat="1" ht="18.75" customHeight="1"/>
    <row r="155" s="46" customFormat="1" ht="18.75" customHeight="1"/>
    <row r="156" s="46" customFormat="1" ht="18.75" customHeight="1"/>
    <row r="157" s="46" customFormat="1" ht="18.75" customHeight="1"/>
    <row r="158" s="46" customFormat="1" ht="18.75" customHeight="1"/>
    <row r="159" s="46" customFormat="1" ht="18.75" customHeight="1"/>
    <row r="160" s="46" customFormat="1" ht="18.75" customHeight="1"/>
    <row r="161" s="46" customFormat="1" ht="18.75" customHeight="1"/>
    <row r="162" s="46" customFormat="1" ht="18.75" customHeight="1"/>
    <row r="163" s="46" customFormat="1" ht="18.75" customHeight="1"/>
    <row r="164" s="46" customFormat="1" ht="18.75" customHeight="1"/>
    <row r="165" s="46" customFormat="1" ht="18.75" customHeight="1"/>
    <row r="166" s="46" customFormat="1" ht="18.75" customHeight="1"/>
    <row r="167" s="46" customFormat="1" ht="18.75" customHeight="1"/>
    <row r="168" s="46" customFormat="1" ht="18.75" customHeight="1"/>
    <row r="169" s="46" customFormat="1" ht="18.75" customHeight="1"/>
    <row r="170" s="46" customFormat="1" ht="18.75" customHeight="1"/>
    <row r="171" s="46" customFormat="1" ht="18.75" customHeight="1"/>
    <row r="172" s="46" customFormat="1" ht="18.75" customHeight="1"/>
    <row r="173" s="46" customFormat="1" ht="18.75" customHeight="1"/>
    <row r="174" s="46" customFormat="1" ht="18.75" customHeight="1"/>
    <row r="175" s="46" customFormat="1" ht="18.75" customHeight="1"/>
    <row r="176" s="46" customFormat="1" ht="18.75" customHeight="1"/>
    <row r="177" s="46" customFormat="1" ht="18.75" customHeight="1"/>
    <row r="178" s="46" customFormat="1" ht="18.75" customHeight="1"/>
    <row r="179" s="46" customFormat="1" ht="18.75" customHeight="1"/>
    <row r="180" s="46" customFormat="1" ht="18.75" customHeight="1"/>
    <row r="181" s="46" customFormat="1" ht="18.75" customHeight="1"/>
    <row r="182" s="46" customFormat="1" ht="18.75" customHeight="1"/>
    <row r="183" s="46" customFormat="1" ht="18.75" customHeight="1"/>
    <row r="184" s="46" customFormat="1" ht="18.75" customHeight="1"/>
    <row r="185" s="46" customFormat="1" ht="18.75" customHeight="1"/>
    <row r="186" s="46" customFormat="1" ht="18.75" customHeight="1"/>
    <row r="187" s="46" customFormat="1" ht="18.75" customHeight="1"/>
    <row r="188" s="46" customFormat="1" ht="18.75" customHeight="1"/>
    <row r="189" s="46" customFormat="1" ht="18.75" customHeight="1"/>
    <row r="190" s="46" customFormat="1" ht="18.75" customHeight="1"/>
    <row r="191" s="46" customFormat="1" ht="18.75" customHeight="1"/>
    <row r="192" s="46" customFormat="1" ht="18.75" customHeight="1"/>
    <row r="193" s="46" customFormat="1" ht="18.75" customHeight="1"/>
    <row r="194" s="46" customFormat="1" ht="18.75" customHeight="1"/>
    <row r="195" s="46" customFormat="1" ht="18.75" customHeight="1"/>
    <row r="196" s="46" customFormat="1" ht="18.75" customHeight="1"/>
    <row r="197" s="46" customFormat="1" ht="18.75" customHeight="1"/>
    <row r="198" s="46" customFormat="1" ht="18.75" customHeight="1"/>
    <row r="199" s="46" customFormat="1" ht="18.75" customHeight="1"/>
    <row r="200" s="46" customFormat="1" ht="18.75" customHeight="1"/>
    <row r="201" s="46" customFormat="1" ht="18.75" customHeight="1"/>
    <row r="202" s="46" customFormat="1" ht="18.75" customHeight="1"/>
    <row r="203" s="46" customFormat="1" ht="18.75" customHeight="1"/>
    <row r="204" s="46" customFormat="1" ht="18.75" customHeight="1"/>
    <row r="205" s="46" customFormat="1" ht="18.75" customHeight="1"/>
    <row r="206" s="46" customFormat="1" ht="18.75" customHeight="1"/>
    <row r="207" s="46" customFormat="1" ht="18.75" customHeight="1"/>
    <row r="208" s="46" customFormat="1" ht="18.75" customHeight="1"/>
    <row r="209" s="46" customFormat="1" ht="18.75" customHeight="1"/>
    <row r="210" s="46" customFormat="1" ht="18.75" customHeight="1"/>
    <row r="211" s="46" customFormat="1" ht="18.75" customHeight="1"/>
    <row r="212" s="46" customFormat="1" ht="18.75" customHeight="1"/>
    <row r="213" s="46" customFormat="1" ht="18.75" customHeight="1"/>
    <row r="214" s="46" customFormat="1" ht="18.75" customHeight="1"/>
    <row r="215" s="46" customFormat="1" ht="18.75" customHeight="1"/>
    <row r="216" s="46" customFormat="1" ht="18.75" customHeight="1"/>
    <row r="217" s="46" customFormat="1" ht="18.75" customHeight="1"/>
    <row r="218" s="46" customFormat="1" ht="18.75" customHeight="1"/>
    <row r="219" s="46" customFormat="1" ht="18.75" customHeight="1"/>
    <row r="220" s="46" customFormat="1" ht="18.75" customHeight="1"/>
    <row r="221" s="46" customFormat="1" ht="18.75" customHeight="1"/>
    <row r="222" s="46" customFormat="1" ht="18.75" customHeight="1"/>
    <row r="223" s="46" customFormat="1" ht="18.75" customHeight="1"/>
    <row r="224" s="46" customFormat="1" ht="18.75" customHeight="1"/>
    <row r="225" s="46" customFormat="1" ht="18.75" customHeight="1"/>
    <row r="226" s="46" customFormat="1" ht="18.75" customHeight="1"/>
    <row r="227" s="46" customFormat="1" ht="18.75" customHeight="1"/>
    <row r="228" s="46" customFormat="1" ht="18.75" customHeight="1"/>
    <row r="229" s="46" customFormat="1" ht="18.75" customHeight="1"/>
    <row r="230" s="46" customFormat="1" ht="18.75" customHeight="1"/>
    <row r="231" s="46" customFormat="1" ht="18.75" customHeight="1"/>
    <row r="232" s="46" customFormat="1" ht="18.75" customHeight="1"/>
    <row r="233" s="46" customFormat="1" ht="18.75" customHeight="1"/>
    <row r="234" s="46" customFormat="1" ht="18.75" customHeight="1"/>
    <row r="235" s="46" customFormat="1" ht="18.75" customHeight="1"/>
    <row r="236" s="46" customFormat="1" ht="18.75" customHeight="1"/>
    <row r="237" s="46" customFormat="1" ht="18.75" customHeight="1"/>
    <row r="238" s="46" customFormat="1" ht="18.75" customHeight="1"/>
    <row r="239" s="46" customFormat="1" ht="18.75" customHeight="1"/>
    <row r="240" s="46" customFormat="1" ht="18.75" customHeight="1"/>
    <row r="241" s="46" customFormat="1" ht="18.75" customHeight="1"/>
    <row r="242" s="46" customFormat="1" ht="18.75" customHeight="1"/>
    <row r="243" s="46" customFormat="1" ht="18.75" customHeight="1"/>
    <row r="244" s="46" customFormat="1" ht="18.75" customHeight="1"/>
    <row r="245" s="46" customFormat="1" ht="18.75" customHeight="1"/>
    <row r="246" s="46" customFormat="1" ht="18.75" customHeight="1"/>
    <row r="247" s="46" customFormat="1" ht="18.75" customHeight="1"/>
    <row r="248" s="46" customFormat="1" ht="18.75" customHeight="1"/>
    <row r="249" s="46" customFormat="1" ht="18.75" customHeight="1"/>
    <row r="250" s="46" customFormat="1" ht="18.75" customHeight="1"/>
    <row r="251" s="46" customFormat="1" ht="18.75" customHeight="1"/>
    <row r="252" s="46" customFormat="1" ht="18.75" customHeight="1"/>
    <row r="253" s="46" customFormat="1" ht="18.75" customHeight="1"/>
    <row r="254" s="46" customFormat="1" ht="18.75" customHeight="1"/>
    <row r="255" s="46" customFormat="1" ht="18.75" customHeight="1"/>
    <row r="256" s="46" customFormat="1" ht="18.75" customHeight="1"/>
    <row r="257" s="46" customFormat="1" ht="18.75" customHeight="1"/>
    <row r="258" s="46" customFormat="1" ht="18.75" customHeight="1"/>
    <row r="259" s="46" customFormat="1" ht="18.75" customHeight="1"/>
    <row r="260" s="46" customFormat="1" ht="18.75" customHeight="1"/>
    <row r="261" s="46" customFormat="1" ht="18.75" customHeight="1"/>
    <row r="262" s="46" customFormat="1" ht="18.75" customHeight="1"/>
    <row r="263" s="46" customFormat="1" ht="18.75" customHeight="1"/>
    <row r="264" s="46" customFormat="1" ht="18.75" customHeight="1"/>
    <row r="265" s="46" customFormat="1" ht="18.75" customHeight="1"/>
    <row r="266" s="46" customFormat="1" ht="18.75" customHeight="1"/>
    <row r="267" s="46" customFormat="1" ht="18.75" customHeight="1"/>
    <row r="268" s="46" customFormat="1" ht="18.75" customHeight="1"/>
    <row r="269" s="46" customFormat="1" ht="18.75" customHeight="1"/>
    <row r="270" s="46" customFormat="1" ht="18.75" customHeight="1"/>
    <row r="271" s="46" customFormat="1" ht="18.75" customHeight="1"/>
    <row r="272" s="46" customFormat="1" ht="18.75" customHeight="1"/>
    <row r="273" s="46" customFormat="1" ht="18.75" customHeight="1"/>
    <row r="274" s="46" customFormat="1" ht="18.75" customHeight="1"/>
    <row r="275" s="46" customFormat="1" ht="18.75" customHeight="1"/>
    <row r="276" s="46" customFormat="1" ht="18.75" customHeight="1"/>
    <row r="277" s="46" customFormat="1" ht="18.75" customHeight="1"/>
    <row r="278" s="46" customFormat="1" ht="18.75" customHeight="1"/>
    <row r="279" s="46" customFormat="1" ht="18.75" customHeight="1"/>
    <row r="280" s="46" customFormat="1" ht="18.75" customHeight="1"/>
    <row r="281" s="46" customFormat="1" ht="18.75" customHeight="1"/>
    <row r="282" s="46" customFormat="1" ht="18.75" customHeight="1"/>
    <row r="283" s="46" customFormat="1" ht="18.75" customHeight="1"/>
    <row r="284" s="46" customFormat="1" ht="18.75" customHeight="1"/>
    <row r="285" s="46" customFormat="1" ht="18.75" customHeight="1"/>
    <row r="286" s="46" customFormat="1" ht="18.75" customHeight="1"/>
    <row r="287" s="46" customFormat="1" ht="18.75" customHeight="1"/>
    <row r="288" s="46" customFormat="1" ht="18.75" customHeight="1"/>
    <row r="289" s="46" customFormat="1" ht="18.75" customHeight="1"/>
    <row r="290" s="46" customFormat="1" ht="18.75" customHeight="1"/>
    <row r="291" s="46" customFormat="1" ht="18.75" customHeight="1"/>
    <row r="292" s="46" customFormat="1" ht="18.75" customHeight="1"/>
    <row r="293" s="46" customFormat="1" ht="18.75" customHeight="1"/>
    <row r="294" s="46" customFormat="1" ht="18.75" customHeight="1"/>
    <row r="295" s="46" customFormat="1" ht="18.75" customHeight="1"/>
    <row r="296" s="46" customFormat="1" ht="18.75" customHeight="1"/>
    <row r="297" s="46" customFormat="1" ht="18.75" customHeight="1"/>
    <row r="298" s="46" customFormat="1" ht="18.75" customHeight="1"/>
    <row r="299" s="46" customFormat="1" ht="18.75" customHeight="1"/>
    <row r="300" s="46" customFormat="1" ht="18.75" customHeight="1"/>
    <row r="301" s="46" customFormat="1" ht="18.75" customHeight="1"/>
    <row r="302" s="46" customFormat="1" ht="18.75" customHeight="1"/>
    <row r="303" s="46" customFormat="1" ht="18.75" customHeight="1"/>
    <row r="304" s="46" customFormat="1" ht="18.75" customHeight="1"/>
    <row r="305" s="46" customFormat="1" ht="18.75" customHeight="1"/>
    <row r="306" s="46" customFormat="1" ht="18.75" customHeight="1"/>
    <row r="307" s="46" customFormat="1" ht="18.75" customHeight="1"/>
    <row r="308" s="46" customFormat="1" ht="18.75" customHeight="1"/>
    <row r="309" s="46" customFormat="1" ht="18.75" customHeight="1"/>
    <row r="310" s="46" customFormat="1" ht="18.75" customHeight="1"/>
    <row r="311" s="46" customFormat="1" ht="18.75" customHeight="1"/>
    <row r="312" s="46" customFormat="1" ht="18.75" customHeight="1"/>
    <row r="313" s="46" customFormat="1" ht="18.75" customHeight="1"/>
    <row r="314" s="46" customFormat="1" ht="18.75" customHeight="1"/>
    <row r="315" s="46" customFormat="1" ht="18.75" customHeight="1"/>
    <row r="316" s="46" customFormat="1" ht="18.75" customHeight="1"/>
    <row r="317" s="46" customFormat="1" ht="18.75" customHeight="1"/>
    <row r="318" s="46" customFormat="1" ht="18.75" customHeight="1"/>
    <row r="319" s="46" customFormat="1" ht="18.75" customHeight="1"/>
    <row r="320" s="46" customFormat="1" ht="18.75" customHeight="1"/>
    <row r="321" s="46" customFormat="1" ht="18.75" customHeight="1"/>
    <row r="322" s="46" customFormat="1" ht="18.75" customHeight="1"/>
    <row r="323" s="46" customFormat="1" ht="18.75" customHeight="1"/>
    <row r="324" s="46" customFormat="1" ht="18.75" customHeight="1"/>
    <row r="325" s="46" customFormat="1" ht="18.75" customHeight="1"/>
    <row r="326" s="46" customFormat="1" ht="18.75" customHeight="1"/>
    <row r="327" s="46" customFormat="1" ht="18.75" customHeight="1"/>
    <row r="328" s="46" customFormat="1" ht="18.75" customHeight="1"/>
    <row r="329" s="46" customFormat="1" ht="18.75" customHeight="1"/>
    <row r="330" s="46" customFormat="1" ht="18.75" customHeight="1"/>
    <row r="331" s="46" customFormat="1" ht="18.75" customHeight="1"/>
    <row r="332" s="46" customFormat="1" ht="18.75" customHeight="1"/>
    <row r="333" s="46" customFormat="1" ht="18.75" customHeight="1"/>
    <row r="334" s="46" customFormat="1" ht="18.75" customHeight="1"/>
    <row r="335" s="46" customFormat="1" ht="18.75" customHeight="1"/>
    <row r="336" s="46" customFormat="1" ht="18.75" customHeight="1"/>
    <row r="337" s="46" customFormat="1" ht="18.75" customHeight="1"/>
    <row r="338" s="46" customFormat="1" ht="18.75" customHeight="1"/>
    <row r="339" s="46" customFormat="1" ht="18.75" customHeight="1"/>
    <row r="340" s="46" customFormat="1" ht="18.75" customHeight="1"/>
    <row r="341" s="46" customFormat="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</sheetData>
  <sheetProtection/>
  <printOptions horizontalCentered="1"/>
  <pageMargins left="0.75" right="0.75" top="1" bottom="0.5" header="0.5" footer="0.5"/>
  <pageSetup fitToHeight="0" fitToWidth="1" horizontalDpi="300" verticalDpi="3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6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12.66015625" style="2" bestFit="1" customWidth="1"/>
    <col min="2" max="2" width="66" style="2" customWidth="1"/>
    <col min="3" max="7" width="14.83203125" style="2" customWidth="1"/>
    <col min="8" max="8" width="9.33203125" style="2" customWidth="1"/>
    <col min="9" max="16384" width="9.33203125" style="2" customWidth="1"/>
  </cols>
  <sheetData>
    <row r="1" spans="2:7" ht="18.75" customHeight="1">
      <c r="B1" s="91" t="s">
        <v>53</v>
      </c>
      <c r="C1" s="91"/>
      <c r="D1" s="91"/>
      <c r="E1" s="91"/>
      <c r="F1" s="91"/>
      <c r="G1" s="91"/>
    </row>
    <row r="2" spans="2:7" ht="18.75" customHeight="1">
      <c r="B2" s="91" t="s">
        <v>255</v>
      </c>
      <c r="C2" s="91"/>
      <c r="D2" s="91"/>
      <c r="E2" s="91"/>
      <c r="F2" s="91"/>
      <c r="G2" s="91"/>
    </row>
    <row r="3" spans="2:7" ht="18.75" customHeight="1">
      <c r="B3" s="191"/>
      <c r="C3" s="91"/>
      <c r="D3" s="91"/>
      <c r="E3" s="91"/>
      <c r="F3" s="91"/>
      <c r="G3" s="91"/>
    </row>
    <row r="4" spans="2:7" ht="18.75" customHeight="1">
      <c r="B4" s="191"/>
      <c r="C4" s="91"/>
      <c r="D4" s="91"/>
      <c r="E4" s="91"/>
      <c r="F4" s="91"/>
      <c r="G4" s="91"/>
    </row>
    <row r="5" spans="2:7" ht="18.75" customHeight="1">
      <c r="B5" s="11"/>
      <c r="C5" s="13"/>
      <c r="D5" s="145" t="s">
        <v>196</v>
      </c>
      <c r="E5" s="13"/>
      <c r="F5" s="13"/>
      <c r="G5" s="13"/>
    </row>
    <row r="6" spans="3:7" s="27" customFormat="1" ht="18.75" customHeight="1">
      <c r="C6" s="28">
        <f>Input!B2</f>
        <v>2018</v>
      </c>
      <c r="D6" s="48">
        <f aca="true" t="shared" si="0" ref="D6:G7">C6+1</f>
        <v>2019</v>
      </c>
      <c r="E6" s="28">
        <f t="shared" si="0"/>
        <v>2020</v>
      </c>
      <c r="F6" s="28">
        <f t="shared" si="0"/>
        <v>2021</v>
      </c>
      <c r="G6" s="28">
        <f t="shared" si="0"/>
        <v>2022</v>
      </c>
    </row>
    <row r="7" spans="1:12" s="27" customFormat="1" ht="18.75" customHeight="1">
      <c r="A7" s="182">
        <v>2019</v>
      </c>
      <c r="B7" s="27" t="s">
        <v>42</v>
      </c>
      <c r="C7" s="28"/>
      <c r="D7" s="143">
        <v>1</v>
      </c>
      <c r="E7" s="143">
        <f t="shared" si="0"/>
        <v>2</v>
      </c>
      <c r="F7" s="143">
        <f t="shared" si="0"/>
        <v>3</v>
      </c>
      <c r="G7" s="143">
        <f t="shared" si="0"/>
        <v>4</v>
      </c>
      <c r="K7" s="27" t="s">
        <v>185</v>
      </c>
      <c r="L7" s="27">
        <v>1</v>
      </c>
    </row>
    <row r="8" spans="1:12" ht="18.75" customHeight="1">
      <c r="A8" s="3"/>
      <c r="B8" s="144" t="s">
        <v>30</v>
      </c>
      <c r="C8" s="12"/>
      <c r="D8" s="12"/>
      <c r="E8" s="12"/>
      <c r="F8" s="12"/>
      <c r="G8" s="12"/>
      <c r="K8" s="27" t="s">
        <v>186</v>
      </c>
      <c r="L8" s="2">
        <v>2</v>
      </c>
    </row>
    <row r="9" spans="1:12" ht="18.75" customHeight="1">
      <c r="A9" s="56" t="s">
        <v>226</v>
      </c>
      <c r="B9" s="10" t="s">
        <v>253</v>
      </c>
      <c r="C9" s="131">
        <f>VLOOKUP(C$6,'Cash Flows-KU'!$A$6:$F$16,$A10)</f>
        <v>7954641.37</v>
      </c>
      <c r="D9" s="131">
        <f>VLOOKUP(D$6,'Cash Flows-KU'!$A$6:$F$16,$A10)</f>
        <v>433460.0147489824</v>
      </c>
      <c r="E9" s="131">
        <f>VLOOKUP(E$6,'Cash Flows-KU'!$A$6:$F$16,$A10)</f>
        <v>0</v>
      </c>
      <c r="F9" s="131">
        <f>VLOOKUP(F$6,'Cash Flows-KU'!$A$6:$F$16,$A10)</f>
        <v>0</v>
      </c>
      <c r="G9" s="131">
        <f>VLOOKUP(G$6,'Cash Flows-KU'!$A$6:$F$16,$A10)</f>
        <v>0</v>
      </c>
      <c r="H9" s="132"/>
      <c r="K9" s="27" t="s">
        <v>187</v>
      </c>
      <c r="L9" s="2">
        <v>3</v>
      </c>
    </row>
    <row r="10" spans="1:12" ht="18.75" customHeight="1">
      <c r="A10" s="3">
        <v>2</v>
      </c>
      <c r="B10" s="39" t="s">
        <v>55</v>
      </c>
      <c r="C10" s="131">
        <f>SUM($C9:C9)</f>
        <v>7954641.37</v>
      </c>
      <c r="D10" s="131">
        <f>SUM($C9:D9)</f>
        <v>8388101.384748982</v>
      </c>
      <c r="E10" s="131">
        <f>SUM($C9:E9)</f>
        <v>8388101.384748982</v>
      </c>
      <c r="F10" s="131">
        <f>SUM($C9:F9)</f>
        <v>8388101.384748982</v>
      </c>
      <c r="G10" s="131">
        <f>SUM($C9:G9)</f>
        <v>8388101.384748982</v>
      </c>
      <c r="H10" s="18"/>
      <c r="K10" s="27" t="s">
        <v>188</v>
      </c>
      <c r="L10" s="2">
        <v>4</v>
      </c>
    </row>
    <row r="11" spans="1:12" ht="18.75" customHeight="1">
      <c r="A11" s="3">
        <v>2</v>
      </c>
      <c r="B11" s="5" t="s">
        <v>0</v>
      </c>
      <c r="C11" s="6">
        <f>IF(C7="",0,VLOOKUP($B8,Depreciation!$D$2:$E$31,$A11,FALSE))</f>
        <v>0</v>
      </c>
      <c r="D11" s="6">
        <f>IF(D7="",0,VLOOKUP($B8,Depreciation!$D$2:$E$31,$A11,FALSE))</f>
        <v>0.0265</v>
      </c>
      <c r="E11" s="6">
        <f>IF(E7="",0,VLOOKUP($B8,Depreciation!$D$2:$E$31,$A11,FALSE))</f>
        <v>0.0265</v>
      </c>
      <c r="F11" s="6">
        <f>IF(F7="",0,VLOOKUP($B8,Depreciation!$D$2:$E$31,$A11,FALSE))</f>
        <v>0.0265</v>
      </c>
      <c r="G11" s="6">
        <f>IF(G7="",0,VLOOKUP($B8,Depreciation!$D$2:$E$31,$A11,FALSE))</f>
        <v>0.0265</v>
      </c>
      <c r="K11" s="27" t="s">
        <v>189</v>
      </c>
      <c r="L11" s="2">
        <v>5</v>
      </c>
    </row>
    <row r="12" spans="1:12" ht="18.75" customHeight="1">
      <c r="A12" s="3">
        <v>2</v>
      </c>
      <c r="B12" s="5" t="s">
        <v>1</v>
      </c>
      <c r="C12" s="6">
        <f>IF(C7="",0,VLOOKUP(C7,Depreciation!$A$2:$C$58,$A12,FALSE))</f>
        <v>0</v>
      </c>
      <c r="D12" s="6">
        <f>IF(D7="",0,VLOOKUP(D7,Depreciation!$A$2:$C$58,$A12,FALSE))</f>
        <v>0.0375</v>
      </c>
      <c r="E12" s="6">
        <f>IF(E7="",0,VLOOKUP(E7,Depreciation!$A$2:$C$58,$A12,FALSE))</f>
        <v>0.07219</v>
      </c>
      <c r="F12" s="6">
        <f>IF(F7="",0,VLOOKUP(F7,Depreciation!$A$2:$C$58,$A12,FALSE))</f>
        <v>0.06677</v>
      </c>
      <c r="G12" s="6">
        <f>IF(G7="",0,VLOOKUP(G7,Depreciation!$A$2:$C$58,$A12,FALSE))</f>
        <v>0.06177</v>
      </c>
      <c r="K12" s="27" t="s">
        <v>190</v>
      </c>
      <c r="L12" s="2">
        <v>6</v>
      </c>
    </row>
    <row r="13" spans="1:12" s="29" customFormat="1" ht="18.75" customHeight="1">
      <c r="A13" s="65"/>
      <c r="B13" s="30" t="s">
        <v>2</v>
      </c>
      <c r="C13" s="7">
        <f>Input!B$3</f>
        <v>0.254556</v>
      </c>
      <c r="D13" s="7">
        <f>Input!C$3</f>
        <v>0.254556</v>
      </c>
      <c r="E13" s="7">
        <f>Input!D$3</f>
        <v>0.254556</v>
      </c>
      <c r="F13" s="7">
        <f>Input!E$3</f>
        <v>0.254556</v>
      </c>
      <c r="G13" s="7">
        <f>Input!F$3</f>
        <v>0.254556</v>
      </c>
      <c r="K13" s="27" t="s">
        <v>191</v>
      </c>
      <c r="L13" s="2">
        <v>7</v>
      </c>
    </row>
    <row r="14" spans="1:12" ht="18.75" customHeight="1">
      <c r="A14" s="3"/>
      <c r="B14" s="2" t="s">
        <v>3</v>
      </c>
      <c r="C14" s="129">
        <f>SUM($C25:C25)</f>
        <v>0</v>
      </c>
      <c r="D14" s="129">
        <f>SUM($C25:D25)</f>
        <v>77713.89507416656</v>
      </c>
      <c r="E14" s="129">
        <f>SUM($C25:E25)</f>
        <v>175273.0808584002</v>
      </c>
      <c r="F14" s="129">
        <f>SUM($C25:F25)</f>
        <v>261259.25751699263</v>
      </c>
      <c r="G14" s="129">
        <f>SUM($C25:G25)</f>
        <v>336569.22649510426</v>
      </c>
      <c r="K14" s="27" t="s">
        <v>192</v>
      </c>
      <c r="L14" s="2">
        <v>8</v>
      </c>
    </row>
    <row r="15" spans="2:12" ht="18.75" customHeight="1">
      <c r="B15" s="2" t="s">
        <v>4</v>
      </c>
      <c r="C15" s="129">
        <f>SUM($C17:C17)</f>
        <v>0</v>
      </c>
      <c r="D15" s="129">
        <f>SUM($C17:D17)</f>
        <v>9261.861945660336</v>
      </c>
      <c r="E15" s="129">
        <f>SUM($C17:E17)</f>
        <v>231546.54864150836</v>
      </c>
      <c r="F15" s="129">
        <f>SUM($C17:F17)</f>
        <v>453831.23533735634</v>
      </c>
      <c r="G15" s="129">
        <f>SUM($C17:G17)</f>
        <v>676115.9220332043</v>
      </c>
      <c r="K15" s="27" t="s">
        <v>193</v>
      </c>
      <c r="L15" s="2">
        <v>9</v>
      </c>
    </row>
    <row r="16" spans="2:12" ht="18.75" customHeight="1">
      <c r="B16" s="11" t="s">
        <v>5</v>
      </c>
      <c r="C16" s="129">
        <f>C9</f>
        <v>7954641.37</v>
      </c>
      <c r="D16" s="129">
        <f>C16+D9</f>
        <v>8388101.384748982</v>
      </c>
      <c r="E16" s="129">
        <f>D16+E9</f>
        <v>8388101.384748982</v>
      </c>
      <c r="F16" s="129">
        <f>E16+F9</f>
        <v>8388101.384748982</v>
      </c>
      <c r="G16" s="129">
        <f>F16+G9</f>
        <v>8388101.384748982</v>
      </c>
      <c r="K16" s="27" t="s">
        <v>194</v>
      </c>
      <c r="L16" s="2">
        <v>10</v>
      </c>
    </row>
    <row r="17" spans="1:12" ht="18.75" customHeight="1">
      <c r="A17" s="147" t="s">
        <v>246</v>
      </c>
      <c r="B17" s="11" t="s">
        <v>6</v>
      </c>
      <c r="C17" s="129">
        <f>IF(C7=1,(12.5-VLOOKUP(C5,$K$7:$L$18,2,))*C11/12*C16,C16*C11)</f>
        <v>0</v>
      </c>
      <c r="D17" s="129">
        <f>IF(D7=1,(12.5-VLOOKUP(D5,$K$7:$L$18,2,))*D11/12*D16,D16*D11)</f>
        <v>9261.861945660336</v>
      </c>
      <c r="E17" s="129">
        <f>IF(E7=1,(12.5-VLOOKUP(E5,$K$7:$L$18,2,))*E11/12*E16,E16*E11)</f>
        <v>222284.686695848</v>
      </c>
      <c r="F17" s="129">
        <f>IF(F7=1,(12.5-VLOOKUP(F5,$K$7:$L$18,2,))*F11/12*F16,F16*F11)</f>
        <v>222284.686695848</v>
      </c>
      <c r="G17" s="129">
        <f>IF(G7=1,(12.5-VLOOKUP(G5,$K$7:$L$18,2,))*G11/12*G16,G16*G11)</f>
        <v>222284.686695848</v>
      </c>
      <c r="K17" s="27" t="s">
        <v>195</v>
      </c>
      <c r="L17" s="2">
        <v>11</v>
      </c>
    </row>
    <row r="18" spans="2:12" ht="18.75" customHeight="1">
      <c r="B18" s="5" t="s">
        <v>7</v>
      </c>
      <c r="C18" s="129">
        <f>C9</f>
        <v>7954641.37</v>
      </c>
      <c r="D18" s="129">
        <f>C18+D9</f>
        <v>8388101.384748982</v>
      </c>
      <c r="E18" s="129">
        <f>D18+E9</f>
        <v>8388101.384748982</v>
      </c>
      <c r="F18" s="129">
        <f>E18+F9</f>
        <v>8388101.384748982</v>
      </c>
      <c r="G18" s="129">
        <f>F18+G9</f>
        <v>8388101.384748982</v>
      </c>
      <c r="K18" s="27" t="s">
        <v>196</v>
      </c>
      <c r="L18" s="2">
        <v>12</v>
      </c>
    </row>
    <row r="19" spans="2:12" ht="18.75" customHeight="1">
      <c r="B19" s="146" t="s">
        <v>235</v>
      </c>
      <c r="C19" s="129">
        <f>IF(C7=1,IF($A17="Bonus",SUM($C9:C9)*VLOOKUP(C6,Depreciation!$D$41:$E$50,2),0),0)</f>
        <v>0</v>
      </c>
      <c r="D19" s="129">
        <f>IF(D7=1,IF($A17="Bonus",SUM($C9:D9)*VLOOKUP(D6,Depreciation!$D$41:$E$50,2),0),0)</f>
        <v>0</v>
      </c>
      <c r="E19" s="129">
        <f>IF(E7=1,IF($A17="Bonus",SUM($C9:E9)*VLOOKUP(E6,Depreciation!$D$41:$E$50,2),0),0)</f>
        <v>0</v>
      </c>
      <c r="F19" s="129">
        <f>IF(F7=1,IF($A17="Bonus",SUM($C9:F9)*VLOOKUP(F6,Depreciation!$D$41:$E$50,2),0),0)</f>
        <v>0</v>
      </c>
      <c r="G19" s="129">
        <f>IF(G7=1,IF($A17="Bonus",SUM($C9:G9)*VLOOKUP(G6,Depreciation!$D$41:$E$50,2),0),0)</f>
        <v>0</v>
      </c>
      <c r="L19" s="27"/>
    </row>
    <row r="20" spans="2:7" ht="18.75" customHeight="1">
      <c r="B20" s="5" t="s">
        <v>236</v>
      </c>
      <c r="C20" s="129">
        <f>IF(C7&gt;=1,IF($A17="Bonus",C10*(1-VLOOKUP($A7,Depreciation!$D$41:$N$50,C6-2016))*C12,C10*C12),C10*C12)</f>
        <v>0</v>
      </c>
      <c r="D20" s="129">
        <f>IF(D7&gt;=1,IF($A17="Bonus",D10*(1-VLOOKUP($A7,Depreciation!$D$41:$N$50,D6-2016))*D12,D10*D12),D10*D12)</f>
        <v>314553.80192808685</v>
      </c>
      <c r="E20" s="129">
        <f>IF(E7&gt;=1,IF($A17="Bonus",E10*(1-VLOOKUP($A7,Depreciation!$D$41:$N$50,E6-2016))*E12,E10*E12),E10*E12)</f>
        <v>605537.0389650291</v>
      </c>
      <c r="F20" s="129">
        <f>IF(F7&gt;=1,IF($A17="Bonus",F10*(1-VLOOKUP($A7,Depreciation!$D$41:$N$50,F6-2016))*F12,F10*F12),F10*F12)</f>
        <v>560073.5294596895</v>
      </c>
      <c r="G20" s="129">
        <f>IF(G7&gt;=1,IF($A17="Bonus",G10*(1-VLOOKUP($A7,Depreciation!$D$41:$N$50,G6-2016))*G12,G10*G12),G10*G12)</f>
        <v>518133.02253594465</v>
      </c>
    </row>
    <row r="21" spans="2:7" ht="18.75" customHeight="1">
      <c r="B21" s="5" t="s">
        <v>17</v>
      </c>
      <c r="C21" s="7">
        <f>Input!J18</f>
        <v>0.08834289374565826</v>
      </c>
      <c r="D21" s="7">
        <f>Input!K18</f>
        <v>0.08834289374565826</v>
      </c>
      <c r="E21" s="7">
        <f>Input!L18</f>
        <v>0.08834289374565826</v>
      </c>
      <c r="F21" s="7">
        <f>Input!M18</f>
        <v>0.08834289374565826</v>
      </c>
      <c r="G21" s="7">
        <f>Input!N18</f>
        <v>0.08834289374565826</v>
      </c>
    </row>
    <row r="22" spans="2:7" ht="18.75" customHeight="1">
      <c r="B22" s="5" t="s">
        <v>8</v>
      </c>
      <c r="C22" s="130">
        <f>C17</f>
        <v>0</v>
      </c>
      <c r="D22" s="130">
        <f>D17</f>
        <v>9261.861945660336</v>
      </c>
      <c r="E22" s="130">
        <f>E17</f>
        <v>222284.686695848</v>
      </c>
      <c r="F22" s="130">
        <f>F17</f>
        <v>222284.686695848</v>
      </c>
      <c r="G22" s="130">
        <f>G17</f>
        <v>222284.686695848</v>
      </c>
    </row>
    <row r="23" spans="2:7" ht="18.75" customHeight="1">
      <c r="B23" s="11" t="s">
        <v>238</v>
      </c>
      <c r="C23" s="130">
        <f>SUM(C19,C20)</f>
        <v>0</v>
      </c>
      <c r="D23" s="130">
        <f>SUM(D19,D20)</f>
        <v>314553.80192808685</v>
      </c>
      <c r="E23" s="130">
        <f>SUM(E19,E20)</f>
        <v>605537.0389650291</v>
      </c>
      <c r="F23" s="130">
        <f>SUM(F19,F20)</f>
        <v>560073.5294596895</v>
      </c>
      <c r="G23" s="130">
        <f>SUM(G19,G20)</f>
        <v>518133.02253594465</v>
      </c>
    </row>
    <row r="24" spans="2:7" ht="18.75" customHeight="1">
      <c r="B24" s="2" t="s">
        <v>9</v>
      </c>
      <c r="C24" s="8">
        <f>Input!$B$5</f>
        <v>0.0015</v>
      </c>
      <c r="D24" s="8">
        <f>C24</f>
        <v>0.0015</v>
      </c>
      <c r="E24" s="8">
        <f>D24</f>
        <v>0.0015</v>
      </c>
      <c r="F24" s="8">
        <f>E24</f>
        <v>0.0015</v>
      </c>
      <c r="G24" s="8">
        <f>F24</f>
        <v>0.0015</v>
      </c>
    </row>
    <row r="25" spans="2:7" ht="18.75" customHeight="1">
      <c r="B25" s="4" t="s">
        <v>237</v>
      </c>
      <c r="C25" s="130">
        <f>(C23-C22)*C13</f>
        <v>0</v>
      </c>
      <c r="D25" s="130">
        <f>(D23-D22)*D13</f>
        <v>77713.89507416656</v>
      </c>
      <c r="E25" s="130">
        <f>(E23-E22)*E13</f>
        <v>97559.18578423365</v>
      </c>
      <c r="F25" s="130">
        <f>(F23-F22)*F13</f>
        <v>85986.17665859243</v>
      </c>
      <c r="G25" s="130">
        <f>(G23-G22)*G13</f>
        <v>75309.96897811165</v>
      </c>
    </row>
    <row r="26" spans="2:7" ht="18.75" customHeight="1">
      <c r="B26" s="4"/>
      <c r="C26" s="9"/>
      <c r="D26" s="9"/>
      <c r="E26" s="9"/>
      <c r="F26" s="9"/>
      <c r="G26" s="9"/>
    </row>
    <row r="27" spans="2:7" ht="18.75" customHeight="1">
      <c r="B27" s="10" t="s">
        <v>15</v>
      </c>
      <c r="C27" s="9"/>
      <c r="D27" s="9"/>
      <c r="E27" s="9"/>
      <c r="F27" s="9"/>
      <c r="G27" s="9"/>
    </row>
    <row r="28" spans="2:7" ht="18.75" customHeight="1">
      <c r="B28" s="5" t="s">
        <v>16</v>
      </c>
      <c r="C28" s="128">
        <f>C10</f>
        <v>7954641.37</v>
      </c>
      <c r="D28" s="128">
        <f>D10</f>
        <v>8388101.384748982</v>
      </c>
      <c r="E28" s="128">
        <f>E10</f>
        <v>8388101.384748982</v>
      </c>
      <c r="F28" s="128">
        <f>F10</f>
        <v>8388101.384748982</v>
      </c>
      <c r="G28" s="128">
        <f>G10</f>
        <v>8388101.384748982</v>
      </c>
    </row>
    <row r="29" spans="1:7" ht="18.75" customHeight="1">
      <c r="A29" s="3"/>
      <c r="B29" s="4" t="s">
        <v>43</v>
      </c>
      <c r="C29" s="129">
        <v>0</v>
      </c>
      <c r="D29" s="129">
        <f>C29</f>
        <v>0</v>
      </c>
      <c r="E29" s="129">
        <f>D29</f>
        <v>0</v>
      </c>
      <c r="F29" s="129">
        <f>E29</f>
        <v>0</v>
      </c>
      <c r="G29" s="129">
        <f>F29</f>
        <v>0</v>
      </c>
    </row>
    <row r="30" spans="2:7" ht="18.75" customHeight="1">
      <c r="B30" s="2" t="s">
        <v>10</v>
      </c>
      <c r="C30" s="129">
        <f>-C15</f>
        <v>0</v>
      </c>
      <c r="D30" s="129">
        <f>-D15</f>
        <v>-9261.861945660336</v>
      </c>
      <c r="E30" s="129">
        <f>-E15</f>
        <v>-231546.54864150836</v>
      </c>
      <c r="F30" s="129">
        <f>-F15</f>
        <v>-453831.23533735634</v>
      </c>
      <c r="G30" s="129">
        <f>-G15</f>
        <v>-676115.9220332043</v>
      </c>
    </row>
    <row r="31" spans="2:7" ht="18.75" customHeight="1">
      <c r="B31" s="2" t="s">
        <v>44</v>
      </c>
      <c r="C31" s="129">
        <v>0</v>
      </c>
      <c r="D31" s="129">
        <f>C31</f>
        <v>0</v>
      </c>
      <c r="E31" s="129">
        <f>D31</f>
        <v>0</v>
      </c>
      <c r="F31" s="129">
        <f>E31</f>
        <v>0</v>
      </c>
      <c r="G31" s="129">
        <f>F31</f>
        <v>0</v>
      </c>
    </row>
    <row r="32" spans="2:7" ht="18.75" customHeight="1">
      <c r="B32" s="2" t="s">
        <v>45</v>
      </c>
      <c r="C32" s="129">
        <f>-C14</f>
        <v>0</v>
      </c>
      <c r="D32" s="129">
        <f>-D14</f>
        <v>-77713.89507416656</v>
      </c>
      <c r="E32" s="129">
        <f>-E14</f>
        <v>-175273.0808584002</v>
      </c>
      <c r="F32" s="129">
        <f>-F14</f>
        <v>-261259.25751699263</v>
      </c>
      <c r="G32" s="129">
        <f>-G14</f>
        <v>-336569.22649510426</v>
      </c>
    </row>
    <row r="33" spans="2:7" ht="18.75" customHeight="1">
      <c r="B33" s="2" t="s">
        <v>46</v>
      </c>
      <c r="C33" s="129">
        <v>0</v>
      </c>
      <c r="D33" s="129">
        <f>C33</f>
        <v>0</v>
      </c>
      <c r="E33" s="129">
        <f>D33</f>
        <v>0</v>
      </c>
      <c r="F33" s="129">
        <f>E33</f>
        <v>0</v>
      </c>
      <c r="G33" s="129">
        <f>F33</f>
        <v>0</v>
      </c>
    </row>
    <row r="34" spans="2:7" ht="18.75" customHeight="1">
      <c r="B34" s="2" t="s">
        <v>11</v>
      </c>
      <c r="C34" s="129">
        <f>SUM(C28:C33)</f>
        <v>7954641.37</v>
      </c>
      <c r="D34" s="129">
        <f>SUM(D28:D33)</f>
        <v>8301125.627729155</v>
      </c>
      <c r="E34" s="129">
        <f>SUM(E28:E33)</f>
        <v>7981281.755249074</v>
      </c>
      <c r="F34" s="129">
        <f>SUM(F28:F33)</f>
        <v>7673010.891894634</v>
      </c>
      <c r="G34" s="129">
        <f>SUM(G28:G33)</f>
        <v>7375416.236220674</v>
      </c>
    </row>
    <row r="35" spans="2:7" ht="18.75" customHeight="1">
      <c r="B35" s="2" t="s">
        <v>12</v>
      </c>
      <c r="C35" s="7">
        <f>C21</f>
        <v>0.08834289374565826</v>
      </c>
      <c r="D35" s="7">
        <f>D21</f>
        <v>0.08834289374565826</v>
      </c>
      <c r="E35" s="7">
        <f>E21</f>
        <v>0.08834289374565826</v>
      </c>
      <c r="F35" s="7">
        <f>F21</f>
        <v>0.08834289374565826</v>
      </c>
      <c r="G35" s="7">
        <f>G21</f>
        <v>0.08834289374565826</v>
      </c>
    </row>
    <row r="36" spans="2:7" ht="18.75" customHeight="1">
      <c r="B36" s="33" t="s">
        <v>56</v>
      </c>
      <c r="C36" s="133">
        <f>C34*C35</f>
        <v>702736.0373347275</v>
      </c>
      <c r="D36" s="133">
        <f>D34*D35</f>
        <v>733345.4592998375</v>
      </c>
      <c r="E36" s="133">
        <f>E34*E35</f>
        <v>705089.5260581298</v>
      </c>
      <c r="F36" s="133">
        <f>F34*F35</f>
        <v>677855.9859319262</v>
      </c>
      <c r="G36" s="133">
        <f>G34*G35</f>
        <v>651565.6128864457</v>
      </c>
    </row>
    <row r="37" spans="2:7" s="3" customFormat="1" ht="18.75" customHeight="1">
      <c r="B37" s="31"/>
      <c r="C37" s="32"/>
      <c r="D37" s="32"/>
      <c r="E37" s="32"/>
      <c r="F37" s="32"/>
      <c r="G37" s="32"/>
    </row>
    <row r="38" spans="2:7" ht="18.75" customHeight="1">
      <c r="B38" s="5" t="s">
        <v>51</v>
      </c>
      <c r="C38" s="129">
        <v>0</v>
      </c>
      <c r="D38" s="127">
        <v>0</v>
      </c>
      <c r="E38" s="127">
        <v>0</v>
      </c>
      <c r="F38" s="127">
        <v>0</v>
      </c>
      <c r="G38" s="127">
        <v>0</v>
      </c>
    </row>
    <row r="39" spans="2:7" ht="18.75" customHeight="1">
      <c r="B39" t="s">
        <v>47</v>
      </c>
      <c r="C39" s="127">
        <f>C22</f>
        <v>0</v>
      </c>
      <c r="D39" s="127">
        <f>D22</f>
        <v>9261.861945660336</v>
      </c>
      <c r="E39" s="127">
        <f>E22</f>
        <v>222284.686695848</v>
      </c>
      <c r="F39" s="127">
        <f>F22</f>
        <v>222284.686695848</v>
      </c>
      <c r="G39" s="127">
        <f>G22</f>
        <v>222284.686695848</v>
      </c>
    </row>
    <row r="40" spans="2:7" s="34" customFormat="1" ht="18.75" customHeight="1">
      <c r="B40" s="2" t="s">
        <v>48</v>
      </c>
      <c r="C40" s="129">
        <v>0</v>
      </c>
      <c r="D40" s="129">
        <f>C40</f>
        <v>0</v>
      </c>
      <c r="E40" s="129">
        <f>D40</f>
        <v>0</v>
      </c>
      <c r="F40" s="129">
        <f>E40</f>
        <v>0</v>
      </c>
      <c r="G40" s="129">
        <f>F40</f>
        <v>0</v>
      </c>
    </row>
    <row r="41" spans="2:7" ht="18.75" customHeight="1">
      <c r="B41" t="s">
        <v>49</v>
      </c>
      <c r="C41" s="127">
        <v>0</v>
      </c>
      <c r="D41" s="127">
        <f>D24*(C28+C30)</f>
        <v>11931.962055</v>
      </c>
      <c r="E41" s="127">
        <f>E24*(D28+D30)</f>
        <v>12568.259284204982</v>
      </c>
      <c r="F41" s="127">
        <f>F24*(E28+E30)</f>
        <v>12234.83225416121</v>
      </c>
      <c r="G41" s="127">
        <f>G24*(F28+F30)</f>
        <v>11901.40522411744</v>
      </c>
    </row>
    <row r="42" spans="2:7" ht="18.75" customHeight="1">
      <c r="B42" s="21" t="s">
        <v>50</v>
      </c>
      <c r="C42" s="134">
        <f>SUM(C39:C41)</f>
        <v>0</v>
      </c>
      <c r="D42" s="134">
        <f>SUM(D39:D41)</f>
        <v>21193.824000660337</v>
      </c>
      <c r="E42" s="134">
        <f>SUM(E39:E41)</f>
        <v>234852.945980053</v>
      </c>
      <c r="F42" s="134">
        <f>SUM(F39:F41)</f>
        <v>234519.51895000922</v>
      </c>
      <c r="G42" s="134">
        <f>SUM(G39:G41)</f>
        <v>234186.09191996546</v>
      </c>
    </row>
    <row r="43" spans="3:7" ht="18.75" customHeight="1">
      <c r="C43" s="35"/>
      <c r="D43" s="36"/>
      <c r="E43" s="36"/>
      <c r="F43" s="36"/>
      <c r="G43" s="36"/>
    </row>
    <row r="44" spans="2:7" ht="18.75" customHeight="1">
      <c r="B44" s="1" t="s">
        <v>57</v>
      </c>
      <c r="C44" s="183">
        <f>C36+C42</f>
        <v>702736.0373347275</v>
      </c>
      <c r="D44" s="183">
        <f>D36+D42</f>
        <v>754539.2833004978</v>
      </c>
      <c r="E44" s="183">
        <f>E36+E42</f>
        <v>939942.4720381829</v>
      </c>
      <c r="F44" s="183">
        <f>F36+F42</f>
        <v>912375.5048819354</v>
      </c>
      <c r="G44" s="183">
        <f>G36+G42</f>
        <v>885751.7048064112</v>
      </c>
    </row>
    <row r="45" spans="2:7" s="3" customFormat="1" ht="18.75" customHeight="1">
      <c r="B45" s="31"/>
      <c r="C45" s="32"/>
      <c r="D45" s="32"/>
      <c r="E45" s="32"/>
      <c r="F45" s="32"/>
      <c r="G45" s="32"/>
    </row>
    <row r="46" spans="2:7" ht="18.75" customHeight="1">
      <c r="B46" s="31"/>
      <c r="C46" s="33"/>
      <c r="D46" s="33"/>
      <c r="E46" s="33"/>
      <c r="F46" s="33"/>
      <c r="G46" s="33"/>
    </row>
    <row r="47" spans="2:7" ht="18.75" customHeight="1">
      <c r="B47" s="11"/>
      <c r="C47" s="13"/>
      <c r="D47" s="13"/>
      <c r="E47" s="13"/>
      <c r="F47" s="13"/>
      <c r="G47" s="13"/>
    </row>
    <row r="48" spans="1:7" ht="18.75" customHeight="1">
      <c r="A48" s="27"/>
      <c r="B48" s="27"/>
      <c r="C48" s="28">
        <f>Input!B2</f>
        <v>2018</v>
      </c>
      <c r="D48" s="28">
        <f aca="true" t="shared" si="1" ref="D48:G49">C48+1</f>
        <v>2019</v>
      </c>
      <c r="E48" s="28">
        <f t="shared" si="1"/>
        <v>2020</v>
      </c>
      <c r="F48" s="28">
        <f t="shared" si="1"/>
        <v>2021</v>
      </c>
      <c r="G48" s="28">
        <f t="shared" si="1"/>
        <v>2022</v>
      </c>
    </row>
    <row r="49" spans="1:7" ht="18.75" customHeight="1">
      <c r="A49" s="182">
        <v>2019</v>
      </c>
      <c r="B49" s="27" t="s">
        <v>42</v>
      </c>
      <c r="C49" s="143">
        <v>1</v>
      </c>
      <c r="D49" s="143">
        <f t="shared" si="1"/>
        <v>2</v>
      </c>
      <c r="E49" s="143">
        <f t="shared" si="1"/>
        <v>3</v>
      </c>
      <c r="F49" s="143">
        <f t="shared" si="1"/>
        <v>4</v>
      </c>
      <c r="G49" s="143">
        <f t="shared" si="1"/>
        <v>5</v>
      </c>
    </row>
    <row r="50" spans="1:7" ht="18.75" customHeight="1">
      <c r="A50" s="3"/>
      <c r="B50" s="144" t="s">
        <v>233</v>
      </c>
      <c r="C50" s="12"/>
      <c r="D50" s="12"/>
      <c r="E50" s="12"/>
      <c r="F50" s="12"/>
      <c r="G50" s="12"/>
    </row>
    <row r="51" spans="1:7" ht="18.75" customHeight="1">
      <c r="A51" s="56" t="s">
        <v>226</v>
      </c>
      <c r="B51" s="66" t="s">
        <v>254</v>
      </c>
      <c r="C51" s="131">
        <f>VLOOKUP(C$48,'Cash Flows-KU'!$A$6:$F$16,$A52)</f>
        <v>718524.62</v>
      </c>
      <c r="D51" s="131">
        <f>VLOOKUP(D$48,'Cash Flows-KU'!$A$6:$F$16,$A52)</f>
        <v>5574647.883473541</v>
      </c>
      <c r="E51" s="131">
        <f>VLOOKUP(E$48,'Cash Flows-KU'!$A$6:$F$16,$A52)</f>
        <v>0</v>
      </c>
      <c r="F51" s="131">
        <f>VLOOKUP(F$48,'Cash Flows-KU'!$A$6:$F$16,$A52)</f>
        <v>0</v>
      </c>
      <c r="G51" s="131">
        <f>VLOOKUP(G$48,'Cash Flows-KU'!$A$6:$F$16,$A52)</f>
        <v>0</v>
      </c>
    </row>
    <row r="52" spans="1:7" ht="18.75" customHeight="1">
      <c r="A52" s="3">
        <v>3</v>
      </c>
      <c r="B52" s="39" t="s">
        <v>55</v>
      </c>
      <c r="C52" s="131">
        <f>SUM($C51:C51)</f>
        <v>718524.62</v>
      </c>
      <c r="D52" s="131">
        <f>SUM($C51:D51)</f>
        <v>6293172.503473541</v>
      </c>
      <c r="E52" s="131">
        <f>SUM($C51:E51)</f>
        <v>6293172.503473541</v>
      </c>
      <c r="F52" s="131">
        <f>SUM($C51:F51)</f>
        <v>6293172.503473541</v>
      </c>
      <c r="G52" s="131">
        <f>SUM($C51:G51)</f>
        <v>6293172.503473541</v>
      </c>
    </row>
    <row r="53" spans="1:7" ht="18.75" customHeight="1">
      <c r="A53" s="3">
        <v>2</v>
      </c>
      <c r="B53" s="5" t="s">
        <v>0</v>
      </c>
      <c r="C53" s="6">
        <f>IF(C49="",0,VLOOKUP($B50,Depreciation!$D$2:$E$31,$A53,FALSE))</f>
        <v>0</v>
      </c>
      <c r="D53" s="6">
        <f>IF(D49="",0,VLOOKUP($B50,Depreciation!$D$2:$E$31,$A53,FALSE))</f>
        <v>0</v>
      </c>
      <c r="E53" s="6">
        <f>IF(E49="",0,VLOOKUP($B50,Depreciation!$D$2:$E$31,$A53,FALSE))</f>
        <v>0</v>
      </c>
      <c r="F53" s="6">
        <f>IF(F49="",0,VLOOKUP($B50,Depreciation!$D$2:$E$31,$A53,FALSE))</f>
        <v>0</v>
      </c>
      <c r="G53" s="6">
        <f>IF(G49="",0,VLOOKUP($B50,Depreciation!$D$2:$E$31,$A53,FALSE))</f>
        <v>0</v>
      </c>
    </row>
    <row r="54" spans="1:7" ht="18.75" customHeight="1">
      <c r="A54" s="3">
        <v>3</v>
      </c>
      <c r="B54" s="5" t="s">
        <v>1</v>
      </c>
      <c r="C54" s="6">
        <f>IF(C49="",0,VLOOKUP(C49,Depreciation!$A$2:$C$58,$A54,FALSE))</f>
        <v>1</v>
      </c>
      <c r="D54" s="6">
        <f>IF(D49="",0,VLOOKUP(D49,Depreciation!$A$2:$C$58,$A54,FALSE))</f>
        <v>1</v>
      </c>
      <c r="E54" s="6">
        <f>IF(E49="",0,VLOOKUP(E49,Depreciation!$A$2:$C$58,$A54,FALSE))</f>
        <v>1</v>
      </c>
      <c r="F54" s="6">
        <f>IF(F49="",0,VLOOKUP(F49,Depreciation!$A$2:$C$58,$A54,FALSE))</f>
        <v>1</v>
      </c>
      <c r="G54" s="6">
        <f>IF(G49="",0,VLOOKUP(G49,Depreciation!$A$2:$C$58,$A54,FALSE))</f>
        <v>1</v>
      </c>
    </row>
    <row r="55" spans="1:7" ht="18.75" customHeight="1">
      <c r="A55" s="29"/>
      <c r="B55" s="30" t="s">
        <v>2</v>
      </c>
      <c r="C55" s="33">
        <f>Input!B$3</f>
        <v>0.254556</v>
      </c>
      <c r="D55" s="33">
        <f>Input!C$3</f>
        <v>0.254556</v>
      </c>
      <c r="E55" s="33">
        <f>Input!D$3</f>
        <v>0.254556</v>
      </c>
      <c r="F55" s="33">
        <f>Input!E$3</f>
        <v>0.254556</v>
      </c>
      <c r="G55" s="33">
        <f>Input!F$3</f>
        <v>0.254556</v>
      </c>
    </row>
    <row r="56" spans="1:7" ht="18.75" customHeight="1">
      <c r="A56" s="2"/>
      <c r="B56" s="2" t="s">
        <v>3</v>
      </c>
      <c r="C56" s="129">
        <f>SUM($C67:C67)</f>
        <v>175588.5630419712</v>
      </c>
      <c r="D56" s="129">
        <f>SUM($C67:D67)</f>
        <v>1528204.936764651</v>
      </c>
      <c r="E56" s="129">
        <f>SUM($C67:E67)</f>
        <v>1461761.24386184</v>
      </c>
      <c r="F56" s="129">
        <f>SUM($C67:F67)</f>
        <v>1395317.5509590292</v>
      </c>
      <c r="G56" s="129">
        <f>SUM($C67:G67)</f>
        <v>1328873.8580562184</v>
      </c>
    </row>
    <row r="57" spans="1:7" ht="18.75" customHeight="1">
      <c r="A57" s="2"/>
      <c r="B57" s="2" t="s">
        <v>4</v>
      </c>
      <c r="C57" s="128">
        <f>SUM($C59:C59)</f>
        <v>28740.9848</v>
      </c>
      <c r="D57" s="128">
        <f>SUM($C59:D59)</f>
        <v>289758.96474473085</v>
      </c>
      <c r="E57" s="128">
        <f>SUM($C59:E59)</f>
        <v>550776.9446894617</v>
      </c>
      <c r="F57" s="128">
        <f>SUM($C59:F59)</f>
        <v>811794.9246341926</v>
      </c>
      <c r="G57" s="128">
        <f>SUM($C59:G59)</f>
        <v>1072812.9045789235</v>
      </c>
    </row>
    <row r="58" spans="1:7" ht="18.75" customHeight="1">
      <c r="A58" s="2"/>
      <c r="B58" s="11" t="s">
        <v>5</v>
      </c>
      <c r="C58" s="128">
        <v>0</v>
      </c>
      <c r="D58" s="128">
        <f>C58</f>
        <v>0</v>
      </c>
      <c r="E58" s="128">
        <f>D58</f>
        <v>0</v>
      </c>
      <c r="F58" s="128">
        <f>E58</f>
        <v>0</v>
      </c>
      <c r="G58" s="128">
        <f>F58</f>
        <v>0</v>
      </c>
    </row>
    <row r="59" spans="1:27" ht="18.75" customHeight="1">
      <c r="A59" s="147" t="s">
        <v>246</v>
      </c>
      <c r="B59" s="11" t="s">
        <v>250</v>
      </c>
      <c r="C59" s="128">
        <f>C51/25</f>
        <v>28740.9848</v>
      </c>
      <c r="D59" s="32">
        <f>C59+D51/24</f>
        <v>261017.97994473088</v>
      </c>
      <c r="E59" s="128">
        <f>D59</f>
        <v>261017.97994473088</v>
      </c>
      <c r="F59" s="128">
        <f>E59</f>
        <v>261017.97994473088</v>
      </c>
      <c r="G59" s="128">
        <f>F59</f>
        <v>261017.97994473088</v>
      </c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7" ht="18.75" customHeight="1">
      <c r="A60" s="2"/>
      <c r="B60" s="5" t="s">
        <v>7</v>
      </c>
      <c r="C60" s="128">
        <f>C51</f>
        <v>718524.62</v>
      </c>
      <c r="D60" s="128">
        <f>C60+D51</f>
        <v>6293172.503473541</v>
      </c>
      <c r="E60" s="128">
        <f>D60+E51</f>
        <v>6293172.503473541</v>
      </c>
      <c r="F60" s="128">
        <f>E60+F51</f>
        <v>6293172.503473541</v>
      </c>
      <c r="G60" s="128">
        <f>F60+G51</f>
        <v>6293172.503473541</v>
      </c>
    </row>
    <row r="61" spans="1:7" ht="18.75" customHeight="1">
      <c r="A61" s="2"/>
      <c r="B61" s="146" t="s">
        <v>235</v>
      </c>
      <c r="C61" s="128">
        <f>IF(C49=1,IF($A59="Bonus",SUM($C51:C51)*VLOOKUP(C48,Depreciation!$D$41:$E$50,2),0),0)</f>
        <v>0</v>
      </c>
      <c r="D61" s="128">
        <f>IF(D49=1,IF($A59="Bonus",SUM($C51:D51)*VLOOKUP(D48,Depreciation!$D$41:$E$50,2),0),0)</f>
        <v>0</v>
      </c>
      <c r="E61" s="128">
        <f>IF(E49=1,IF($A59="Bonus",SUM($C51:E51)*VLOOKUP(E48,Depreciation!$D$41:$E$50,2),0),0)</f>
        <v>0</v>
      </c>
      <c r="F61" s="128">
        <f>IF(F49=1,IF($A59="Bonus",SUM($C51:F51)*VLOOKUP(F48,Depreciation!$D$41:$E$50,2),0),0)</f>
        <v>0</v>
      </c>
      <c r="G61" s="128">
        <f>IF(G49=1,IF($A59="Bonus",SUM($C51:G51)*VLOOKUP(G48,Depreciation!$D$41:$E$50,2),0),0)</f>
        <v>0</v>
      </c>
    </row>
    <row r="62" spans="1:7" ht="18.75" customHeight="1">
      <c r="A62" s="2"/>
      <c r="B62" s="5" t="s">
        <v>236</v>
      </c>
      <c r="C62" s="128">
        <v>0</v>
      </c>
      <c r="D62" s="128">
        <f>C62</f>
        <v>0</v>
      </c>
      <c r="E62" s="128">
        <f>D62</f>
        <v>0</v>
      </c>
      <c r="F62" s="128">
        <f>E62</f>
        <v>0</v>
      </c>
      <c r="G62" s="128">
        <f>F62</f>
        <v>0</v>
      </c>
    </row>
    <row r="63" spans="1:7" ht="18.75" customHeight="1">
      <c r="A63" s="2"/>
      <c r="B63" s="5" t="s">
        <v>17</v>
      </c>
      <c r="C63" s="33">
        <f>Input!J18</f>
        <v>0.08834289374565826</v>
      </c>
      <c r="D63" s="33">
        <f>Input!K18</f>
        <v>0.08834289374565826</v>
      </c>
      <c r="E63" s="33">
        <f>Input!L18</f>
        <v>0.08834289374565826</v>
      </c>
      <c r="F63" s="33">
        <f>Input!M18</f>
        <v>0.08834289374565826</v>
      </c>
      <c r="G63" s="33">
        <f>Input!N18</f>
        <v>0.08834289374565826</v>
      </c>
    </row>
    <row r="64" spans="1:7" ht="18.75" customHeight="1">
      <c r="A64" s="2"/>
      <c r="B64" s="5" t="s">
        <v>252</v>
      </c>
      <c r="C64" s="139">
        <f>C59</f>
        <v>28740.9848</v>
      </c>
      <c r="D64" s="139">
        <f>D59</f>
        <v>261017.97994473088</v>
      </c>
      <c r="E64" s="139">
        <f>E59</f>
        <v>261017.97994473088</v>
      </c>
      <c r="F64" s="139">
        <f>F59</f>
        <v>261017.97994473088</v>
      </c>
      <c r="G64" s="139">
        <f>G59</f>
        <v>261017.97994473088</v>
      </c>
    </row>
    <row r="65" spans="1:7" ht="18.75" customHeight="1">
      <c r="A65" s="2"/>
      <c r="B65" s="11" t="s">
        <v>238</v>
      </c>
      <c r="C65" s="139">
        <f>C51*C54</f>
        <v>718524.62</v>
      </c>
      <c r="D65" s="139">
        <f>D51*D54</f>
        <v>5574647.883473541</v>
      </c>
      <c r="E65" s="139">
        <f>E51*E54</f>
        <v>0</v>
      </c>
      <c r="F65" s="139">
        <f>F51*F54</f>
        <v>0</v>
      </c>
      <c r="G65" s="139">
        <f>G51*G54</f>
        <v>0</v>
      </c>
    </row>
    <row r="66" spans="1:7" ht="18.75" customHeight="1">
      <c r="A66" s="2"/>
      <c r="B66" s="3" t="s">
        <v>9</v>
      </c>
      <c r="C66" s="8">
        <f>Input!$B$5</f>
        <v>0.0015</v>
      </c>
      <c r="D66" s="8">
        <f>C66</f>
        <v>0.0015</v>
      </c>
      <c r="E66" s="8">
        <f>D66</f>
        <v>0.0015</v>
      </c>
      <c r="F66" s="8">
        <f>E66</f>
        <v>0.0015</v>
      </c>
      <c r="G66" s="8">
        <f>F66</f>
        <v>0.0015</v>
      </c>
    </row>
    <row r="67" spans="1:7" ht="18.75" customHeight="1">
      <c r="A67" s="2"/>
      <c r="B67" s="87" t="s">
        <v>237</v>
      </c>
      <c r="C67" s="130">
        <f>(C65-C64)*C55</f>
        <v>175588.5630419712</v>
      </c>
      <c r="D67" s="130">
        <f>(D65-D64)*D55</f>
        <v>1352616.3737226797</v>
      </c>
      <c r="E67" s="130">
        <f>(E65-E64)*E55</f>
        <v>-66443.69290281092</v>
      </c>
      <c r="F67" s="130">
        <f>(F65-F64)*F55</f>
        <v>-66443.69290281092</v>
      </c>
      <c r="G67" s="130">
        <f>(G65-G64)*G55</f>
        <v>-66443.69290281092</v>
      </c>
    </row>
    <row r="68" spans="2:7" ht="18.75" customHeight="1">
      <c r="B68" s="4"/>
      <c r="C68" s="9"/>
      <c r="D68" s="9"/>
      <c r="E68" s="9"/>
      <c r="F68" s="9"/>
      <c r="G68" s="9"/>
    </row>
    <row r="69" spans="1:7" ht="18.75" customHeight="1">
      <c r="A69" s="2"/>
      <c r="B69" s="10" t="s">
        <v>15</v>
      </c>
      <c r="C69" s="9"/>
      <c r="D69" s="9"/>
      <c r="E69" s="9"/>
      <c r="F69" s="9"/>
      <c r="G69" s="9"/>
    </row>
    <row r="70" spans="1:7" ht="18.75" customHeight="1">
      <c r="A70" s="2"/>
      <c r="B70" s="5" t="s">
        <v>16</v>
      </c>
      <c r="C70" s="128">
        <f>C52</f>
        <v>718524.62</v>
      </c>
      <c r="D70" s="128">
        <f>D52</f>
        <v>6293172.503473541</v>
      </c>
      <c r="E70" s="128">
        <f>E52</f>
        <v>6293172.503473541</v>
      </c>
      <c r="F70" s="128">
        <f>F52</f>
        <v>6293172.503473541</v>
      </c>
      <c r="G70" s="128">
        <f>G52</f>
        <v>6293172.503473541</v>
      </c>
    </row>
    <row r="71" spans="1:7" ht="18.75" customHeight="1">
      <c r="A71" s="3"/>
      <c r="B71" s="4" t="s">
        <v>43</v>
      </c>
      <c r="C71" s="129">
        <v>0</v>
      </c>
      <c r="D71" s="129">
        <f>C71</f>
        <v>0</v>
      </c>
      <c r="E71" s="129">
        <f>D71</f>
        <v>0</v>
      </c>
      <c r="F71" s="129">
        <f>E71</f>
        <v>0</v>
      </c>
      <c r="G71" s="129">
        <f>F71</f>
        <v>0</v>
      </c>
    </row>
    <row r="72" spans="1:7" ht="18.75" customHeight="1">
      <c r="A72" s="2"/>
      <c r="B72" s="2" t="s">
        <v>251</v>
      </c>
      <c r="C72" s="129">
        <f>-C57</f>
        <v>-28740.9848</v>
      </c>
      <c r="D72" s="129">
        <f>-D57</f>
        <v>-289758.96474473085</v>
      </c>
      <c r="E72" s="129">
        <f>-E57</f>
        <v>-550776.9446894617</v>
      </c>
      <c r="F72" s="129">
        <f>-F57</f>
        <v>-811794.9246341926</v>
      </c>
      <c r="G72" s="129">
        <f>-G57</f>
        <v>-1072812.9045789235</v>
      </c>
    </row>
    <row r="73" spans="1:7" ht="18.75" customHeight="1">
      <c r="A73" s="2"/>
      <c r="B73" s="2" t="s">
        <v>44</v>
      </c>
      <c r="C73" s="129">
        <v>0</v>
      </c>
      <c r="D73" s="129">
        <f>C73</f>
        <v>0</v>
      </c>
      <c r="E73" s="129">
        <f>D73</f>
        <v>0</v>
      </c>
      <c r="F73" s="129">
        <f>E73</f>
        <v>0</v>
      </c>
      <c r="G73" s="129">
        <f>F73</f>
        <v>0</v>
      </c>
    </row>
    <row r="74" spans="1:7" ht="18.75" customHeight="1">
      <c r="A74" s="2"/>
      <c r="B74" s="2" t="s">
        <v>45</v>
      </c>
      <c r="C74" s="129">
        <f>-C56</f>
        <v>-175588.5630419712</v>
      </c>
      <c r="D74" s="129">
        <f>-D56</f>
        <v>-1528204.936764651</v>
      </c>
      <c r="E74" s="129">
        <f>-E56</f>
        <v>-1461761.24386184</v>
      </c>
      <c r="F74" s="129">
        <f>-F56</f>
        <v>-1395317.5509590292</v>
      </c>
      <c r="G74" s="129">
        <f>-G56</f>
        <v>-1328873.8580562184</v>
      </c>
    </row>
    <row r="75" spans="1:7" ht="18.75" customHeight="1">
      <c r="A75" s="2"/>
      <c r="B75" s="2" t="s">
        <v>46</v>
      </c>
      <c r="C75" s="129">
        <v>0</v>
      </c>
      <c r="D75" s="129">
        <f>C75</f>
        <v>0</v>
      </c>
      <c r="E75" s="129">
        <f>D75</f>
        <v>0</v>
      </c>
      <c r="F75" s="129">
        <f>E75</f>
        <v>0</v>
      </c>
      <c r="G75" s="129">
        <f>F75</f>
        <v>0</v>
      </c>
    </row>
    <row r="76" spans="1:7" ht="18.75" customHeight="1">
      <c r="A76" s="2"/>
      <c r="B76" s="2" t="s">
        <v>11</v>
      </c>
      <c r="C76" s="129">
        <f>SUM(C70:C75)</f>
        <v>514195.07215802884</v>
      </c>
      <c r="D76" s="129">
        <f>SUM(D70:D75)</f>
        <v>4475208.601964159</v>
      </c>
      <c r="E76" s="129">
        <f>SUM(E70:E75)</f>
        <v>4280634.314922239</v>
      </c>
      <c r="F76" s="129">
        <f>SUM(F70:F75)</f>
        <v>4086060.0278803194</v>
      </c>
      <c r="G76" s="129">
        <f>SUM(G70:G75)</f>
        <v>3891485.740838399</v>
      </c>
    </row>
    <row r="77" spans="1:7" ht="18.75" customHeight="1">
      <c r="A77" s="2"/>
      <c r="B77" s="2" t="s">
        <v>12</v>
      </c>
      <c r="C77" s="7">
        <f>C63</f>
        <v>0.08834289374565826</v>
      </c>
      <c r="D77" s="7">
        <f>D63</f>
        <v>0.08834289374565826</v>
      </c>
      <c r="E77" s="7">
        <f>E63</f>
        <v>0.08834289374565826</v>
      </c>
      <c r="F77" s="7">
        <f>F63</f>
        <v>0.08834289374565826</v>
      </c>
      <c r="G77" s="7">
        <f>G63</f>
        <v>0.08834289374565826</v>
      </c>
    </row>
    <row r="78" spans="1:7" ht="18.75" customHeight="1">
      <c r="A78" s="2"/>
      <c r="B78" s="33" t="s">
        <v>56</v>
      </c>
      <c r="C78" s="133">
        <f>C76*C77</f>
        <v>45425.48062419782</v>
      </c>
      <c r="D78" s="133">
        <f>D76*D77</f>
        <v>395352.87801297556</v>
      </c>
      <c r="E78" s="133">
        <f>E76*E77</f>
        <v>378163.622447194</v>
      </c>
      <c r="F78" s="133">
        <f>F76*F77</f>
        <v>360974.3668814125</v>
      </c>
      <c r="G78" s="133">
        <f>G76*G77</f>
        <v>343785.1113156309</v>
      </c>
    </row>
    <row r="79" spans="1:7" ht="18.75" customHeight="1">
      <c r="A79" s="3"/>
      <c r="B79" s="31"/>
      <c r="C79" s="32"/>
      <c r="D79" s="32"/>
      <c r="E79" s="32"/>
      <c r="F79" s="32"/>
      <c r="G79" s="32"/>
    </row>
    <row r="80" spans="2:7" ht="18.75" customHeight="1">
      <c r="B80" s="5" t="s">
        <v>51</v>
      </c>
      <c r="C80" s="129">
        <v>0</v>
      </c>
      <c r="D80" s="129">
        <f aca="true" t="shared" si="2" ref="D80:G81">C80</f>
        <v>0</v>
      </c>
      <c r="E80" s="129">
        <f t="shared" si="2"/>
        <v>0</v>
      </c>
      <c r="F80" s="129">
        <f t="shared" si="2"/>
        <v>0</v>
      </c>
      <c r="G80" s="129">
        <f t="shared" si="2"/>
        <v>0</v>
      </c>
    </row>
    <row r="81" spans="2:7" ht="18.75" customHeight="1">
      <c r="B81" t="s">
        <v>47</v>
      </c>
      <c r="C81" s="127">
        <v>0</v>
      </c>
      <c r="D81" s="127">
        <f t="shared" si="2"/>
        <v>0</v>
      </c>
      <c r="E81" s="127">
        <f t="shared" si="2"/>
        <v>0</v>
      </c>
      <c r="F81" s="127">
        <f t="shared" si="2"/>
        <v>0</v>
      </c>
      <c r="G81" s="127">
        <f t="shared" si="2"/>
        <v>0</v>
      </c>
    </row>
    <row r="82" spans="1:7" ht="18.75" customHeight="1">
      <c r="A82" s="34"/>
      <c r="B82" s="2" t="s">
        <v>284</v>
      </c>
      <c r="C82" s="129">
        <f>C59</f>
        <v>28740.9848</v>
      </c>
      <c r="D82" s="129">
        <f>D59</f>
        <v>261017.97994473088</v>
      </c>
      <c r="E82" s="129">
        <f>E59</f>
        <v>261017.97994473088</v>
      </c>
      <c r="F82" s="129">
        <f>F59</f>
        <v>261017.97994473088</v>
      </c>
      <c r="G82" s="129">
        <f>G59</f>
        <v>261017.97994473088</v>
      </c>
    </row>
    <row r="83" spans="2:7" ht="18.75" customHeight="1">
      <c r="B83" t="s">
        <v>49</v>
      </c>
      <c r="C83" s="127">
        <v>0</v>
      </c>
      <c r="D83" s="127">
        <f>D66*(C70+C72)</f>
        <v>1034.6754528000001</v>
      </c>
      <c r="E83" s="127">
        <f>E66*(D70+D72)</f>
        <v>9005.120308093215</v>
      </c>
      <c r="F83" s="127">
        <f>F66*(E70+E72)</f>
        <v>8613.593338176119</v>
      </c>
      <c r="G83" s="127">
        <f>G66*(F70+F72)</f>
        <v>8222.066368259024</v>
      </c>
    </row>
    <row r="84" spans="2:7" ht="18.75" customHeight="1">
      <c r="B84" s="21" t="s">
        <v>50</v>
      </c>
      <c r="C84" s="134">
        <f>SUM(C80:C83)</f>
        <v>28740.9848</v>
      </c>
      <c r="D84" s="134">
        <f>SUM(D80:D83)</f>
        <v>262052.65539753088</v>
      </c>
      <c r="E84" s="134">
        <f>SUM(E80:E83)</f>
        <v>270023.1002528241</v>
      </c>
      <c r="F84" s="134">
        <f>SUM(F80:F83)</f>
        <v>269631.573282907</v>
      </c>
      <c r="G84" s="134">
        <f>SUM(G80:G83)</f>
        <v>269240.0463129899</v>
      </c>
    </row>
    <row r="85" spans="3:7" ht="18.75" customHeight="1">
      <c r="C85" s="36"/>
      <c r="D85" s="36"/>
      <c r="E85" s="36"/>
      <c r="F85" s="36"/>
      <c r="G85" s="36"/>
    </row>
    <row r="86" spans="2:7" ht="18.75" customHeight="1">
      <c r="B86" s="1" t="s">
        <v>57</v>
      </c>
      <c r="C86" s="131">
        <f>C78+C84</f>
        <v>74166.46542419781</v>
      </c>
      <c r="D86" s="131">
        <f>D78+D84</f>
        <v>657405.5334105064</v>
      </c>
      <c r="E86" s="131">
        <f>E78+E84</f>
        <v>648186.7227000181</v>
      </c>
      <c r="F86" s="131">
        <f>F78+F84</f>
        <v>630605.9401643195</v>
      </c>
      <c r="G86" s="131">
        <f>G78+G84</f>
        <v>613025.1576286207</v>
      </c>
    </row>
    <row r="87" ht="18.75" customHeight="1"/>
    <row r="88" ht="18.75" customHeight="1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</sheetData>
  <sheetProtection/>
  <dataValidations count="1">
    <dataValidation type="list" allowBlank="1" showInputMessage="1" showErrorMessage="1" sqref="A17 A59">
      <formula1>"Bonus, No Bonus"</formula1>
    </dataValidation>
  </dataValidations>
  <printOptions horizontalCentered="1"/>
  <pageMargins left="0.75" right="0.75" top="1" bottom="0.5" header="0.5" footer="0.5"/>
  <pageSetup fitToHeight="0" fitToWidth="0" horizontalDpi="300" verticalDpi="300" orientation="portrait" scale="80" r:id="rId3"/>
  <rowBreaks count="1" manualBreakCount="1">
    <brk id="46" min="2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4"/>
  <sheetViews>
    <sheetView zoomScale="80" zoomScaleNormal="80" zoomScalePageLayoutView="0" workbookViewId="0" topLeftCell="A1">
      <selection activeCell="A1" sqref="A1"/>
    </sheetView>
  </sheetViews>
  <sheetFormatPr defaultColWidth="9.33203125" defaultRowHeight="11.25"/>
  <cols>
    <col min="1" max="1" width="11.83203125" style="0" customWidth="1"/>
    <col min="2" max="2" width="23.66015625" style="0" customWidth="1"/>
    <col min="3" max="5" width="23.66015625" style="46" customWidth="1"/>
    <col min="6" max="6" width="23.66015625" style="0" customWidth="1"/>
    <col min="7" max="27" width="16.5" style="0" customWidth="1"/>
  </cols>
  <sheetData>
    <row r="1" spans="1:7" ht="21" customHeight="1">
      <c r="A1" s="123" t="s">
        <v>18</v>
      </c>
      <c r="B1" s="45"/>
      <c r="C1" s="124"/>
      <c r="D1" s="124"/>
      <c r="E1" s="124"/>
      <c r="F1" s="45"/>
      <c r="G1" s="185"/>
    </row>
    <row r="2" spans="1:7" ht="21" customHeight="1">
      <c r="A2" s="123" t="s">
        <v>247</v>
      </c>
      <c r="B2" s="45"/>
      <c r="C2" s="124"/>
      <c r="D2" s="124"/>
      <c r="E2" s="124"/>
      <c r="F2" s="45"/>
      <c r="G2" s="185"/>
    </row>
    <row r="3" spans="1:7" ht="21" customHeight="1">
      <c r="A3" s="123" t="s">
        <v>258</v>
      </c>
      <c r="B3" s="45"/>
      <c r="C3" s="124"/>
      <c r="D3" s="124"/>
      <c r="E3" s="124"/>
      <c r="F3" s="45"/>
      <c r="G3" s="185"/>
    </row>
    <row r="4" spans="3:5" ht="11.25">
      <c r="C4"/>
      <c r="D4"/>
      <c r="E4"/>
    </row>
    <row r="5" spans="1:6" s="14" customFormat="1" ht="60" customHeight="1">
      <c r="A5" s="120" t="s">
        <v>19</v>
      </c>
      <c r="B5" s="120" t="s">
        <v>256</v>
      </c>
      <c r="C5" s="121" t="s">
        <v>257</v>
      </c>
      <c r="D5" s="121"/>
      <c r="E5" s="121"/>
      <c r="F5" s="121"/>
    </row>
    <row r="6" spans="1:32" ht="11.25" customHeight="1">
      <c r="A6" s="142">
        <v>2018</v>
      </c>
      <c r="B6" s="184">
        <v>7954641.37</v>
      </c>
      <c r="C6" s="140">
        <v>718524.62</v>
      </c>
      <c r="D6" s="184"/>
      <c r="E6" s="184"/>
      <c r="F6" s="18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1.25" customHeight="1">
      <c r="A7" s="142">
        <f>A6+1</f>
        <v>2019</v>
      </c>
      <c r="B7" s="184">
        <v>433460.0147489824</v>
      </c>
      <c r="C7" s="140">
        <v>5574647.883473541</v>
      </c>
      <c r="D7" s="184"/>
      <c r="E7" s="184"/>
      <c r="F7" s="12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14" ht="11.25" customHeight="1">
      <c r="A8" s="142">
        <f aca="true" t="shared" si="0" ref="A8:A16">A7+1</f>
        <v>2020</v>
      </c>
      <c r="B8" s="184">
        <v>0</v>
      </c>
      <c r="C8" s="140">
        <v>0</v>
      </c>
      <c r="D8" s="184"/>
      <c r="E8" s="184"/>
      <c r="F8" s="125"/>
      <c r="J8" s="88"/>
      <c r="K8" s="89"/>
      <c r="L8" s="89"/>
      <c r="M8" s="89"/>
      <c r="N8" s="17"/>
    </row>
    <row r="9" spans="1:14" ht="11.25" customHeight="1">
      <c r="A9" s="142">
        <f t="shared" si="0"/>
        <v>2021</v>
      </c>
      <c r="B9" s="184"/>
      <c r="C9" s="184"/>
      <c r="D9" s="184"/>
      <c r="E9" s="184"/>
      <c r="F9" s="125"/>
      <c r="J9" s="88"/>
      <c r="K9" s="89"/>
      <c r="L9" s="89"/>
      <c r="M9" s="89"/>
      <c r="N9" s="17"/>
    </row>
    <row r="10" spans="1:14" ht="11.25" customHeight="1">
      <c r="A10" s="142">
        <f t="shared" si="0"/>
        <v>2022</v>
      </c>
      <c r="B10" s="184"/>
      <c r="C10" s="184"/>
      <c r="D10" s="184"/>
      <c r="E10" s="184"/>
      <c r="F10" s="125"/>
      <c r="J10" s="88"/>
      <c r="K10" s="89"/>
      <c r="L10" s="89"/>
      <c r="M10" s="89"/>
      <c r="N10" s="17"/>
    </row>
    <row r="11" spans="1:14" ht="11.25" customHeight="1">
      <c r="A11" s="142">
        <f t="shared" si="0"/>
        <v>2023</v>
      </c>
      <c r="B11" s="184"/>
      <c r="C11" s="184"/>
      <c r="D11" s="184"/>
      <c r="E11" s="184"/>
      <c r="F11" s="125"/>
      <c r="J11" s="88"/>
      <c r="K11" s="89"/>
      <c r="L11" s="89"/>
      <c r="M11" s="89"/>
      <c r="N11" s="17"/>
    </row>
    <row r="12" spans="1:14" ht="11.25" customHeight="1">
      <c r="A12" s="142">
        <f t="shared" si="0"/>
        <v>2024</v>
      </c>
      <c r="B12" s="184"/>
      <c r="C12" s="184"/>
      <c r="D12" s="184"/>
      <c r="E12" s="184"/>
      <c r="F12" s="125"/>
      <c r="J12" s="88"/>
      <c r="K12" s="89"/>
      <c r="L12" s="89"/>
      <c r="M12" s="89"/>
      <c r="N12" s="17"/>
    </row>
    <row r="13" spans="1:14" ht="11.25" customHeight="1">
      <c r="A13" s="142">
        <f t="shared" si="0"/>
        <v>2025</v>
      </c>
      <c r="B13" s="184"/>
      <c r="C13" s="184"/>
      <c r="D13" s="184"/>
      <c r="E13" s="184"/>
      <c r="F13" s="125"/>
      <c r="J13" s="88"/>
      <c r="K13" s="89"/>
      <c r="L13" s="89"/>
      <c r="M13" s="89"/>
      <c r="N13" s="17"/>
    </row>
    <row r="14" spans="1:14" ht="11.25" customHeight="1">
      <c r="A14" s="142">
        <f t="shared" si="0"/>
        <v>2026</v>
      </c>
      <c r="B14" s="184"/>
      <c r="C14" s="184"/>
      <c r="D14" s="184"/>
      <c r="E14" s="184"/>
      <c r="F14" s="125"/>
      <c r="J14" s="88"/>
      <c r="K14" s="89"/>
      <c r="L14" s="89"/>
      <c r="M14" s="89"/>
      <c r="N14" s="17"/>
    </row>
    <row r="15" spans="1:14" ht="11.25" customHeight="1">
      <c r="A15" s="142">
        <f>A14+1</f>
        <v>2027</v>
      </c>
      <c r="B15" s="184"/>
      <c r="C15" s="184"/>
      <c r="D15" s="184"/>
      <c r="E15" s="184"/>
      <c r="F15" s="125"/>
      <c r="J15" s="88"/>
      <c r="K15" s="89"/>
      <c r="L15" s="89"/>
      <c r="M15" s="89"/>
      <c r="N15" s="17"/>
    </row>
    <row r="16" spans="1:14" ht="11.25" customHeight="1">
      <c r="A16" s="122">
        <f t="shared" si="0"/>
        <v>2028</v>
      </c>
      <c r="B16" s="141"/>
      <c r="C16" s="141"/>
      <c r="D16" s="141"/>
      <c r="E16" s="141"/>
      <c r="F16" s="126"/>
      <c r="J16" s="88"/>
      <c r="K16" s="89"/>
      <c r="L16" s="89"/>
      <c r="M16" s="89"/>
      <c r="N16" s="17"/>
    </row>
    <row r="17" spans="2:14" ht="14.25">
      <c r="B17" s="125">
        <f>SUM(B6:B16)</f>
        <v>8388101.384748982</v>
      </c>
      <c r="C17" s="125">
        <f>SUM(C6:C16)</f>
        <v>6293172.503473541</v>
      </c>
      <c r="D17" s="125">
        <f>SUM(D6:D16)</f>
        <v>0</v>
      </c>
      <c r="E17" s="125">
        <f>SUM(E6:E16)</f>
        <v>0</v>
      </c>
      <c r="F17" s="125">
        <f>SUM(F6:F16)</f>
        <v>0</v>
      </c>
      <c r="J17" s="88"/>
      <c r="K17" s="89"/>
      <c r="L17" s="89"/>
      <c r="M17" s="89"/>
      <c r="N17" s="17"/>
    </row>
    <row r="18" spans="6:7" ht="11.25" customHeight="1">
      <c r="F18" s="93"/>
      <c r="G18" s="16"/>
    </row>
    <row r="19" spans="1:11" ht="11.25">
      <c r="A19" s="37"/>
      <c r="C19"/>
      <c r="D19"/>
      <c r="E19"/>
      <c r="F19" s="92"/>
      <c r="G19" s="2"/>
      <c r="J19" s="2"/>
      <c r="K19" s="2"/>
    </row>
    <row r="20" spans="1:11" ht="11.25">
      <c r="A20" s="37"/>
      <c r="C20"/>
      <c r="D20"/>
      <c r="E20"/>
      <c r="F20" s="92"/>
      <c r="G20" s="2"/>
      <c r="J20" s="2"/>
      <c r="K20" s="2"/>
    </row>
    <row r="21" spans="1:11" ht="11.25">
      <c r="A21" s="37"/>
      <c r="B21" s="200"/>
      <c r="C21" s="200"/>
      <c r="F21" s="92"/>
      <c r="G21" s="2"/>
      <c r="J21" s="2"/>
      <c r="K21" s="2"/>
    </row>
    <row r="24" ht="11.25">
      <c r="B24" s="2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0"/>
  <sheetViews>
    <sheetView zoomScale="75" zoomScaleNormal="75" zoomScalePageLayoutView="0" workbookViewId="0" topLeftCell="A1">
      <selection activeCell="A1" sqref="A1"/>
    </sheetView>
  </sheetViews>
  <sheetFormatPr defaultColWidth="9.33203125" defaultRowHeight="11.25"/>
  <cols>
    <col min="1" max="1" width="17.33203125" style="46" bestFit="1" customWidth="1"/>
    <col min="2" max="2" width="18.5" style="46" customWidth="1"/>
    <col min="3" max="3" width="15.16015625" style="0" customWidth="1"/>
    <col min="4" max="4" width="22.16015625" style="0" bestFit="1" customWidth="1"/>
    <col min="5" max="5" width="21.33203125" style="0" bestFit="1" customWidth="1"/>
    <col min="6" max="8" width="16.16015625" style="0" bestFit="1" customWidth="1"/>
    <col min="10" max="13" width="12" style="0" bestFit="1" customWidth="1"/>
    <col min="14" max="16" width="11.33203125" style="0" bestFit="1" customWidth="1"/>
  </cols>
  <sheetData>
    <row r="1" spans="1:53" ht="11.25">
      <c r="A1" s="171" t="s">
        <v>22</v>
      </c>
      <c r="B1" s="172" t="s">
        <v>40</v>
      </c>
      <c r="C1" s="149" t="s">
        <v>239</v>
      </c>
      <c r="D1" s="158" t="s">
        <v>95</v>
      </c>
      <c r="E1" s="149" t="s">
        <v>6</v>
      </c>
      <c r="F1" s="21"/>
      <c r="H1" s="75" t="s">
        <v>179</v>
      </c>
      <c r="I1" s="22"/>
      <c r="J1" s="22"/>
      <c r="K1" s="22"/>
      <c r="L1" s="22"/>
      <c r="M1" s="22"/>
      <c r="N1" s="22"/>
      <c r="O1" s="22"/>
      <c r="P1" s="22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16" ht="11.25">
      <c r="A2" s="173">
        <v>1</v>
      </c>
      <c r="B2" s="174">
        <v>0.0375</v>
      </c>
      <c r="C2" s="152">
        <v>1</v>
      </c>
      <c r="D2" s="159" t="s">
        <v>23</v>
      </c>
      <c r="E2" s="150">
        <f>'KU Depreciation Rate'!E39</f>
        <v>0.0238</v>
      </c>
      <c r="F2" s="24"/>
      <c r="H2" s="115" t="s">
        <v>225</v>
      </c>
      <c r="I2" s="24"/>
      <c r="J2" s="20"/>
      <c r="K2" s="20"/>
      <c r="L2" s="20"/>
      <c r="M2" s="20"/>
      <c r="N2" s="20"/>
      <c r="O2" s="20"/>
      <c r="P2" s="20"/>
    </row>
    <row r="3" spans="1:16" ht="11.25">
      <c r="A3" s="173">
        <v>2</v>
      </c>
      <c r="B3" s="174">
        <v>0.07219</v>
      </c>
      <c r="C3" s="152">
        <v>1</v>
      </c>
      <c r="D3" s="118" t="s">
        <v>24</v>
      </c>
      <c r="E3" s="150">
        <f>'KU Depreciation Rate'!E24</f>
        <v>0.0293</v>
      </c>
      <c r="F3" s="24"/>
      <c r="H3" s="24" t="s">
        <v>182</v>
      </c>
      <c r="I3" s="24"/>
      <c r="J3" s="20"/>
      <c r="K3" s="20"/>
      <c r="L3" s="20"/>
      <c r="M3" s="20"/>
      <c r="N3" s="20"/>
      <c r="O3" s="20"/>
      <c r="P3" s="20"/>
    </row>
    <row r="4" spans="1:16" ht="11.25">
      <c r="A4" s="173">
        <v>3</v>
      </c>
      <c r="B4" s="174">
        <v>0.06677</v>
      </c>
      <c r="C4" s="152">
        <v>1</v>
      </c>
      <c r="D4" s="118" t="s">
        <v>25</v>
      </c>
      <c r="E4" s="150">
        <f>'KU Depreciation Rate'!E34</f>
        <v>0.0165</v>
      </c>
      <c r="F4" s="24"/>
      <c r="G4" s="24"/>
      <c r="H4" s="24"/>
      <c r="I4" s="24"/>
      <c r="J4" s="20"/>
      <c r="K4" s="20"/>
      <c r="L4" s="20"/>
      <c r="M4" s="20"/>
      <c r="N4" s="20"/>
      <c r="O4" s="20"/>
      <c r="P4" s="20"/>
    </row>
    <row r="5" spans="1:16" ht="11.25">
      <c r="A5" s="173">
        <v>4</v>
      </c>
      <c r="B5" s="174">
        <v>0.06177</v>
      </c>
      <c r="C5" s="152">
        <v>1</v>
      </c>
      <c r="D5" s="118" t="s">
        <v>26</v>
      </c>
      <c r="E5" s="150">
        <f>'KU Depreciation Rate'!E44</f>
        <v>0.0226</v>
      </c>
      <c r="F5" s="24"/>
      <c r="G5" s="24"/>
      <c r="H5" s="24"/>
      <c r="I5" s="24"/>
      <c r="J5" s="20"/>
      <c r="K5" s="20"/>
      <c r="L5" s="20"/>
      <c r="M5" s="20"/>
      <c r="N5" s="20"/>
      <c r="O5" s="20"/>
      <c r="P5" s="20"/>
    </row>
    <row r="6" spans="1:16" ht="11.25">
      <c r="A6" s="173">
        <v>5</v>
      </c>
      <c r="B6" s="174">
        <v>0.05713</v>
      </c>
      <c r="C6" s="152">
        <v>1</v>
      </c>
      <c r="D6" s="118" t="s">
        <v>27</v>
      </c>
      <c r="E6" s="151">
        <f>'KU Depreciation Rate'!E56</f>
        <v>0.026</v>
      </c>
      <c r="F6" s="24"/>
      <c r="G6" s="24"/>
      <c r="H6" s="24"/>
      <c r="I6" s="24"/>
      <c r="J6" s="20"/>
      <c r="K6" s="20"/>
      <c r="L6" s="20"/>
      <c r="M6" s="20"/>
      <c r="N6" s="20"/>
      <c r="O6" s="20"/>
      <c r="P6" s="20"/>
    </row>
    <row r="7" spans="1:16" ht="11.25">
      <c r="A7" s="173">
        <v>6</v>
      </c>
      <c r="B7" s="174">
        <v>0.05285</v>
      </c>
      <c r="C7" s="152">
        <v>1</v>
      </c>
      <c r="D7" s="160" t="s">
        <v>28</v>
      </c>
      <c r="E7" s="151">
        <f>'KU Depreciation Rate'!E4</f>
        <v>0.028</v>
      </c>
      <c r="F7" s="24"/>
      <c r="G7" s="24"/>
      <c r="H7" s="25" t="s">
        <v>202</v>
      </c>
      <c r="I7" s="24"/>
      <c r="J7" s="20"/>
      <c r="K7" s="20"/>
      <c r="L7" s="20"/>
      <c r="M7" s="20"/>
      <c r="N7" s="20"/>
      <c r="O7" s="20"/>
      <c r="P7" s="20"/>
    </row>
    <row r="8" spans="1:16" ht="11.25">
      <c r="A8" s="173">
        <v>7</v>
      </c>
      <c r="B8" s="174">
        <v>0.04888</v>
      </c>
      <c r="C8" s="152">
        <v>1</v>
      </c>
      <c r="D8" s="160" t="s">
        <v>29</v>
      </c>
      <c r="E8" s="151">
        <f>'KU Depreciation Rate'!E9</f>
        <v>0.0264</v>
      </c>
      <c r="F8" s="24"/>
      <c r="G8" s="24"/>
      <c r="H8" s="22" t="s">
        <v>203</v>
      </c>
      <c r="I8" s="24"/>
      <c r="J8" s="20"/>
      <c r="K8" s="20"/>
      <c r="L8" s="20"/>
      <c r="M8" s="20"/>
      <c r="N8" s="20"/>
      <c r="O8" s="20"/>
      <c r="P8" s="20"/>
    </row>
    <row r="9" spans="1:16" ht="11.25">
      <c r="A9" s="173">
        <v>8</v>
      </c>
      <c r="B9" s="174">
        <v>0.04522</v>
      </c>
      <c r="C9" s="152">
        <v>1</v>
      </c>
      <c r="D9" s="161" t="s">
        <v>30</v>
      </c>
      <c r="E9" s="151">
        <f>'KU Depreciation Rate'!E15</f>
        <v>0.0265</v>
      </c>
      <c r="F9" s="24"/>
      <c r="G9" s="76"/>
      <c r="H9" s="76"/>
      <c r="I9" s="24"/>
      <c r="J9" s="20"/>
      <c r="K9" s="20"/>
      <c r="L9" s="20"/>
      <c r="M9" s="20"/>
      <c r="N9" s="20"/>
      <c r="O9" s="20"/>
      <c r="P9" s="20"/>
    </row>
    <row r="10" spans="1:16" ht="11.25">
      <c r="A10" s="173">
        <v>9</v>
      </c>
      <c r="B10" s="174">
        <v>0.04462</v>
      </c>
      <c r="C10" s="152">
        <v>1</v>
      </c>
      <c r="D10" s="160" t="s">
        <v>87</v>
      </c>
      <c r="E10" s="151">
        <f>AVERAGE(E3,E5,E6)</f>
        <v>0.025966666666666666</v>
      </c>
      <c r="F10" s="24"/>
      <c r="G10" s="24"/>
      <c r="H10" s="24"/>
      <c r="I10" s="24"/>
      <c r="J10" s="20"/>
      <c r="K10" s="20"/>
      <c r="L10" s="20"/>
      <c r="M10" s="20"/>
      <c r="N10" s="20"/>
      <c r="O10" s="20"/>
      <c r="P10" s="20"/>
    </row>
    <row r="11" spans="1:16" ht="11.25">
      <c r="A11" s="173">
        <v>10</v>
      </c>
      <c r="B11" s="174">
        <v>0.04461</v>
      </c>
      <c r="C11" s="152">
        <v>1</v>
      </c>
      <c r="D11" s="162" t="s">
        <v>31</v>
      </c>
      <c r="E11" s="152">
        <v>0.0176</v>
      </c>
      <c r="F11" s="24"/>
      <c r="G11" s="24"/>
      <c r="H11" s="24"/>
      <c r="I11" s="24"/>
      <c r="J11" s="20"/>
      <c r="K11" s="20"/>
      <c r="L11" s="20"/>
      <c r="M11" s="20"/>
      <c r="N11" s="20"/>
      <c r="O11" s="20"/>
      <c r="P11" s="20"/>
    </row>
    <row r="12" spans="1:16" ht="11.25">
      <c r="A12" s="173">
        <v>11</v>
      </c>
      <c r="B12" s="174">
        <v>0.04462</v>
      </c>
      <c r="C12" s="152">
        <v>1</v>
      </c>
      <c r="D12" s="162" t="s">
        <v>32</v>
      </c>
      <c r="E12" s="152">
        <v>0.0253</v>
      </c>
      <c r="F12" s="24"/>
      <c r="G12" s="24"/>
      <c r="H12" s="24"/>
      <c r="I12" s="24"/>
      <c r="J12" s="20"/>
      <c r="K12" s="20"/>
      <c r="L12" s="20"/>
      <c r="M12" s="20"/>
      <c r="N12" s="20"/>
      <c r="O12" s="20"/>
      <c r="P12" s="20"/>
    </row>
    <row r="13" spans="1:16" ht="11.25">
      <c r="A13" s="173">
        <v>12</v>
      </c>
      <c r="B13" s="174">
        <v>0.04461</v>
      </c>
      <c r="C13" s="152">
        <v>1</v>
      </c>
      <c r="D13" s="162" t="s">
        <v>33</v>
      </c>
      <c r="E13" s="152">
        <v>0.014</v>
      </c>
      <c r="F13" s="24"/>
      <c r="G13" s="24"/>
      <c r="H13" s="24"/>
      <c r="I13" s="24"/>
      <c r="J13" s="20"/>
      <c r="K13" s="20"/>
      <c r="L13" s="20"/>
      <c r="M13" s="20"/>
      <c r="N13" s="20"/>
      <c r="O13" s="20"/>
      <c r="P13" s="20"/>
    </row>
    <row r="14" spans="1:16" ht="11.25">
      <c r="A14" s="173">
        <v>13</v>
      </c>
      <c r="B14" s="174">
        <v>0.04462</v>
      </c>
      <c r="C14" s="152">
        <v>1</v>
      </c>
      <c r="D14" s="163" t="s">
        <v>34</v>
      </c>
      <c r="E14" s="152">
        <v>0.0284</v>
      </c>
      <c r="F14" s="24"/>
      <c r="G14" s="24"/>
      <c r="H14" s="24"/>
      <c r="I14" s="24"/>
      <c r="J14" s="20"/>
      <c r="K14" s="20"/>
      <c r="L14" s="20"/>
      <c r="M14" s="20"/>
      <c r="N14" s="20"/>
      <c r="O14" s="20"/>
      <c r="P14" s="20"/>
    </row>
    <row r="15" spans="1:16" ht="11.25">
      <c r="A15" s="173">
        <v>14</v>
      </c>
      <c r="B15" s="174">
        <v>0.04461</v>
      </c>
      <c r="C15" s="152">
        <v>1</v>
      </c>
      <c r="D15" s="162" t="s">
        <v>35</v>
      </c>
      <c r="E15" s="152">
        <v>0.0217</v>
      </c>
      <c r="F15" s="24"/>
      <c r="G15" s="24"/>
      <c r="H15" s="24"/>
      <c r="I15" s="24"/>
      <c r="J15" s="20"/>
      <c r="K15" s="20"/>
      <c r="L15" s="20"/>
      <c r="M15" s="20"/>
      <c r="N15" s="20"/>
      <c r="O15" s="20"/>
      <c r="P15" s="20"/>
    </row>
    <row r="16" spans="1:16" ht="11.25">
      <c r="A16" s="173">
        <v>15</v>
      </c>
      <c r="B16" s="174">
        <v>0.04462</v>
      </c>
      <c r="C16" s="152">
        <v>1</v>
      </c>
      <c r="D16" s="163" t="s">
        <v>36</v>
      </c>
      <c r="E16" s="152">
        <v>0.0264</v>
      </c>
      <c r="F16" s="24"/>
      <c r="G16" s="24"/>
      <c r="H16" s="24"/>
      <c r="I16" s="24"/>
      <c r="J16" s="20"/>
      <c r="K16" s="20"/>
      <c r="L16" s="20"/>
      <c r="M16" s="20"/>
      <c r="N16" s="20"/>
      <c r="O16" s="20"/>
      <c r="P16" s="20"/>
    </row>
    <row r="17" spans="1:16" ht="11.25">
      <c r="A17" s="173">
        <v>16</v>
      </c>
      <c r="B17" s="174">
        <v>0.04462</v>
      </c>
      <c r="C17" s="152">
        <v>1</v>
      </c>
      <c r="D17" s="163" t="s">
        <v>37</v>
      </c>
      <c r="E17" s="152">
        <v>0.0254</v>
      </c>
      <c r="F17" s="24"/>
      <c r="G17" s="24"/>
      <c r="H17" s="24"/>
      <c r="I17" s="24"/>
      <c r="J17" s="20"/>
      <c r="K17" s="20"/>
      <c r="L17" s="20"/>
      <c r="M17" s="20"/>
      <c r="N17" s="20"/>
      <c r="O17" s="20"/>
      <c r="P17" s="20"/>
    </row>
    <row r="18" spans="1:16" ht="11.25">
      <c r="A18" s="173">
        <v>17</v>
      </c>
      <c r="B18" s="174">
        <v>0.04462</v>
      </c>
      <c r="C18" s="152">
        <v>1</v>
      </c>
      <c r="D18" s="160" t="s">
        <v>38</v>
      </c>
      <c r="E18" s="152">
        <v>0.0156</v>
      </c>
      <c r="F18" s="24"/>
      <c r="G18" s="24"/>
      <c r="H18" s="24"/>
      <c r="I18" s="24"/>
      <c r="J18" s="20"/>
      <c r="K18" s="20"/>
      <c r="L18" s="20"/>
      <c r="M18" s="20"/>
      <c r="N18" s="20"/>
      <c r="O18" s="20"/>
      <c r="P18" s="20"/>
    </row>
    <row r="19" spans="1:16" ht="11.25">
      <c r="A19" s="173">
        <v>18</v>
      </c>
      <c r="B19" s="174">
        <v>0.04462</v>
      </c>
      <c r="C19" s="152">
        <v>1</v>
      </c>
      <c r="D19" s="164" t="s">
        <v>39</v>
      </c>
      <c r="E19" s="152">
        <v>0.0125</v>
      </c>
      <c r="F19" s="24"/>
      <c r="G19" s="24"/>
      <c r="H19" s="24"/>
      <c r="I19" s="24"/>
      <c r="J19" s="20"/>
      <c r="K19" s="20"/>
      <c r="L19" s="20"/>
      <c r="M19" s="20"/>
      <c r="N19" s="20"/>
      <c r="O19" s="20"/>
      <c r="P19" s="20"/>
    </row>
    <row r="20" spans="1:16" ht="11.25">
      <c r="A20" s="173">
        <v>19</v>
      </c>
      <c r="B20" s="174">
        <v>0.04462</v>
      </c>
      <c r="C20" s="152">
        <v>1</v>
      </c>
      <c r="D20" s="165" t="s">
        <v>242</v>
      </c>
      <c r="E20" s="152">
        <v>0.0254</v>
      </c>
      <c r="F20" s="24"/>
      <c r="G20" s="24"/>
      <c r="H20" s="24"/>
      <c r="I20" s="24"/>
      <c r="J20" s="20"/>
      <c r="K20" s="20"/>
      <c r="L20" s="20"/>
      <c r="M20" s="20"/>
      <c r="N20" s="20"/>
      <c r="O20" s="20"/>
      <c r="P20" s="20"/>
    </row>
    <row r="21" spans="1:16" ht="11.25">
      <c r="A21" s="173">
        <v>20</v>
      </c>
      <c r="B21" s="174">
        <v>0.04462</v>
      </c>
      <c r="C21" s="152">
        <v>1</v>
      </c>
      <c r="D21" s="166" t="s">
        <v>229</v>
      </c>
      <c r="E21" s="153">
        <v>0</v>
      </c>
      <c r="F21" s="24"/>
      <c r="G21" s="24"/>
      <c r="H21" s="24"/>
      <c r="I21" s="24"/>
      <c r="J21" s="20"/>
      <c r="K21" s="20"/>
      <c r="L21" s="20"/>
      <c r="M21" s="20"/>
      <c r="N21" s="20"/>
      <c r="O21" s="20"/>
      <c r="P21" s="20"/>
    </row>
    <row r="22" spans="1:16" ht="11.25">
      <c r="A22" s="173">
        <v>21</v>
      </c>
      <c r="B22" s="174">
        <v>0.0223</v>
      </c>
      <c r="C22" s="152">
        <v>1</v>
      </c>
      <c r="D22" s="166" t="s">
        <v>230</v>
      </c>
      <c r="E22" s="154">
        <v>0</v>
      </c>
      <c r="F22" s="24"/>
      <c r="G22" s="24"/>
      <c r="H22" s="24"/>
      <c r="I22" s="24"/>
      <c r="J22" s="20"/>
      <c r="K22" s="20"/>
      <c r="L22" s="20"/>
      <c r="M22" s="20"/>
      <c r="N22" s="20"/>
      <c r="O22" s="20"/>
      <c r="P22" s="20"/>
    </row>
    <row r="23" spans="1:16" ht="11.25">
      <c r="A23" s="173">
        <v>22</v>
      </c>
      <c r="B23" s="174">
        <v>0</v>
      </c>
      <c r="C23" s="152">
        <v>1</v>
      </c>
      <c r="D23" s="161" t="s">
        <v>231</v>
      </c>
      <c r="E23" s="153">
        <v>0</v>
      </c>
      <c r="F23" s="24"/>
      <c r="G23" s="24"/>
      <c r="H23" s="24"/>
      <c r="I23" s="24"/>
      <c r="J23" s="20"/>
      <c r="K23" s="20"/>
      <c r="L23" s="20"/>
      <c r="M23" s="20"/>
      <c r="N23" s="20"/>
      <c r="O23" s="20"/>
      <c r="P23" s="20"/>
    </row>
    <row r="24" spans="1:16" ht="11.25">
      <c r="A24" s="173">
        <v>23</v>
      </c>
      <c r="B24" s="174">
        <v>0</v>
      </c>
      <c r="C24" s="152">
        <v>1</v>
      </c>
      <c r="D24" s="166" t="s">
        <v>243</v>
      </c>
      <c r="E24" s="152">
        <f>'KU Depreciation Rate'!E39</f>
        <v>0.0238</v>
      </c>
      <c r="F24" s="24"/>
      <c r="G24" s="24"/>
      <c r="H24" s="24"/>
      <c r="I24" s="24"/>
      <c r="J24" s="20"/>
      <c r="K24" s="20"/>
      <c r="L24" s="20"/>
      <c r="M24" s="20"/>
      <c r="N24" s="20"/>
      <c r="O24" s="20"/>
      <c r="P24" s="20"/>
    </row>
    <row r="25" spans="1:16" ht="11.25">
      <c r="A25" s="173">
        <v>24</v>
      </c>
      <c r="B25" s="174">
        <v>0</v>
      </c>
      <c r="C25" s="152">
        <v>1</v>
      </c>
      <c r="D25" s="166" t="s">
        <v>240</v>
      </c>
      <c r="E25" s="155">
        <f>'KU Depreciation Rate'!E95</f>
        <v>0.0237</v>
      </c>
      <c r="G25" s="24"/>
      <c r="H25" s="24"/>
      <c r="I25" s="24"/>
      <c r="J25" s="20"/>
      <c r="K25" s="20"/>
      <c r="L25" s="20"/>
      <c r="M25" s="20"/>
      <c r="N25" s="20"/>
      <c r="O25" s="20"/>
      <c r="P25" s="20"/>
    </row>
    <row r="26" spans="1:16" ht="11.25">
      <c r="A26" s="173">
        <v>25</v>
      </c>
      <c r="B26" s="174">
        <v>0</v>
      </c>
      <c r="C26" s="152">
        <v>1</v>
      </c>
      <c r="D26" s="166" t="s">
        <v>241</v>
      </c>
      <c r="E26" s="152">
        <v>0.0246</v>
      </c>
      <c r="F26" s="7"/>
      <c r="G26" s="24"/>
      <c r="H26" s="24"/>
      <c r="I26" s="24"/>
      <c r="J26" s="20"/>
      <c r="K26" s="20"/>
      <c r="L26" s="20"/>
      <c r="M26" s="20"/>
      <c r="N26" s="20"/>
      <c r="O26" s="20"/>
      <c r="P26" s="20"/>
    </row>
    <row r="27" spans="1:16" ht="11.25">
      <c r="A27" s="173">
        <v>26</v>
      </c>
      <c r="B27" s="174">
        <v>0</v>
      </c>
      <c r="C27" s="152">
        <v>1</v>
      </c>
      <c r="D27" s="161" t="s">
        <v>228</v>
      </c>
      <c r="E27" s="153">
        <v>0</v>
      </c>
      <c r="F27" s="7"/>
      <c r="G27" s="24"/>
      <c r="H27" s="24"/>
      <c r="I27" s="24"/>
      <c r="J27" s="20"/>
      <c r="K27" s="20"/>
      <c r="L27" s="20"/>
      <c r="M27" s="20"/>
      <c r="N27" s="20"/>
      <c r="O27" s="20"/>
      <c r="P27" s="20"/>
    </row>
    <row r="28" spans="1:16" ht="11.25">
      <c r="A28" s="173">
        <v>27</v>
      </c>
      <c r="B28" s="174">
        <v>0</v>
      </c>
      <c r="C28" s="152">
        <v>1</v>
      </c>
      <c r="D28" s="161" t="s">
        <v>244</v>
      </c>
      <c r="E28" s="153">
        <v>0</v>
      </c>
      <c r="F28" s="7"/>
      <c r="G28" s="24"/>
      <c r="H28" s="24"/>
      <c r="I28" s="24"/>
      <c r="J28" s="20"/>
      <c r="K28" s="20"/>
      <c r="L28" s="20"/>
      <c r="M28" s="20"/>
      <c r="N28" s="20"/>
      <c r="O28" s="20"/>
      <c r="P28" s="20"/>
    </row>
    <row r="29" spans="1:16" ht="11.25">
      <c r="A29" s="173">
        <v>28</v>
      </c>
      <c r="B29" s="174">
        <v>0</v>
      </c>
      <c r="C29" s="152">
        <v>1</v>
      </c>
      <c r="D29" s="161" t="s">
        <v>232</v>
      </c>
      <c r="E29" s="153">
        <v>0</v>
      </c>
      <c r="F29" s="7"/>
      <c r="G29" s="24"/>
      <c r="H29" s="24"/>
      <c r="I29" s="24"/>
      <c r="J29" s="20"/>
      <c r="K29" s="20"/>
      <c r="L29" s="20"/>
      <c r="M29" s="20"/>
      <c r="N29" s="20"/>
      <c r="O29" s="20"/>
      <c r="P29" s="20"/>
    </row>
    <row r="30" spans="1:16" ht="11.25">
      <c r="A30" s="173">
        <v>29</v>
      </c>
      <c r="B30" s="174">
        <v>0</v>
      </c>
      <c r="C30" s="152">
        <v>1</v>
      </c>
      <c r="D30" s="161" t="s">
        <v>245</v>
      </c>
      <c r="E30" s="153">
        <v>0</v>
      </c>
      <c r="F30" s="7"/>
      <c r="G30" s="24"/>
      <c r="H30" s="24"/>
      <c r="I30" s="24"/>
      <c r="J30" s="20"/>
      <c r="K30" s="20"/>
      <c r="L30" s="20"/>
      <c r="M30" s="20"/>
      <c r="N30" s="20"/>
      <c r="O30" s="20"/>
      <c r="P30" s="20"/>
    </row>
    <row r="31" spans="1:16" ht="12" thickBot="1">
      <c r="A31" s="173">
        <v>30</v>
      </c>
      <c r="B31" s="174">
        <v>0</v>
      </c>
      <c r="C31" s="152">
        <v>1</v>
      </c>
      <c r="D31" s="167" t="s">
        <v>233</v>
      </c>
      <c r="E31" s="156">
        <v>0</v>
      </c>
      <c r="F31" s="7"/>
      <c r="G31" s="24"/>
      <c r="H31" s="24"/>
      <c r="I31" s="24"/>
      <c r="J31" s="20"/>
      <c r="K31" s="20"/>
      <c r="L31" s="20"/>
      <c r="M31" s="20"/>
      <c r="N31" s="20"/>
      <c r="O31" s="20"/>
      <c r="P31" s="20"/>
    </row>
    <row r="32" spans="1:16" ht="11.25">
      <c r="A32" s="173">
        <v>31</v>
      </c>
      <c r="B32" s="174">
        <v>0</v>
      </c>
      <c r="C32" s="152">
        <v>1</v>
      </c>
      <c r="D32" s="43"/>
      <c r="E32" s="20"/>
      <c r="F32" s="7"/>
      <c r="G32" s="24"/>
      <c r="H32" s="24"/>
      <c r="I32" s="24"/>
      <c r="J32" s="20"/>
      <c r="K32" s="20"/>
      <c r="L32" s="20"/>
      <c r="M32" s="20"/>
      <c r="N32" s="20"/>
      <c r="O32" s="20"/>
      <c r="P32" s="20"/>
    </row>
    <row r="33" spans="1:16" ht="11.25">
      <c r="A33" s="173">
        <v>32</v>
      </c>
      <c r="B33" s="174">
        <v>0</v>
      </c>
      <c r="C33" s="152">
        <v>1</v>
      </c>
      <c r="D33" s="20"/>
      <c r="E33" s="20"/>
      <c r="F33" s="24"/>
      <c r="G33" s="24"/>
      <c r="H33" s="24"/>
      <c r="I33" s="24"/>
      <c r="J33" s="20"/>
      <c r="K33" s="20"/>
      <c r="L33" s="20"/>
      <c r="M33" s="20"/>
      <c r="N33" s="20"/>
      <c r="O33" s="20"/>
      <c r="P33" s="20"/>
    </row>
    <row r="34" spans="1:16" ht="11.25">
      <c r="A34" s="173">
        <v>33</v>
      </c>
      <c r="B34" s="174">
        <v>0</v>
      </c>
      <c r="C34" s="152">
        <v>1</v>
      </c>
      <c r="D34" s="20"/>
      <c r="E34" s="20"/>
      <c r="F34" s="24"/>
      <c r="G34" s="24"/>
      <c r="H34" s="24"/>
      <c r="I34" s="24"/>
      <c r="J34" s="20"/>
      <c r="K34" s="20"/>
      <c r="L34" s="20"/>
      <c r="M34" s="20"/>
      <c r="N34" s="20"/>
      <c r="O34" s="20"/>
      <c r="P34" s="20"/>
    </row>
    <row r="35" spans="1:16" ht="11.25">
      <c r="A35" s="173">
        <v>34</v>
      </c>
      <c r="B35" s="174">
        <v>0</v>
      </c>
      <c r="C35" s="152">
        <v>1</v>
      </c>
      <c r="D35" s="20"/>
      <c r="E35" s="20"/>
      <c r="F35" s="24"/>
      <c r="G35" s="24"/>
      <c r="H35" s="24"/>
      <c r="I35" s="24"/>
      <c r="J35" s="20"/>
      <c r="K35" s="20"/>
      <c r="L35" s="20"/>
      <c r="M35" s="20"/>
      <c r="N35" s="20"/>
      <c r="O35" s="20"/>
      <c r="P35" s="20"/>
    </row>
    <row r="36" spans="1:16" ht="11.25">
      <c r="A36" s="173">
        <v>35</v>
      </c>
      <c r="B36" s="174">
        <v>0</v>
      </c>
      <c r="C36" s="152">
        <v>1</v>
      </c>
      <c r="D36" s="20"/>
      <c r="E36" s="20"/>
      <c r="F36" s="24"/>
      <c r="G36" s="24"/>
      <c r="H36" s="24"/>
      <c r="I36" s="24"/>
      <c r="J36" s="20"/>
      <c r="K36" s="20"/>
      <c r="L36" s="20"/>
      <c r="M36" s="20"/>
      <c r="N36" s="20"/>
      <c r="O36" s="20"/>
      <c r="P36" s="20"/>
    </row>
    <row r="37" spans="1:16" ht="11.25">
      <c r="A37" s="173">
        <v>36</v>
      </c>
      <c r="B37" s="174">
        <v>0</v>
      </c>
      <c r="C37" s="152">
        <v>1</v>
      </c>
      <c r="D37" s="20"/>
      <c r="E37" s="20"/>
      <c r="F37" s="24"/>
      <c r="G37" s="24"/>
      <c r="H37" s="24"/>
      <c r="I37" s="24"/>
      <c r="J37" s="20"/>
      <c r="K37" s="20"/>
      <c r="L37" s="20"/>
      <c r="M37" s="20"/>
      <c r="N37" s="20"/>
      <c r="O37" s="20"/>
      <c r="P37" s="20"/>
    </row>
    <row r="38" spans="1:16" ht="11.25">
      <c r="A38" s="173">
        <v>37</v>
      </c>
      <c r="B38" s="174">
        <v>0</v>
      </c>
      <c r="C38" s="152">
        <v>1</v>
      </c>
      <c r="D38" s="20"/>
      <c r="E38" s="20"/>
      <c r="F38" s="24"/>
      <c r="G38" s="24"/>
      <c r="H38" s="24"/>
      <c r="I38" s="24"/>
      <c r="J38" s="20"/>
      <c r="K38" s="20"/>
      <c r="L38" s="20"/>
      <c r="M38" s="20"/>
      <c r="N38" s="20"/>
      <c r="O38" s="20"/>
      <c r="P38" s="20"/>
    </row>
    <row r="39" spans="1:16" ht="12" thickBot="1">
      <c r="A39" s="173">
        <v>38</v>
      </c>
      <c r="B39" s="174">
        <v>0</v>
      </c>
      <c r="C39" s="152">
        <v>1</v>
      </c>
      <c r="D39" s="20"/>
      <c r="E39" s="178">
        <f>D41</f>
        <v>2018</v>
      </c>
      <c r="F39" s="178">
        <f>E39+1</f>
        <v>2019</v>
      </c>
      <c r="G39" s="178">
        <f aca="true" t="shared" si="0" ref="G39:N39">F39+1</f>
        <v>2020</v>
      </c>
      <c r="H39" s="178">
        <f t="shared" si="0"/>
        <v>2021</v>
      </c>
      <c r="I39" s="178">
        <f t="shared" si="0"/>
        <v>2022</v>
      </c>
      <c r="J39" s="178">
        <f t="shared" si="0"/>
        <v>2023</v>
      </c>
      <c r="K39" s="178">
        <f t="shared" si="0"/>
        <v>2024</v>
      </c>
      <c r="L39" s="178">
        <f t="shared" si="0"/>
        <v>2025</v>
      </c>
      <c r="M39" s="178">
        <f t="shared" si="0"/>
        <v>2026</v>
      </c>
      <c r="N39" s="178">
        <f t="shared" si="0"/>
        <v>2027</v>
      </c>
      <c r="O39" s="20"/>
      <c r="P39" s="20"/>
    </row>
    <row r="40" spans="1:16" ht="11.25">
      <c r="A40" s="173">
        <v>39</v>
      </c>
      <c r="B40" s="174">
        <v>0</v>
      </c>
      <c r="C40" s="152">
        <v>1</v>
      </c>
      <c r="D40" s="168" t="s">
        <v>234</v>
      </c>
      <c r="E40" s="157"/>
      <c r="F40" s="179"/>
      <c r="G40" s="180"/>
      <c r="H40" s="180"/>
      <c r="I40" s="180"/>
      <c r="J40" s="181"/>
      <c r="K40" s="181"/>
      <c r="L40" s="181"/>
      <c r="M40" s="181"/>
      <c r="N40" s="157"/>
      <c r="O40" s="20"/>
      <c r="P40" s="20"/>
    </row>
    <row r="41" spans="1:16" ht="11.25">
      <c r="A41" s="173">
        <v>40</v>
      </c>
      <c r="B41" s="174">
        <v>0</v>
      </c>
      <c r="C41" s="152">
        <v>1</v>
      </c>
      <c r="D41" s="169">
        <v>2018</v>
      </c>
      <c r="E41" s="192">
        <v>0</v>
      </c>
      <c r="F41" s="193">
        <f>E41</f>
        <v>0</v>
      </c>
      <c r="G41" s="194">
        <f>F41</f>
        <v>0</v>
      </c>
      <c r="H41" s="194">
        <f aca="true" t="shared" si="1" ref="H41:M41">G41</f>
        <v>0</v>
      </c>
      <c r="I41" s="194">
        <f t="shared" si="1"/>
        <v>0</v>
      </c>
      <c r="J41" s="194">
        <f t="shared" si="1"/>
        <v>0</v>
      </c>
      <c r="K41" s="194">
        <f t="shared" si="1"/>
        <v>0</v>
      </c>
      <c r="L41" s="194">
        <f t="shared" si="1"/>
        <v>0</v>
      </c>
      <c r="M41" s="194">
        <f t="shared" si="1"/>
        <v>0</v>
      </c>
      <c r="N41" s="195">
        <f aca="true" t="shared" si="2" ref="N41:N50">M41</f>
        <v>0</v>
      </c>
      <c r="O41" s="20"/>
      <c r="P41" s="20"/>
    </row>
    <row r="42" spans="1:16" ht="11.25">
      <c r="A42" s="173">
        <v>41</v>
      </c>
      <c r="B42" s="174">
        <v>0</v>
      </c>
      <c r="C42" s="152">
        <v>1</v>
      </c>
      <c r="D42" s="169">
        <f>D41+1</f>
        <v>2019</v>
      </c>
      <c r="E42" s="192">
        <v>0</v>
      </c>
      <c r="F42" s="193">
        <f>E42</f>
        <v>0</v>
      </c>
      <c r="G42" s="194">
        <f aca="true" t="shared" si="3" ref="G42:M50">F42</f>
        <v>0</v>
      </c>
      <c r="H42" s="194">
        <f t="shared" si="3"/>
        <v>0</v>
      </c>
      <c r="I42" s="194">
        <f t="shared" si="3"/>
        <v>0</v>
      </c>
      <c r="J42" s="194">
        <f t="shared" si="3"/>
        <v>0</v>
      </c>
      <c r="K42" s="194">
        <f t="shared" si="3"/>
        <v>0</v>
      </c>
      <c r="L42" s="194">
        <f t="shared" si="3"/>
        <v>0</v>
      </c>
      <c r="M42" s="194">
        <f t="shared" si="3"/>
        <v>0</v>
      </c>
      <c r="N42" s="195">
        <f t="shared" si="2"/>
        <v>0</v>
      </c>
      <c r="O42" s="20"/>
      <c r="P42" s="20"/>
    </row>
    <row r="43" spans="1:16" ht="11.25">
      <c r="A43" s="173">
        <v>42</v>
      </c>
      <c r="B43" s="174">
        <v>0</v>
      </c>
      <c r="C43" s="152">
        <v>1</v>
      </c>
      <c r="D43" s="169">
        <f aca="true" t="shared" si="4" ref="D43:D49">D42+1</f>
        <v>2020</v>
      </c>
      <c r="E43" s="192">
        <v>0</v>
      </c>
      <c r="F43" s="193">
        <f aca="true" t="shared" si="5" ref="F43:F50">E43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 t="shared" si="3"/>
        <v>0</v>
      </c>
      <c r="M43" s="194">
        <f t="shared" si="3"/>
        <v>0</v>
      </c>
      <c r="N43" s="195">
        <f t="shared" si="2"/>
        <v>0</v>
      </c>
      <c r="O43" s="20"/>
      <c r="P43" s="20"/>
    </row>
    <row r="44" spans="1:16" ht="11.25">
      <c r="A44" s="173">
        <v>43</v>
      </c>
      <c r="B44" s="174">
        <v>0</v>
      </c>
      <c r="C44" s="152">
        <v>1</v>
      </c>
      <c r="D44" s="169">
        <f t="shared" si="4"/>
        <v>2021</v>
      </c>
      <c r="E44" s="192">
        <v>0</v>
      </c>
      <c r="F44" s="193">
        <f t="shared" si="5"/>
        <v>0</v>
      </c>
      <c r="G44" s="194">
        <f t="shared" si="3"/>
        <v>0</v>
      </c>
      <c r="H44" s="194">
        <f t="shared" si="3"/>
        <v>0</v>
      </c>
      <c r="I44" s="194">
        <f t="shared" si="3"/>
        <v>0</v>
      </c>
      <c r="J44" s="194">
        <f t="shared" si="3"/>
        <v>0</v>
      </c>
      <c r="K44" s="194">
        <f t="shared" si="3"/>
        <v>0</v>
      </c>
      <c r="L44" s="194">
        <f t="shared" si="3"/>
        <v>0</v>
      </c>
      <c r="M44" s="194">
        <f t="shared" si="3"/>
        <v>0</v>
      </c>
      <c r="N44" s="195">
        <f t="shared" si="2"/>
        <v>0</v>
      </c>
      <c r="O44" s="20"/>
      <c r="P44" s="20"/>
    </row>
    <row r="45" spans="1:16" ht="11.25">
      <c r="A45" s="173">
        <v>44</v>
      </c>
      <c r="B45" s="174">
        <v>0</v>
      </c>
      <c r="C45" s="152">
        <v>1</v>
      </c>
      <c r="D45" s="169">
        <f t="shared" si="4"/>
        <v>2022</v>
      </c>
      <c r="E45" s="192">
        <v>0</v>
      </c>
      <c r="F45" s="193">
        <f t="shared" si="5"/>
        <v>0</v>
      </c>
      <c r="G45" s="194">
        <f t="shared" si="3"/>
        <v>0</v>
      </c>
      <c r="H45" s="194">
        <f t="shared" si="3"/>
        <v>0</v>
      </c>
      <c r="I45" s="194">
        <f t="shared" si="3"/>
        <v>0</v>
      </c>
      <c r="J45" s="194">
        <f t="shared" si="3"/>
        <v>0</v>
      </c>
      <c r="K45" s="194">
        <f t="shared" si="3"/>
        <v>0</v>
      </c>
      <c r="L45" s="194">
        <f t="shared" si="3"/>
        <v>0</v>
      </c>
      <c r="M45" s="194">
        <f t="shared" si="3"/>
        <v>0</v>
      </c>
      <c r="N45" s="195">
        <f t="shared" si="2"/>
        <v>0</v>
      </c>
      <c r="O45" s="20"/>
      <c r="P45" s="20"/>
    </row>
    <row r="46" spans="1:16" ht="11.25">
      <c r="A46" s="173">
        <v>45</v>
      </c>
      <c r="B46" s="174">
        <v>0</v>
      </c>
      <c r="C46" s="152">
        <v>1</v>
      </c>
      <c r="D46" s="169">
        <f t="shared" si="4"/>
        <v>2023</v>
      </c>
      <c r="E46" s="192"/>
      <c r="F46" s="193">
        <f t="shared" si="5"/>
        <v>0</v>
      </c>
      <c r="G46" s="194">
        <f t="shared" si="3"/>
        <v>0</v>
      </c>
      <c r="H46" s="194">
        <f t="shared" si="3"/>
        <v>0</v>
      </c>
      <c r="I46" s="194">
        <f t="shared" si="3"/>
        <v>0</v>
      </c>
      <c r="J46" s="194">
        <f t="shared" si="3"/>
        <v>0</v>
      </c>
      <c r="K46" s="194">
        <f t="shared" si="3"/>
        <v>0</v>
      </c>
      <c r="L46" s="194">
        <f t="shared" si="3"/>
        <v>0</v>
      </c>
      <c r="M46" s="194">
        <f t="shared" si="3"/>
        <v>0</v>
      </c>
      <c r="N46" s="195">
        <f t="shared" si="2"/>
        <v>0</v>
      </c>
      <c r="O46" s="20"/>
      <c r="P46" s="20"/>
    </row>
    <row r="47" spans="1:16" ht="11.25">
      <c r="A47" s="173">
        <v>46</v>
      </c>
      <c r="B47" s="174">
        <v>0</v>
      </c>
      <c r="C47" s="152">
        <v>1</v>
      </c>
      <c r="D47" s="169">
        <f t="shared" si="4"/>
        <v>2024</v>
      </c>
      <c r="E47" s="192"/>
      <c r="F47" s="193">
        <f t="shared" si="5"/>
        <v>0</v>
      </c>
      <c r="G47" s="194">
        <f t="shared" si="3"/>
        <v>0</v>
      </c>
      <c r="H47" s="194">
        <f t="shared" si="3"/>
        <v>0</v>
      </c>
      <c r="I47" s="194">
        <f t="shared" si="3"/>
        <v>0</v>
      </c>
      <c r="J47" s="194">
        <f t="shared" si="3"/>
        <v>0</v>
      </c>
      <c r="K47" s="194">
        <f t="shared" si="3"/>
        <v>0</v>
      </c>
      <c r="L47" s="194">
        <f t="shared" si="3"/>
        <v>0</v>
      </c>
      <c r="M47" s="194">
        <f t="shared" si="3"/>
        <v>0</v>
      </c>
      <c r="N47" s="195">
        <f t="shared" si="2"/>
        <v>0</v>
      </c>
      <c r="O47" s="20"/>
      <c r="P47" s="20"/>
    </row>
    <row r="48" spans="1:16" ht="11.25">
      <c r="A48" s="173">
        <v>47</v>
      </c>
      <c r="B48" s="174">
        <v>0</v>
      </c>
      <c r="C48" s="152">
        <v>1</v>
      </c>
      <c r="D48" s="169">
        <f t="shared" si="4"/>
        <v>2025</v>
      </c>
      <c r="E48" s="192"/>
      <c r="F48" s="193">
        <f t="shared" si="5"/>
        <v>0</v>
      </c>
      <c r="G48" s="194">
        <f t="shared" si="3"/>
        <v>0</v>
      </c>
      <c r="H48" s="194">
        <f t="shared" si="3"/>
        <v>0</v>
      </c>
      <c r="I48" s="194">
        <f t="shared" si="3"/>
        <v>0</v>
      </c>
      <c r="J48" s="194">
        <f t="shared" si="3"/>
        <v>0</v>
      </c>
      <c r="K48" s="194">
        <f t="shared" si="3"/>
        <v>0</v>
      </c>
      <c r="L48" s="194">
        <f t="shared" si="3"/>
        <v>0</v>
      </c>
      <c r="M48" s="194">
        <f t="shared" si="3"/>
        <v>0</v>
      </c>
      <c r="N48" s="195">
        <f t="shared" si="2"/>
        <v>0</v>
      </c>
      <c r="O48" s="20"/>
      <c r="P48" s="20"/>
    </row>
    <row r="49" spans="1:16" ht="11.25">
      <c r="A49" s="173">
        <v>48</v>
      </c>
      <c r="B49" s="174">
        <v>0</v>
      </c>
      <c r="C49" s="152">
        <v>1</v>
      </c>
      <c r="D49" s="169">
        <f t="shared" si="4"/>
        <v>2026</v>
      </c>
      <c r="E49" s="192"/>
      <c r="F49" s="193">
        <f t="shared" si="5"/>
        <v>0</v>
      </c>
      <c r="G49" s="194">
        <f t="shared" si="3"/>
        <v>0</v>
      </c>
      <c r="H49" s="194">
        <f t="shared" si="3"/>
        <v>0</v>
      </c>
      <c r="I49" s="194">
        <f t="shared" si="3"/>
        <v>0</v>
      </c>
      <c r="J49" s="194">
        <f t="shared" si="3"/>
        <v>0</v>
      </c>
      <c r="K49" s="194">
        <f t="shared" si="3"/>
        <v>0</v>
      </c>
      <c r="L49" s="194">
        <f t="shared" si="3"/>
        <v>0</v>
      </c>
      <c r="M49" s="194">
        <f t="shared" si="3"/>
        <v>0</v>
      </c>
      <c r="N49" s="195">
        <f t="shared" si="2"/>
        <v>0</v>
      </c>
      <c r="O49" s="20"/>
      <c r="P49" s="20"/>
    </row>
    <row r="50" spans="1:16" ht="12" thickBot="1">
      <c r="A50" s="173">
        <v>49</v>
      </c>
      <c r="B50" s="174">
        <v>0</v>
      </c>
      <c r="C50" s="152">
        <v>1</v>
      </c>
      <c r="D50" s="170">
        <f>D49+1</f>
        <v>2027</v>
      </c>
      <c r="E50" s="196"/>
      <c r="F50" s="197">
        <f t="shared" si="5"/>
        <v>0</v>
      </c>
      <c r="G50" s="198">
        <f t="shared" si="3"/>
        <v>0</v>
      </c>
      <c r="H50" s="198">
        <f t="shared" si="3"/>
        <v>0</v>
      </c>
      <c r="I50" s="198">
        <f t="shared" si="3"/>
        <v>0</v>
      </c>
      <c r="J50" s="198">
        <f t="shared" si="3"/>
        <v>0</v>
      </c>
      <c r="K50" s="198">
        <f t="shared" si="3"/>
        <v>0</v>
      </c>
      <c r="L50" s="198">
        <f t="shared" si="3"/>
        <v>0</v>
      </c>
      <c r="M50" s="198">
        <f t="shared" si="3"/>
        <v>0</v>
      </c>
      <c r="N50" s="199">
        <f t="shared" si="2"/>
        <v>0</v>
      </c>
      <c r="O50" s="20"/>
      <c r="P50" s="20"/>
    </row>
    <row r="51" spans="1:16" ht="11.25">
      <c r="A51" s="173">
        <v>50</v>
      </c>
      <c r="B51" s="174">
        <v>0</v>
      </c>
      <c r="C51" s="152">
        <v>1</v>
      </c>
      <c r="D51" s="20"/>
      <c r="E51" s="20"/>
      <c r="F51" s="24"/>
      <c r="G51" s="24"/>
      <c r="H51" s="24"/>
      <c r="I51" s="24"/>
      <c r="J51" s="20"/>
      <c r="K51" s="20"/>
      <c r="L51" s="20"/>
      <c r="M51" s="20"/>
      <c r="N51" s="20"/>
      <c r="O51" s="20"/>
      <c r="P51" s="20"/>
    </row>
    <row r="52" spans="1:16" ht="11.25">
      <c r="A52" s="173">
        <v>51</v>
      </c>
      <c r="B52" s="174">
        <v>0</v>
      </c>
      <c r="C52" s="152">
        <v>1</v>
      </c>
      <c r="D52" s="20"/>
      <c r="E52" s="20"/>
      <c r="F52" s="24"/>
      <c r="G52" s="24"/>
      <c r="H52" s="24"/>
      <c r="I52" s="24"/>
      <c r="J52" s="20"/>
      <c r="K52" s="20"/>
      <c r="L52" s="20"/>
      <c r="M52" s="20"/>
      <c r="N52" s="20"/>
      <c r="O52" s="20"/>
      <c r="P52" s="20"/>
    </row>
    <row r="53" spans="1:16" ht="11.25">
      <c r="A53" s="173">
        <v>52</v>
      </c>
      <c r="B53" s="174">
        <v>0</v>
      </c>
      <c r="C53" s="152">
        <v>1</v>
      </c>
      <c r="D53" s="20"/>
      <c r="E53" s="20"/>
      <c r="F53" s="24"/>
      <c r="G53" s="24"/>
      <c r="H53" s="24"/>
      <c r="I53" s="24"/>
      <c r="J53" s="20"/>
      <c r="K53" s="20"/>
      <c r="L53" s="20"/>
      <c r="M53" s="20"/>
      <c r="N53" s="20"/>
      <c r="O53" s="20"/>
      <c r="P53" s="20"/>
    </row>
    <row r="54" spans="1:5" ht="11.25">
      <c r="A54" s="173">
        <v>53</v>
      </c>
      <c r="B54" s="174">
        <v>0</v>
      </c>
      <c r="C54" s="152">
        <v>1</v>
      </c>
      <c r="D54" s="20"/>
      <c r="E54" s="20"/>
    </row>
    <row r="55" spans="1:5" ht="11.25">
      <c r="A55" s="173">
        <v>54</v>
      </c>
      <c r="B55" s="174">
        <v>0</v>
      </c>
      <c r="C55" s="152">
        <v>1</v>
      </c>
      <c r="D55" s="20"/>
      <c r="E55" s="20"/>
    </row>
    <row r="56" spans="1:5" ht="11.25">
      <c r="A56" s="173">
        <v>55</v>
      </c>
      <c r="B56" s="174">
        <v>0</v>
      </c>
      <c r="C56" s="152">
        <v>1</v>
      </c>
      <c r="D56" s="20"/>
      <c r="E56" s="20"/>
    </row>
    <row r="57" spans="1:5" ht="11.25">
      <c r="A57" s="173">
        <v>56</v>
      </c>
      <c r="B57" s="174">
        <v>0</v>
      </c>
      <c r="C57" s="152">
        <v>1</v>
      </c>
      <c r="D57" s="20"/>
      <c r="E57" s="20"/>
    </row>
    <row r="58" spans="1:5" ht="12" thickBot="1">
      <c r="A58" s="175">
        <v>57</v>
      </c>
      <c r="B58" s="176">
        <v>0</v>
      </c>
      <c r="C58" s="177">
        <v>1</v>
      </c>
      <c r="D58" s="20"/>
      <c r="E58" s="20"/>
    </row>
    <row r="59" spans="4:5" ht="11.25">
      <c r="D59" s="20"/>
      <c r="E59" s="20"/>
    </row>
    <row r="60" ht="11.25">
      <c r="E60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9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0.66015625" defaultRowHeight="11.25"/>
  <cols>
    <col min="1" max="1" width="12.33203125" style="67" bestFit="1" customWidth="1"/>
    <col min="2" max="4" width="10.66015625" style="67" customWidth="1"/>
    <col min="5" max="5" width="10.83203125" style="67" bestFit="1" customWidth="1"/>
    <col min="6" max="6" width="10.83203125" style="67" customWidth="1"/>
    <col min="7" max="8" width="10.66015625" style="67" customWidth="1"/>
    <col min="9" max="9" width="12.66015625" style="67" customWidth="1"/>
    <col min="10" max="16384" width="10.66015625" style="67" customWidth="1"/>
  </cols>
  <sheetData>
    <row r="1" spans="2:5" ht="11.25">
      <c r="B1" s="117">
        <v>35064</v>
      </c>
      <c r="C1" s="117">
        <v>38353</v>
      </c>
      <c r="D1" s="117">
        <v>39850</v>
      </c>
      <c r="E1" s="117">
        <v>43070</v>
      </c>
    </row>
    <row r="2" spans="1:11" ht="11.25">
      <c r="A2" s="116" t="s">
        <v>95</v>
      </c>
      <c r="B2" s="116" t="s">
        <v>96</v>
      </c>
      <c r="C2" s="116" t="s">
        <v>96</v>
      </c>
      <c r="D2" s="116" t="s">
        <v>96</v>
      </c>
      <c r="E2" s="116" t="s">
        <v>96</v>
      </c>
      <c r="H2" s="68"/>
      <c r="K2" s="68"/>
    </row>
    <row r="3" spans="1:12" ht="11.25">
      <c r="A3" s="68" t="s">
        <v>97</v>
      </c>
      <c r="B3" s="69">
        <v>0.029</v>
      </c>
      <c r="C3" s="69">
        <v>0.029</v>
      </c>
      <c r="D3" s="40">
        <v>0.006</v>
      </c>
      <c r="E3" s="69">
        <v>0.0004</v>
      </c>
      <c r="F3" s="70"/>
      <c r="I3" s="70"/>
      <c r="L3" s="70"/>
    </row>
    <row r="4" spans="1:12" ht="11.25">
      <c r="A4" s="68" t="s">
        <v>98</v>
      </c>
      <c r="B4" s="69">
        <v>0.0288</v>
      </c>
      <c r="C4" s="69">
        <v>0.0288</v>
      </c>
      <c r="D4" s="40">
        <v>0.0298</v>
      </c>
      <c r="E4" s="69">
        <v>0.028</v>
      </c>
      <c r="F4" s="70"/>
      <c r="I4" s="70"/>
      <c r="L4" s="70"/>
    </row>
    <row r="5" spans="1:12" ht="11.25">
      <c r="A5" s="68" t="s">
        <v>99</v>
      </c>
      <c r="B5" s="69">
        <v>0.0288</v>
      </c>
      <c r="C5" s="69">
        <v>0.0288</v>
      </c>
      <c r="D5" s="40">
        <v>0.0112</v>
      </c>
      <c r="E5" s="69">
        <v>0.0238</v>
      </c>
      <c r="F5" s="70"/>
      <c r="I5" s="70"/>
      <c r="L5" s="70"/>
    </row>
    <row r="6" spans="1:12" ht="11.25">
      <c r="A6" s="68" t="s">
        <v>100</v>
      </c>
      <c r="B6" s="69">
        <v>0.0288</v>
      </c>
      <c r="C6" s="69">
        <v>0.0288</v>
      </c>
      <c r="D6" s="40">
        <v>0.021</v>
      </c>
      <c r="E6" s="69">
        <v>0.0118</v>
      </c>
      <c r="F6" s="70"/>
      <c r="I6" s="70"/>
      <c r="L6" s="70"/>
    </row>
    <row r="7" spans="1:12" ht="11.25">
      <c r="A7" s="68" t="s">
        <v>101</v>
      </c>
      <c r="B7" s="69">
        <v>0.0288</v>
      </c>
      <c r="C7" s="69">
        <v>0.0288</v>
      </c>
      <c r="D7" s="40">
        <v>0.0226</v>
      </c>
      <c r="E7" s="69">
        <v>0.0142</v>
      </c>
      <c r="F7" s="70"/>
      <c r="I7" s="70"/>
      <c r="L7" s="70"/>
    </row>
    <row r="8" spans="1:12" ht="11.25">
      <c r="A8" s="68" t="s">
        <v>102</v>
      </c>
      <c r="B8" s="69">
        <v>0.0288</v>
      </c>
      <c r="C8" s="69">
        <v>0.0288</v>
      </c>
      <c r="D8" s="40">
        <v>0.0008</v>
      </c>
      <c r="E8" s="69">
        <v>0.0059</v>
      </c>
      <c r="F8" s="70"/>
      <c r="I8" s="70"/>
      <c r="L8" s="70"/>
    </row>
    <row r="9" spans="1:12" ht="11.25">
      <c r="A9" s="68" t="s">
        <v>103</v>
      </c>
      <c r="B9" s="69">
        <v>0.0288</v>
      </c>
      <c r="C9" s="69">
        <v>0.0288</v>
      </c>
      <c r="D9" s="40">
        <v>0.0301</v>
      </c>
      <c r="E9" s="69">
        <v>0.0264</v>
      </c>
      <c r="F9" s="70"/>
      <c r="I9" s="70"/>
      <c r="L9" s="70"/>
    </row>
    <row r="10" spans="1:12" ht="11.25">
      <c r="A10" s="68" t="s">
        <v>104</v>
      </c>
      <c r="B10" s="69">
        <v>0.0288</v>
      </c>
      <c r="C10" s="69">
        <v>0.0288</v>
      </c>
      <c r="D10" s="40">
        <v>0.0291</v>
      </c>
      <c r="E10" s="69">
        <v>0.0153</v>
      </c>
      <c r="F10" s="70"/>
      <c r="I10" s="70"/>
      <c r="L10" s="70"/>
    </row>
    <row r="11" spans="1:12" ht="11.25">
      <c r="A11" s="68" t="s">
        <v>105</v>
      </c>
      <c r="B11" s="69">
        <v>0.0288</v>
      </c>
      <c r="C11" s="69">
        <v>0.0288</v>
      </c>
      <c r="D11" s="40">
        <v>0.0048</v>
      </c>
      <c r="E11" s="69">
        <v>0.0189</v>
      </c>
      <c r="F11" s="70"/>
      <c r="I11" s="70"/>
      <c r="L11" s="70"/>
    </row>
    <row r="12" spans="1:12" ht="11.25">
      <c r="A12" s="68" t="s">
        <v>106</v>
      </c>
      <c r="B12" s="69">
        <v>0.0288</v>
      </c>
      <c r="C12" s="69">
        <v>0.0288</v>
      </c>
      <c r="D12" s="40">
        <v>0.0071</v>
      </c>
      <c r="E12" s="69">
        <v>0.0005</v>
      </c>
      <c r="F12" s="70"/>
      <c r="I12" s="70"/>
      <c r="L12" s="70"/>
    </row>
    <row r="13" spans="1:12" ht="11.25">
      <c r="A13" s="68" t="s">
        <v>210</v>
      </c>
      <c r="B13" s="69"/>
      <c r="C13" s="69"/>
      <c r="D13" s="40"/>
      <c r="E13" s="69">
        <v>0</v>
      </c>
      <c r="F13" s="70" t="s">
        <v>207</v>
      </c>
      <c r="I13" s="70"/>
      <c r="L13" s="70"/>
    </row>
    <row r="14" spans="1:12" ht="11.25">
      <c r="A14" s="68" t="s">
        <v>107</v>
      </c>
      <c r="B14" s="69">
        <v>0.0391</v>
      </c>
      <c r="C14" s="69">
        <v>0.0391</v>
      </c>
      <c r="D14" s="40">
        <v>0.0054</v>
      </c>
      <c r="E14" s="148">
        <v>0.018</v>
      </c>
      <c r="F14" s="70"/>
      <c r="I14" s="70"/>
      <c r="L14" s="70"/>
    </row>
    <row r="15" spans="1:12" ht="11.25">
      <c r="A15" s="68" t="s">
        <v>108</v>
      </c>
      <c r="B15" s="69">
        <v>0.0391</v>
      </c>
      <c r="C15" s="69">
        <v>0.0391</v>
      </c>
      <c r="D15" s="40">
        <v>0.028</v>
      </c>
      <c r="E15" s="148">
        <v>0.0265</v>
      </c>
      <c r="F15" s="70"/>
      <c r="I15" s="70"/>
      <c r="L15" s="70"/>
    </row>
    <row r="16" spans="1:12" ht="11.25">
      <c r="A16" s="68" t="s">
        <v>109</v>
      </c>
      <c r="B16" s="69">
        <v>0.0391</v>
      </c>
      <c r="C16" s="69">
        <v>0.0391</v>
      </c>
      <c r="D16" s="40">
        <v>0.0317</v>
      </c>
      <c r="E16" s="69">
        <v>0.0153</v>
      </c>
      <c r="F16" s="70"/>
      <c r="I16" s="70"/>
      <c r="L16" s="70"/>
    </row>
    <row r="17" spans="1:12" ht="11.25">
      <c r="A17" s="68" t="s">
        <v>110</v>
      </c>
      <c r="B17" s="69">
        <v>0.0391</v>
      </c>
      <c r="C17" s="69">
        <v>0.0391</v>
      </c>
      <c r="D17" s="40">
        <v>0.0054</v>
      </c>
      <c r="E17" s="148">
        <v>0.0134</v>
      </c>
      <c r="F17" s="70"/>
      <c r="L17" s="70"/>
    </row>
    <row r="18" spans="1:5" ht="11.25">
      <c r="A18" s="68" t="s">
        <v>111</v>
      </c>
      <c r="B18" s="69">
        <v>0.0391</v>
      </c>
      <c r="C18" s="69">
        <v>0.0391</v>
      </c>
      <c r="D18" s="40">
        <v>0.0233</v>
      </c>
      <c r="E18" s="69">
        <v>0.0208</v>
      </c>
    </row>
    <row r="19" spans="1:9" ht="11.25">
      <c r="A19" s="68" t="s">
        <v>112</v>
      </c>
      <c r="B19" s="69">
        <v>0.0391</v>
      </c>
      <c r="C19" s="69">
        <v>0.0391</v>
      </c>
      <c r="D19" s="40">
        <v>0.0265</v>
      </c>
      <c r="E19" s="69">
        <v>0.0428</v>
      </c>
      <c r="I19" s="71"/>
    </row>
    <row r="20" spans="1:9" ht="11.25">
      <c r="A20" s="68" t="s">
        <v>113</v>
      </c>
      <c r="B20" s="69">
        <v>0.0391</v>
      </c>
      <c r="C20" s="69">
        <v>0.0391</v>
      </c>
      <c r="D20" s="40">
        <v>0.0387</v>
      </c>
      <c r="E20" s="69">
        <v>0.0427</v>
      </c>
      <c r="I20" s="71"/>
    </row>
    <row r="21" spans="1:5" ht="11.25">
      <c r="A21" s="68" t="s">
        <v>114</v>
      </c>
      <c r="B21" s="69">
        <v>0.0391</v>
      </c>
      <c r="C21" s="69">
        <v>0.0391</v>
      </c>
      <c r="D21" s="40">
        <v>0</v>
      </c>
      <c r="E21" s="69">
        <v>0</v>
      </c>
    </row>
    <row r="22" spans="1:9" ht="11.25">
      <c r="A22" s="68" t="s">
        <v>115</v>
      </c>
      <c r="B22" s="69">
        <v>0.0391</v>
      </c>
      <c r="C22" s="69">
        <v>0.0391</v>
      </c>
      <c r="D22" s="40">
        <v>0.027</v>
      </c>
      <c r="E22" s="69">
        <v>0.0425</v>
      </c>
      <c r="I22" s="71"/>
    </row>
    <row r="23" spans="1:5" ht="11.25">
      <c r="A23" s="68" t="s">
        <v>121</v>
      </c>
      <c r="B23" s="69">
        <v>0.0312</v>
      </c>
      <c r="C23" s="69">
        <v>0.0312</v>
      </c>
      <c r="D23" s="40">
        <v>0.0039</v>
      </c>
      <c r="E23" s="69">
        <v>0.0028</v>
      </c>
    </row>
    <row r="24" spans="1:5" ht="11.25">
      <c r="A24" s="68" t="s">
        <v>122</v>
      </c>
      <c r="B24" s="69">
        <v>0.0312</v>
      </c>
      <c r="C24" s="69">
        <v>0.0312</v>
      </c>
      <c r="D24" s="40">
        <v>0.0384</v>
      </c>
      <c r="E24" s="148">
        <v>0.0293</v>
      </c>
    </row>
    <row r="25" spans="1:5" ht="11.25">
      <c r="A25" s="68" t="s">
        <v>123</v>
      </c>
      <c r="B25" s="69">
        <v>0.0312</v>
      </c>
      <c r="C25" s="69">
        <v>0.0312</v>
      </c>
      <c r="D25" s="40">
        <v>0.0223</v>
      </c>
      <c r="E25" s="69">
        <v>0.0231</v>
      </c>
    </row>
    <row r="26" spans="1:5" ht="11.25">
      <c r="A26" s="68" t="s">
        <v>124</v>
      </c>
      <c r="B26" s="69">
        <v>0.0312</v>
      </c>
      <c r="C26" s="69">
        <v>0.0312</v>
      </c>
      <c r="D26" s="40">
        <v>0.0055</v>
      </c>
      <c r="E26" s="148">
        <v>0.006</v>
      </c>
    </row>
    <row r="27" spans="1:5" ht="11.25">
      <c r="A27" s="68" t="s">
        <v>125</v>
      </c>
      <c r="B27" s="69">
        <v>0.0312</v>
      </c>
      <c r="C27" s="69">
        <v>0.0312</v>
      </c>
      <c r="D27" s="40">
        <v>0.0138</v>
      </c>
      <c r="E27" s="69">
        <v>0.0069</v>
      </c>
    </row>
    <row r="28" spans="1:5" ht="11.25">
      <c r="A28" s="68" t="s">
        <v>126</v>
      </c>
      <c r="B28" s="69">
        <v>0.0312</v>
      </c>
      <c r="C28" s="69">
        <v>0.0312</v>
      </c>
      <c r="D28" s="40">
        <v>0.0265</v>
      </c>
      <c r="E28" s="69">
        <v>0.0103</v>
      </c>
    </row>
    <row r="29" spans="1:5" ht="11.25">
      <c r="A29" s="68" t="s">
        <v>127</v>
      </c>
      <c r="B29" s="69">
        <v>0.0312</v>
      </c>
      <c r="C29" s="69">
        <v>0.0312</v>
      </c>
      <c r="D29" s="40">
        <v>0.0387</v>
      </c>
      <c r="E29" s="69">
        <v>0.037</v>
      </c>
    </row>
    <row r="30" spans="1:5" ht="11.25">
      <c r="A30" s="68" t="s">
        <v>128</v>
      </c>
      <c r="B30" s="69">
        <v>0.0312</v>
      </c>
      <c r="C30" s="69">
        <v>0.0312</v>
      </c>
      <c r="D30" s="40">
        <v>0</v>
      </c>
      <c r="E30" s="69">
        <v>0</v>
      </c>
    </row>
    <row r="31" spans="1:5" ht="11.25">
      <c r="A31" s="68" t="s">
        <v>129</v>
      </c>
      <c r="B31" s="69">
        <v>0.0312</v>
      </c>
      <c r="C31" s="69">
        <v>0.0312</v>
      </c>
      <c r="D31" s="40">
        <v>0.027</v>
      </c>
      <c r="E31" s="69">
        <v>0.0358</v>
      </c>
    </row>
    <row r="32" spans="1:5" ht="11.25">
      <c r="A32" s="68" t="s">
        <v>130</v>
      </c>
      <c r="B32" s="69">
        <v>0.0312</v>
      </c>
      <c r="C32" s="69">
        <v>0.0312</v>
      </c>
      <c r="D32" s="40">
        <v>0.0287</v>
      </c>
      <c r="E32" s="69">
        <v>0.0113</v>
      </c>
    </row>
    <row r="33" spans="1:5" ht="11.25">
      <c r="A33" s="68" t="s">
        <v>131</v>
      </c>
      <c r="B33" s="69">
        <v>0.0184</v>
      </c>
      <c r="C33" s="69">
        <v>0.0184</v>
      </c>
      <c r="D33" s="40">
        <v>0.005</v>
      </c>
      <c r="E33" s="69">
        <v>0.0078</v>
      </c>
    </row>
    <row r="34" spans="1:5" ht="11.25">
      <c r="A34" s="68" t="s">
        <v>132</v>
      </c>
      <c r="B34" s="69">
        <v>0.0184</v>
      </c>
      <c r="C34" s="69">
        <v>0.0184</v>
      </c>
      <c r="D34" s="40">
        <v>0.0233</v>
      </c>
      <c r="E34" s="148">
        <v>0.0165</v>
      </c>
    </row>
    <row r="35" spans="1:5" ht="11.25">
      <c r="A35" s="68" t="s">
        <v>133</v>
      </c>
      <c r="B35" s="69">
        <v>0.0184</v>
      </c>
      <c r="C35" s="69">
        <v>0.0184</v>
      </c>
      <c r="D35" s="40">
        <v>0.0208</v>
      </c>
      <c r="E35" s="69">
        <v>0.0187</v>
      </c>
    </row>
    <row r="36" spans="1:5" ht="11.25">
      <c r="A36" s="68" t="s">
        <v>134</v>
      </c>
      <c r="B36" s="69">
        <v>0.0184</v>
      </c>
      <c r="C36" s="69">
        <v>0.0184</v>
      </c>
      <c r="D36" s="40">
        <v>0.006</v>
      </c>
      <c r="E36" s="148">
        <v>0.0149</v>
      </c>
    </row>
    <row r="37" spans="1:5" ht="11.25">
      <c r="A37" s="68" t="s">
        <v>135</v>
      </c>
      <c r="B37" s="69">
        <v>0.0184</v>
      </c>
      <c r="C37" s="69">
        <v>0.0184</v>
      </c>
      <c r="D37" s="40">
        <v>0.0107</v>
      </c>
      <c r="E37" s="69">
        <v>0.0058</v>
      </c>
    </row>
    <row r="38" spans="1:5" ht="11.25">
      <c r="A38" s="68" t="s">
        <v>136</v>
      </c>
      <c r="B38" s="69">
        <v>0.0184</v>
      </c>
      <c r="C38" s="69">
        <v>0.0184</v>
      </c>
      <c r="D38" s="40">
        <v>0.0265</v>
      </c>
      <c r="E38" s="69">
        <v>0.0106</v>
      </c>
    </row>
    <row r="39" spans="1:5" ht="11.25">
      <c r="A39" s="68" t="s">
        <v>137</v>
      </c>
      <c r="B39" s="69">
        <v>0.0184</v>
      </c>
      <c r="C39" s="69">
        <v>0.0184</v>
      </c>
      <c r="D39" s="40">
        <v>0.0387</v>
      </c>
      <c r="E39" s="148">
        <v>0.0238</v>
      </c>
    </row>
    <row r="40" spans="1:5" ht="11.25">
      <c r="A40" s="68" t="s">
        <v>138</v>
      </c>
      <c r="B40" s="69">
        <v>0.0184</v>
      </c>
      <c r="C40" s="69">
        <v>0.0184</v>
      </c>
      <c r="D40" s="40">
        <v>0</v>
      </c>
      <c r="E40" s="69">
        <v>0</v>
      </c>
    </row>
    <row r="41" spans="1:5" ht="11.25">
      <c r="A41" s="68" t="s">
        <v>139</v>
      </c>
      <c r="B41" s="69">
        <v>0.0184</v>
      </c>
      <c r="C41" s="69">
        <v>0.0184</v>
      </c>
      <c r="D41" s="40">
        <v>0.027</v>
      </c>
      <c r="E41" s="69">
        <v>0.0438</v>
      </c>
    </row>
    <row r="42" spans="1:5" ht="11.25">
      <c r="A42" s="68" t="s">
        <v>140</v>
      </c>
      <c r="B42" s="69">
        <v>0.0184</v>
      </c>
      <c r="C42" s="69">
        <v>0.0184</v>
      </c>
      <c r="D42" s="40">
        <v>0.0287</v>
      </c>
      <c r="E42" s="69">
        <v>0.0146</v>
      </c>
    </row>
    <row r="43" spans="1:5" ht="11.25">
      <c r="A43" s="68" t="s">
        <v>141</v>
      </c>
      <c r="B43" s="69">
        <v>0.0222</v>
      </c>
      <c r="C43" s="69">
        <v>0.0222</v>
      </c>
      <c r="D43" s="40">
        <v>0.0119</v>
      </c>
      <c r="E43" s="148">
        <v>0.0147</v>
      </c>
    </row>
    <row r="44" spans="1:5" ht="11.25">
      <c r="A44" s="68" t="s">
        <v>142</v>
      </c>
      <c r="B44" s="69">
        <v>0.0222</v>
      </c>
      <c r="C44" s="69">
        <v>0.0222</v>
      </c>
      <c r="D44" s="40">
        <v>0.0263</v>
      </c>
      <c r="E44" s="148">
        <v>0.0226</v>
      </c>
    </row>
    <row r="45" spans="1:5" ht="11.25">
      <c r="A45" s="68" t="s">
        <v>143</v>
      </c>
      <c r="B45" s="69">
        <v>0.0222</v>
      </c>
      <c r="C45" s="69">
        <v>0.0222</v>
      </c>
      <c r="D45" s="40">
        <v>0.0203</v>
      </c>
      <c r="E45" s="69">
        <v>0.0175</v>
      </c>
    </row>
    <row r="46" spans="1:5" ht="11.25">
      <c r="A46" s="68" t="s">
        <v>144</v>
      </c>
      <c r="B46" s="69">
        <v>0.0222</v>
      </c>
      <c r="C46" s="69">
        <v>0.0222</v>
      </c>
      <c r="D46" s="40">
        <v>0.0103</v>
      </c>
      <c r="E46" s="148">
        <v>0.0145</v>
      </c>
    </row>
    <row r="47" spans="1:5" ht="11.25">
      <c r="A47" s="68" t="s">
        <v>145</v>
      </c>
      <c r="B47" s="69">
        <v>0.0222</v>
      </c>
      <c r="C47" s="69">
        <v>0.0222</v>
      </c>
      <c r="D47" s="40">
        <v>0.014</v>
      </c>
      <c r="E47" s="148">
        <v>0.012</v>
      </c>
    </row>
    <row r="48" spans="1:5" ht="11.25">
      <c r="A48" s="68" t="s">
        <v>146</v>
      </c>
      <c r="B48" s="69">
        <v>0.0222</v>
      </c>
      <c r="C48" s="69">
        <v>0.0222</v>
      </c>
      <c r="D48" s="40">
        <v>0</v>
      </c>
      <c r="E48" s="69">
        <v>0.0244</v>
      </c>
    </row>
    <row r="49" spans="1:5" ht="11.25">
      <c r="A49" s="68" t="s">
        <v>147</v>
      </c>
      <c r="B49" s="72">
        <v>0.0567</v>
      </c>
      <c r="C49" s="72">
        <v>0.0567</v>
      </c>
      <c r="D49" s="74">
        <v>0.0265</v>
      </c>
      <c r="E49" s="69">
        <v>0.0106</v>
      </c>
    </row>
    <row r="50" spans="1:5" ht="11.25">
      <c r="A50" s="68" t="s">
        <v>148</v>
      </c>
      <c r="B50" s="72">
        <v>0.0567</v>
      </c>
      <c r="C50" s="72">
        <v>0.0567</v>
      </c>
      <c r="D50" s="74">
        <v>0.0387</v>
      </c>
      <c r="E50" s="69">
        <v>0.0345</v>
      </c>
    </row>
    <row r="51" spans="1:5" ht="11.25">
      <c r="A51" s="68" t="s">
        <v>149</v>
      </c>
      <c r="B51" s="72">
        <v>0.0567</v>
      </c>
      <c r="C51" s="72">
        <v>0.0567</v>
      </c>
      <c r="D51" s="74">
        <v>0</v>
      </c>
      <c r="E51" s="69">
        <v>0</v>
      </c>
    </row>
    <row r="52" spans="1:5" ht="11.25">
      <c r="A52" s="68" t="s">
        <v>150</v>
      </c>
      <c r="B52" s="72">
        <v>0.0567</v>
      </c>
      <c r="C52" s="72">
        <v>0.0567</v>
      </c>
      <c r="D52" s="74">
        <v>0.027</v>
      </c>
      <c r="E52" s="69">
        <v>0.0347</v>
      </c>
    </row>
    <row r="53" spans="1:5" ht="11.25">
      <c r="A53" s="68" t="s">
        <v>151</v>
      </c>
      <c r="B53" s="72">
        <v>0.0567</v>
      </c>
      <c r="C53" s="72">
        <v>0.0567</v>
      </c>
      <c r="D53" s="74">
        <v>0</v>
      </c>
      <c r="E53" s="69">
        <v>0</v>
      </c>
    </row>
    <row r="54" spans="1:6" ht="11.25">
      <c r="A54" s="68" t="s">
        <v>211</v>
      </c>
      <c r="B54" s="72"/>
      <c r="C54" s="72"/>
      <c r="D54" s="74"/>
      <c r="E54" s="69">
        <v>0</v>
      </c>
      <c r="F54" s="67" t="s">
        <v>207</v>
      </c>
    </row>
    <row r="55" spans="1:6" ht="11.25">
      <c r="A55" s="68" t="s">
        <v>152</v>
      </c>
      <c r="B55" s="69">
        <v>0.0216</v>
      </c>
      <c r="C55" s="69">
        <v>0.0216</v>
      </c>
      <c r="D55" s="40">
        <v>0.0141</v>
      </c>
      <c r="E55" s="148">
        <v>0.0249</v>
      </c>
      <c r="F55" s="67" t="s">
        <v>208</v>
      </c>
    </row>
    <row r="56" spans="1:5" ht="11.25">
      <c r="A56" s="68" t="s">
        <v>153</v>
      </c>
      <c r="B56" s="69">
        <v>0.0216</v>
      </c>
      <c r="C56" s="69">
        <v>0.0216</v>
      </c>
      <c r="D56" s="40">
        <v>0.0279</v>
      </c>
      <c r="E56" s="148">
        <v>0.026</v>
      </c>
    </row>
    <row r="57" spans="1:5" ht="11.25">
      <c r="A57" s="68" t="s">
        <v>154</v>
      </c>
      <c r="B57" s="69">
        <v>0.0216</v>
      </c>
      <c r="C57" s="69">
        <v>0.0216</v>
      </c>
      <c r="D57" s="40">
        <v>0.022</v>
      </c>
      <c r="E57" s="69">
        <v>0.0212</v>
      </c>
    </row>
    <row r="58" spans="1:5" ht="11.25">
      <c r="A58" s="68" t="s">
        <v>155</v>
      </c>
      <c r="B58" s="69">
        <v>0.0216</v>
      </c>
      <c r="C58" s="69">
        <v>0.0216</v>
      </c>
      <c r="D58" s="40">
        <v>0.0122</v>
      </c>
      <c r="E58" s="148">
        <v>0.0167</v>
      </c>
    </row>
    <row r="59" spans="1:5" ht="11.25">
      <c r="A59" s="68" t="s">
        <v>156</v>
      </c>
      <c r="B59" s="69">
        <v>0.0216</v>
      </c>
      <c r="C59" s="69">
        <v>0.0216</v>
      </c>
      <c r="D59" s="40">
        <v>0.0203</v>
      </c>
      <c r="E59" s="69">
        <v>0.0269</v>
      </c>
    </row>
    <row r="60" spans="1:9" ht="11.25">
      <c r="A60" s="68" t="s">
        <v>116</v>
      </c>
      <c r="B60" s="69">
        <v>0.0216</v>
      </c>
      <c r="C60" s="69">
        <v>0.0567</v>
      </c>
      <c r="D60" s="40">
        <v>0.0265</v>
      </c>
      <c r="E60" s="69">
        <v>0.0106</v>
      </c>
      <c r="I60" s="71"/>
    </row>
    <row r="61" spans="1:5" ht="11.25">
      <c r="A61" s="68" t="s">
        <v>117</v>
      </c>
      <c r="B61" s="69">
        <v>0.0216</v>
      </c>
      <c r="C61" s="69">
        <v>0.0567</v>
      </c>
      <c r="D61" s="40">
        <v>0.0387</v>
      </c>
      <c r="E61" s="69">
        <v>0.0356</v>
      </c>
    </row>
    <row r="62" spans="1:9" ht="11.25">
      <c r="A62" s="68" t="s">
        <v>118</v>
      </c>
      <c r="B62" s="69">
        <v>0.0216</v>
      </c>
      <c r="C62" s="69">
        <v>0.0567</v>
      </c>
      <c r="D62" s="40">
        <v>0</v>
      </c>
      <c r="E62" s="69">
        <v>0</v>
      </c>
      <c r="I62" s="72"/>
    </row>
    <row r="63" spans="1:5" ht="11.25">
      <c r="A63" s="68" t="s">
        <v>119</v>
      </c>
      <c r="B63" s="69">
        <v>0.0216</v>
      </c>
      <c r="C63" s="69">
        <v>0.0567</v>
      </c>
      <c r="D63" s="40">
        <v>0.027</v>
      </c>
      <c r="E63" s="69">
        <v>0.0359</v>
      </c>
    </row>
    <row r="64" spans="1:5" ht="11.25">
      <c r="A64" s="68" t="s">
        <v>120</v>
      </c>
      <c r="B64" s="69">
        <v>0.0216</v>
      </c>
      <c r="C64" s="69">
        <v>0.0567</v>
      </c>
      <c r="D64" s="40">
        <v>0</v>
      </c>
      <c r="E64" s="69">
        <v>0</v>
      </c>
    </row>
    <row r="65" spans="1:6" ht="11.25">
      <c r="A65" s="68" t="s">
        <v>212</v>
      </c>
      <c r="B65" s="69"/>
      <c r="C65" s="69"/>
      <c r="D65" s="40"/>
      <c r="E65" s="69">
        <v>0.0233</v>
      </c>
      <c r="F65" s="67" t="s">
        <v>209</v>
      </c>
    </row>
    <row r="66" spans="1:6" ht="11.25">
      <c r="A66" s="68" t="s">
        <v>213</v>
      </c>
      <c r="B66" s="69"/>
      <c r="C66" s="69"/>
      <c r="D66" s="40"/>
      <c r="E66" s="69">
        <v>0.0323</v>
      </c>
      <c r="F66" s="67" t="s">
        <v>209</v>
      </c>
    </row>
    <row r="67" spans="1:6" ht="11.25">
      <c r="A67" s="68" t="s">
        <v>214</v>
      </c>
      <c r="B67" s="69"/>
      <c r="C67" s="69"/>
      <c r="D67" s="40"/>
      <c r="E67" s="69">
        <v>0.027</v>
      </c>
      <c r="F67" s="67" t="s">
        <v>209</v>
      </c>
    </row>
    <row r="68" spans="1:6" ht="11.25">
      <c r="A68" s="68" t="s">
        <v>215</v>
      </c>
      <c r="B68" s="69"/>
      <c r="C68" s="69"/>
      <c r="D68" s="40"/>
      <c r="E68" s="69">
        <v>0.0237</v>
      </c>
      <c r="F68" s="67" t="s">
        <v>209</v>
      </c>
    </row>
    <row r="69" spans="1:5" ht="11.25">
      <c r="A69" s="68" t="s">
        <v>157</v>
      </c>
      <c r="B69" s="69">
        <v>0</v>
      </c>
      <c r="C69" s="69">
        <v>0.0194</v>
      </c>
      <c r="D69" s="40">
        <v>0</v>
      </c>
      <c r="E69" s="69">
        <v>0</v>
      </c>
    </row>
    <row r="70" spans="1:5" ht="11.25">
      <c r="A70" s="68" t="s">
        <v>158</v>
      </c>
      <c r="B70" s="69">
        <v>0</v>
      </c>
      <c r="C70" s="69">
        <v>0.0194</v>
      </c>
      <c r="D70" s="40">
        <v>0.0218</v>
      </c>
      <c r="E70" s="69">
        <v>0</v>
      </c>
    </row>
    <row r="71" spans="1:5" ht="11.25">
      <c r="A71" s="68" t="s">
        <v>159</v>
      </c>
      <c r="B71" s="69">
        <v>0</v>
      </c>
      <c r="C71" s="69">
        <v>0.0194</v>
      </c>
      <c r="D71" s="40">
        <v>0</v>
      </c>
      <c r="E71" s="69">
        <v>0</v>
      </c>
    </row>
    <row r="72" spans="1:5" ht="11.25">
      <c r="A72" s="68" t="s">
        <v>160</v>
      </c>
      <c r="B72" s="69">
        <v>0</v>
      </c>
      <c r="C72" s="69">
        <v>0.0194</v>
      </c>
      <c r="D72" s="40">
        <v>0</v>
      </c>
      <c r="E72" s="69">
        <v>0</v>
      </c>
    </row>
    <row r="73" spans="1:5" ht="11.25">
      <c r="A73" s="68" t="s">
        <v>161</v>
      </c>
      <c r="B73" s="69">
        <v>0</v>
      </c>
      <c r="C73" s="69">
        <v>0.0194</v>
      </c>
      <c r="D73" s="40">
        <v>0</v>
      </c>
      <c r="E73" s="69">
        <v>0</v>
      </c>
    </row>
    <row r="74" spans="1:5" ht="11.25">
      <c r="A74" s="68" t="s">
        <v>162</v>
      </c>
      <c r="B74" s="69">
        <v>0</v>
      </c>
      <c r="C74" s="69">
        <v>0.0194</v>
      </c>
      <c r="D74" s="40">
        <v>0</v>
      </c>
      <c r="E74" s="69">
        <v>0</v>
      </c>
    </row>
    <row r="75" spans="1:5" ht="11.25">
      <c r="A75" s="68" t="s">
        <v>163</v>
      </c>
      <c r="B75" s="69">
        <v>0</v>
      </c>
      <c r="C75" s="69">
        <v>0.0194</v>
      </c>
      <c r="D75" s="40">
        <v>0.0308</v>
      </c>
      <c r="E75" s="69">
        <v>0</v>
      </c>
    </row>
    <row r="76" spans="1:5" ht="11.25">
      <c r="A76" s="68" t="s">
        <v>164</v>
      </c>
      <c r="B76" s="69">
        <v>0</v>
      </c>
      <c r="C76" s="69">
        <v>0.0194</v>
      </c>
      <c r="D76" s="40">
        <v>0.029</v>
      </c>
      <c r="E76" s="69">
        <v>0</v>
      </c>
    </row>
    <row r="77" spans="1:5" ht="11.25">
      <c r="A77" s="68" t="s">
        <v>165</v>
      </c>
      <c r="B77" s="69">
        <v>0</v>
      </c>
      <c r="C77" s="69">
        <v>0.0194</v>
      </c>
      <c r="D77" s="40">
        <v>0</v>
      </c>
      <c r="E77" s="69">
        <v>0</v>
      </c>
    </row>
    <row r="78" spans="1:5" ht="11.25">
      <c r="A78" s="68" t="s">
        <v>166</v>
      </c>
      <c r="B78" s="69">
        <v>0</v>
      </c>
      <c r="C78" s="69">
        <v>0.0194</v>
      </c>
      <c r="D78" s="40">
        <v>0.0397</v>
      </c>
      <c r="E78" s="69">
        <v>0</v>
      </c>
    </row>
    <row r="79" spans="1:5" ht="11.25">
      <c r="A79" s="68" t="s">
        <v>167</v>
      </c>
      <c r="B79" s="69">
        <v>0.031</v>
      </c>
      <c r="C79" s="69">
        <v>0.031</v>
      </c>
      <c r="D79" s="40">
        <v>0</v>
      </c>
      <c r="E79" s="69">
        <v>0.0578</v>
      </c>
    </row>
    <row r="80" spans="1:5" ht="11.25">
      <c r="A80" s="68" t="s">
        <v>168</v>
      </c>
      <c r="B80" s="69">
        <v>0.031</v>
      </c>
      <c r="C80" s="69">
        <v>0.031</v>
      </c>
      <c r="D80" s="40">
        <v>0.042</v>
      </c>
      <c r="E80" s="69">
        <v>0.0554</v>
      </c>
    </row>
    <row r="81" spans="1:5" ht="11.25">
      <c r="A81" s="68" t="s">
        <v>169</v>
      </c>
      <c r="B81" s="69">
        <v>0.031</v>
      </c>
      <c r="C81" s="69">
        <v>0.031</v>
      </c>
      <c r="D81" s="40">
        <v>0.0379</v>
      </c>
      <c r="E81" s="69">
        <v>0.0254</v>
      </c>
    </row>
    <row r="82" spans="1:5" ht="11.25">
      <c r="A82" s="68" t="s">
        <v>170</v>
      </c>
      <c r="B82" s="69">
        <v>0.031</v>
      </c>
      <c r="C82" s="69">
        <v>0.031</v>
      </c>
      <c r="D82" s="40">
        <v>0.0146</v>
      </c>
      <c r="E82" s="69">
        <v>0.0849</v>
      </c>
    </row>
    <row r="83" spans="1:5" ht="11.25">
      <c r="A83" s="68" t="s">
        <v>171</v>
      </c>
      <c r="B83" s="69">
        <v>0.031</v>
      </c>
      <c r="C83" s="69">
        <v>0.031</v>
      </c>
      <c r="D83" s="40">
        <v>0.0271</v>
      </c>
      <c r="E83" s="69">
        <v>0.1086</v>
      </c>
    </row>
    <row r="84" spans="1:5" ht="11.25">
      <c r="A84" s="68" t="s">
        <v>172</v>
      </c>
      <c r="B84" s="72">
        <v>0.0222</v>
      </c>
      <c r="C84" s="72">
        <v>0.0567</v>
      </c>
      <c r="D84" s="74">
        <v>0.2</v>
      </c>
      <c r="E84" s="69">
        <v>0.1428</v>
      </c>
    </row>
    <row r="85" spans="1:5" ht="11.25">
      <c r="A85" s="68" t="s">
        <v>173</v>
      </c>
      <c r="B85" s="73">
        <v>0.2</v>
      </c>
      <c r="C85" s="73">
        <v>0.2</v>
      </c>
      <c r="D85" s="74">
        <v>0.1014</v>
      </c>
      <c r="E85" s="69">
        <v>0.2158</v>
      </c>
    </row>
    <row r="86" spans="1:5" ht="11.25">
      <c r="A86" s="68" t="s">
        <v>174</v>
      </c>
      <c r="B86" s="69">
        <v>0.0213</v>
      </c>
      <c r="C86" s="69">
        <v>0.0213</v>
      </c>
      <c r="D86" s="40">
        <v>0</v>
      </c>
      <c r="E86" s="69">
        <v>0</v>
      </c>
    </row>
    <row r="87" spans="1:5" ht="11.25">
      <c r="A87" s="68" t="s">
        <v>175</v>
      </c>
      <c r="B87" s="69">
        <v>0.0213</v>
      </c>
      <c r="C87" s="69">
        <v>0.0213</v>
      </c>
      <c r="D87" s="40">
        <v>0.0399</v>
      </c>
      <c r="E87" s="69">
        <v>0</v>
      </c>
    </row>
    <row r="88" spans="1:5" ht="11.25">
      <c r="A88" s="68" t="s">
        <v>176</v>
      </c>
      <c r="B88" s="69">
        <v>0.0213</v>
      </c>
      <c r="C88" s="69">
        <v>0.0213</v>
      </c>
      <c r="D88" s="40">
        <v>0.0344</v>
      </c>
      <c r="E88" s="69">
        <v>0</v>
      </c>
    </row>
    <row r="89" spans="1:5" ht="11.25">
      <c r="A89" s="68" t="s">
        <v>177</v>
      </c>
      <c r="B89" s="69">
        <v>0.0213</v>
      </c>
      <c r="C89" s="69">
        <v>0.0213</v>
      </c>
      <c r="D89" s="40">
        <v>0</v>
      </c>
      <c r="E89" s="69">
        <v>0</v>
      </c>
    </row>
    <row r="90" spans="1:5" ht="11.25">
      <c r="A90" s="68" t="s">
        <v>178</v>
      </c>
      <c r="B90" s="69">
        <v>0.0213</v>
      </c>
      <c r="C90" s="69">
        <v>0.0213</v>
      </c>
      <c r="D90" s="40">
        <v>0.0312</v>
      </c>
      <c r="E90" s="69">
        <v>0</v>
      </c>
    </row>
    <row r="91" spans="1:5" ht="11.25">
      <c r="A91" s="67" t="s">
        <v>216</v>
      </c>
      <c r="B91" s="69"/>
      <c r="C91" s="69"/>
      <c r="D91" s="40"/>
      <c r="E91" s="69">
        <v>0.0136</v>
      </c>
    </row>
    <row r="92" spans="1:5" ht="11.25">
      <c r="A92" s="68" t="s">
        <v>217</v>
      </c>
      <c r="B92" s="72"/>
      <c r="C92" s="72"/>
      <c r="D92" s="74"/>
      <c r="E92" s="69">
        <v>0.0234</v>
      </c>
    </row>
    <row r="93" spans="1:5" ht="11.25">
      <c r="A93" s="68" t="s">
        <v>218</v>
      </c>
      <c r="B93" s="72"/>
      <c r="C93" s="72"/>
      <c r="D93" s="74"/>
      <c r="E93" s="69">
        <v>0.0194</v>
      </c>
    </row>
    <row r="94" spans="1:5" ht="11.25">
      <c r="A94" s="68" t="s">
        <v>219</v>
      </c>
      <c r="B94" s="72"/>
      <c r="C94" s="72"/>
      <c r="D94" s="74"/>
      <c r="E94" s="148">
        <v>0.0205</v>
      </c>
    </row>
    <row r="95" spans="1:5" ht="11.25">
      <c r="A95" s="68" t="s">
        <v>220</v>
      </c>
      <c r="B95" s="73"/>
      <c r="C95" s="73"/>
      <c r="D95" s="74"/>
      <c r="E95" s="148">
        <v>0.0237</v>
      </c>
    </row>
    <row r="96" spans="1:5" ht="11.25">
      <c r="A96" s="67" t="s">
        <v>221</v>
      </c>
      <c r="D96" s="114"/>
      <c r="E96" s="148">
        <v>0.0218</v>
      </c>
    </row>
    <row r="97" spans="1:5" ht="11.25">
      <c r="A97" s="67" t="s">
        <v>222</v>
      </c>
      <c r="D97" s="114"/>
      <c r="E97" s="69">
        <v>0.0128</v>
      </c>
    </row>
    <row r="98" spans="1:5" ht="11.25">
      <c r="A98" s="67" t="s">
        <v>223</v>
      </c>
      <c r="D98" s="114"/>
      <c r="E98" s="69">
        <v>0.0197</v>
      </c>
    </row>
    <row r="99" spans="1:5" ht="11.25">
      <c r="A99" s="67" t="s">
        <v>224</v>
      </c>
      <c r="E99" s="69">
        <v>0.0147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 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Wallace Foxworthy</dc:creator>
  <cp:keywords/>
  <dc:description/>
  <cp:lastModifiedBy>Andrea Schroeder</cp:lastModifiedBy>
  <cp:lastPrinted>2018-01-10T00:48:18Z</cp:lastPrinted>
  <dcterms:created xsi:type="dcterms:W3CDTF">2002-04-09T13:56:49Z</dcterms:created>
  <dcterms:modified xsi:type="dcterms:W3CDTF">2018-03-15T20:06:35Z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;#KU;#</vt:lpwstr>
  </property>
  <property fmtid="{D5CDD505-2E9C-101B-9397-08002B2CF9AE}" pid="3" name="KU 2016 ECR Plan Documents">
    <vt:lpwstr/>
  </property>
  <property fmtid="{D5CDD505-2E9C-101B-9397-08002B2CF9AE}" pid="4" name="Witness Testimony">
    <vt:lpwstr>Conroy, Robert</vt:lpwstr>
  </property>
  <property fmtid="{D5CDD505-2E9C-101B-9397-08002B2CF9AE}" pid="5" name="Data Request Party">
    <vt:lpwstr>Public Service Commission</vt:lpwstr>
  </property>
  <property fmtid="{D5CDD505-2E9C-101B-9397-08002B2CF9AE}" pid="6" name="Support Document Type">
    <vt:lpwstr/>
  </property>
  <property fmtid="{D5CDD505-2E9C-101B-9397-08002B2CF9AE}" pid="7" name="Review Case Doc Types">
    <vt:lpwstr>02 - 1st Data Request</vt:lpwstr>
  </property>
  <property fmtid="{D5CDD505-2E9C-101B-9397-08002B2CF9AE}" pid="8" name="Data Request Question No.">
    <vt:lpwstr>004</vt:lpwstr>
  </property>
  <property fmtid="{D5CDD505-2E9C-101B-9397-08002B2CF9AE}" pid="9" name="Intervenors">
    <vt:lpwstr/>
  </property>
</Properties>
</file>