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156" yWindow="228" windowWidth="13056" windowHeight="8400"/>
  </bookViews>
  <sheets>
    <sheet name="Page 1" sheetId="1" r:id="rId1"/>
    <sheet name="Page 2" sheetId="2" r:id="rId2"/>
    <sheet name="Page 3" sheetId="5" r:id="rId3"/>
    <sheet name="Page 4" sheetId="4" r:id="rId4"/>
    <sheet name="Page 5" sheetId="3" r:id="rId5"/>
    <sheet name="Page 6" sheetId="8" r:id="rId6"/>
    <sheet name="Page 7" sheetId="7" r:id="rId7"/>
  </sheets>
  <calcPr calcId="145621"/>
</workbook>
</file>

<file path=xl/calcChain.xml><?xml version="1.0" encoding="utf-8"?>
<calcChain xmlns="http://schemas.openxmlformats.org/spreadsheetml/2006/main">
  <c r="D16" i="8" l="1"/>
  <c r="B16" i="8"/>
  <c r="H7" i="8"/>
  <c r="H15" i="8" l="1"/>
  <c r="E15" i="8" l="1"/>
  <c r="A54" i="1" l="1"/>
  <c r="E17" i="7" l="1"/>
  <c r="C17" i="7"/>
  <c r="E14" i="7"/>
  <c r="C14" i="7"/>
  <c r="E13" i="7"/>
  <c r="C13" i="7"/>
  <c r="G13" i="7" s="1"/>
  <c r="E12" i="7"/>
  <c r="C12" i="7"/>
  <c r="G12" i="7" s="1"/>
  <c r="E11" i="7"/>
  <c r="C11" i="7"/>
  <c r="E10" i="7"/>
  <c r="C10" i="7"/>
  <c r="G10" i="7" s="1"/>
  <c r="E9" i="7"/>
  <c r="C9" i="7"/>
  <c r="G9" i="7" s="1"/>
  <c r="E8" i="7"/>
  <c r="C8" i="7"/>
  <c r="G8" i="7" s="1"/>
  <c r="E7" i="7"/>
  <c r="C7" i="7"/>
  <c r="G11" i="7" l="1"/>
  <c r="H10" i="7"/>
  <c r="C15" i="7"/>
  <c r="H11" i="7"/>
  <c r="H8" i="7"/>
  <c r="E15" i="7"/>
  <c r="H12" i="7"/>
  <c r="H9" i="7"/>
  <c r="H13" i="7"/>
  <c r="D15" i="7"/>
  <c r="B15" i="7"/>
  <c r="E18" i="8" l="1"/>
  <c r="C18" i="8"/>
  <c r="C15" i="8"/>
  <c r="H14" i="8"/>
  <c r="E14" i="8"/>
  <c r="C14" i="8"/>
  <c r="E13" i="8"/>
  <c r="C13" i="8"/>
  <c r="E12" i="8"/>
  <c r="C12" i="8"/>
  <c r="G12" i="8" s="1"/>
  <c r="H12" i="8" s="1"/>
  <c r="E11" i="8"/>
  <c r="C11" i="8"/>
  <c r="E10" i="8"/>
  <c r="C10" i="8"/>
  <c r="E9" i="8"/>
  <c r="C9" i="8"/>
  <c r="E8" i="8"/>
  <c r="C8" i="8"/>
  <c r="G8" i="8" s="1"/>
  <c r="H8" i="8" s="1"/>
  <c r="E7" i="8"/>
  <c r="C7" i="8"/>
  <c r="G9" i="8" l="1"/>
  <c r="H9" i="8" s="1"/>
  <c r="G13" i="8"/>
  <c r="H13" i="8" s="1"/>
  <c r="G11" i="8"/>
  <c r="H11" i="8" s="1"/>
  <c r="G10" i="8"/>
  <c r="H10" i="8" s="1"/>
  <c r="C16" i="8"/>
  <c r="E16" i="8"/>
  <c r="H35" i="1" l="1"/>
  <c r="G13" i="1" l="1"/>
  <c r="G18" i="1"/>
  <c r="G17" i="1"/>
  <c r="G16" i="1"/>
  <c r="F15" i="1"/>
  <c r="G14" i="1"/>
  <c r="G12" i="1"/>
  <c r="F11" i="1"/>
  <c r="G10" i="1"/>
  <c r="F18" i="1" l="1"/>
  <c r="F17" i="1"/>
  <c r="F14" i="1"/>
  <c r="F16" i="1"/>
  <c r="F12" i="1"/>
  <c r="F10" i="1"/>
  <c r="G15" i="1"/>
  <c r="G11" i="1"/>
  <c r="F13" i="1"/>
  <c r="E21" i="1" l="1"/>
  <c r="G47" i="1"/>
  <c r="F47" i="1"/>
  <c r="E47" i="1"/>
  <c r="D47" i="1" l="1"/>
  <c r="B47" i="1"/>
  <c r="C47" i="1"/>
  <c r="C21" i="1"/>
  <c r="D21" i="1"/>
  <c r="B21" i="1"/>
  <c r="E39" i="2" l="1"/>
  <c r="E38" i="2"/>
  <c r="E36" i="2"/>
  <c r="E35" i="2"/>
  <c r="E33" i="2"/>
  <c r="E32" i="2"/>
  <c r="E31" i="2"/>
  <c r="E30" i="2"/>
  <c r="C41" i="2"/>
  <c r="E34" i="2" l="1"/>
  <c r="B41" i="2"/>
  <c r="E37" i="2"/>
  <c r="D41" i="2"/>
  <c r="E29" i="2"/>
  <c r="E41" i="2" l="1"/>
  <c r="H18" i="2" l="1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I38" i="2" l="1"/>
  <c r="J38" i="2" s="1"/>
  <c r="I31" i="2"/>
  <c r="J31" i="2" s="1"/>
  <c r="I39" i="2"/>
  <c r="J39" i="2" s="1"/>
  <c r="I29" i="2"/>
  <c r="I34" i="2"/>
  <c r="J34" i="2" s="1"/>
  <c r="I37" i="2"/>
  <c r="J37" i="2" s="1"/>
  <c r="I36" i="2"/>
  <c r="J36" i="2" s="1"/>
  <c r="I35" i="2"/>
  <c r="J35" i="2" s="1"/>
  <c r="G33" i="2"/>
  <c r="I33" i="2" s="1"/>
  <c r="J33" i="2" s="1"/>
  <c r="G32" i="2"/>
  <c r="I32" i="2" s="1"/>
  <c r="J32" i="2" s="1"/>
  <c r="G30" i="2"/>
  <c r="I30" i="2" s="1"/>
  <c r="I27" i="2"/>
  <c r="J29" i="2" l="1"/>
  <c r="I41" i="2"/>
  <c r="J30" i="2"/>
  <c r="J41" i="2" l="1"/>
  <c r="L21" i="1"/>
  <c r="J47" i="1" l="1"/>
  <c r="M21" i="1" l="1"/>
  <c r="H21" i="1"/>
  <c r="I21" i="1"/>
  <c r="F21" i="1" l="1"/>
  <c r="J49" i="1" l="1"/>
  <c r="F22" i="3" l="1"/>
  <c r="B1" i="3" l="1"/>
  <c r="B1" i="4"/>
  <c r="B1" i="5"/>
  <c r="I22" i="3"/>
  <c r="I18" i="3"/>
  <c r="I15" i="3"/>
  <c r="A51" i="1"/>
  <c r="L25" i="3"/>
  <c r="B3" i="4"/>
  <c r="B3" i="3" s="1"/>
  <c r="E36" i="1"/>
  <c r="F36" i="1" s="1"/>
  <c r="G36" i="1" s="1"/>
  <c r="B36" i="1"/>
  <c r="C36" i="1" s="1"/>
  <c r="D36" i="1" s="1"/>
  <c r="H9" i="1"/>
  <c r="I9" i="1" s="1"/>
  <c r="A52" i="1"/>
  <c r="C9" i="1"/>
  <c r="D9" i="1" s="1"/>
  <c r="H37" i="3"/>
  <c r="K22" i="2" s="1"/>
  <c r="H34" i="3"/>
  <c r="J22" i="2" s="1"/>
  <c r="I28" i="3"/>
  <c r="H39" i="3" l="1"/>
  <c r="B22" i="2" s="1"/>
  <c r="N21" i="1"/>
  <c r="G21" i="1"/>
  <c r="O21" i="1" l="1"/>
  <c r="F15" i="3" s="1"/>
  <c r="F28" i="3"/>
  <c r="F18" i="3" l="1"/>
  <c r="D20" i="5" l="1"/>
  <c r="G22" i="3"/>
  <c r="H22" i="3" s="1"/>
  <c r="K22" i="3" s="1"/>
  <c r="G18" i="3" l="1"/>
  <c r="H18" i="3" s="1"/>
  <c r="K18" i="3" s="1"/>
  <c r="D17" i="5"/>
  <c r="K25" i="3" l="1"/>
  <c r="K18" i="2" l="1"/>
  <c r="I18" i="2"/>
  <c r="E16" i="2"/>
  <c r="I13" i="2"/>
  <c r="K13" i="2"/>
  <c r="I16" i="2"/>
  <c r="K16" i="2"/>
  <c r="K15" i="2"/>
  <c r="I15" i="2"/>
  <c r="E13" i="2"/>
  <c r="K17" i="2"/>
  <c r="I17" i="2"/>
  <c r="C20" i="2"/>
  <c r="C43" i="2" s="1"/>
  <c r="E12" i="2"/>
  <c r="E14" i="2"/>
  <c r="K12" i="2"/>
  <c r="I12" i="2"/>
  <c r="K14" i="2"/>
  <c r="I14" i="2"/>
  <c r="E18" i="2"/>
  <c r="E15" i="2"/>
  <c r="E17" i="2"/>
  <c r="J16" i="2" l="1"/>
  <c r="J15" i="2"/>
  <c r="J13" i="2"/>
  <c r="J14" i="2"/>
  <c r="J12" i="2"/>
  <c r="J17" i="2"/>
  <c r="J18" i="2"/>
  <c r="B20" i="2" l="1"/>
  <c r="B43" i="2" s="1"/>
  <c r="K11" i="2"/>
  <c r="K20" i="2" s="1"/>
  <c r="I11" i="2"/>
  <c r="I20" i="2" s="1"/>
  <c r="G28" i="3" l="1"/>
  <c r="H28" i="3" s="1"/>
  <c r="K28" i="3" s="1"/>
  <c r="D23" i="5"/>
  <c r="D20" i="2" l="1"/>
  <c r="D43" i="2" s="1"/>
  <c r="E11" i="2"/>
  <c r="E20" i="2" s="1"/>
  <c r="E43" i="2" s="1"/>
  <c r="J11" i="2"/>
  <c r="J20" i="2" s="1"/>
  <c r="G15" i="3" l="1"/>
  <c r="H15" i="3" s="1"/>
  <c r="D14" i="5"/>
  <c r="K15" i="3" l="1"/>
  <c r="H30" i="3"/>
  <c r="H41" i="3" s="1"/>
</calcChain>
</file>

<file path=xl/sharedStrings.xml><?xml version="1.0" encoding="utf-8"?>
<sst xmlns="http://schemas.openxmlformats.org/spreadsheetml/2006/main" count="280" uniqueCount="164">
  <si>
    <t xml:space="preserve">                      Kentucky DSM Rider</t>
  </si>
  <si>
    <t>Comparison of Revenue Requirement to Rider Recovery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</si>
  <si>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</si>
  <si>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</si>
  <si>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</si>
  <si>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</si>
  <si>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</si>
  <si>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</si>
  <si>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</si>
  <si>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</si>
  <si>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</si>
  <si>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</si>
  <si>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Program Costs</t>
  </si>
  <si>
    <t>Program Expenditures</t>
  </si>
  <si>
    <t xml:space="preserve">         Rider Collection (F)</t>
  </si>
  <si>
    <t>(Over)/Under Collection</t>
  </si>
  <si>
    <t>Gas</t>
  </si>
  <si>
    <t>Electric</t>
  </si>
  <si>
    <t>Gas (G)</t>
  </si>
  <si>
    <t>Electric (H)</t>
  </si>
  <si>
    <t>NA</t>
  </si>
  <si>
    <t>Residential Programs</t>
  </si>
  <si>
    <t>Gas (D)</t>
  </si>
  <si>
    <t>Electric (E)</t>
  </si>
  <si>
    <t>Commercial Programs</t>
  </si>
  <si>
    <t>Rider</t>
  </si>
  <si>
    <t>Reconciliation (C)</t>
  </si>
  <si>
    <t>Collection (D)</t>
  </si>
  <si>
    <t>Lost</t>
  </si>
  <si>
    <t>Shared</t>
  </si>
  <si>
    <t>Costs</t>
  </si>
  <si>
    <t>Revenues</t>
  </si>
  <si>
    <t>Savings</t>
  </si>
  <si>
    <t>Total</t>
  </si>
  <si>
    <t>Total Costs, Net Lost Revenues, Shared Savings</t>
  </si>
  <si>
    <t>Program</t>
  </si>
  <si>
    <t>Costs (A)</t>
  </si>
  <si>
    <t>Electric Rider DSM</t>
  </si>
  <si>
    <t>Residential Rate RS</t>
  </si>
  <si>
    <t>DS, DP, DT, GS-FL, EH &amp; SP</t>
  </si>
  <si>
    <t>Gas Rider DSM</t>
  </si>
  <si>
    <t>Summary of Billing Determinants</t>
  </si>
  <si>
    <t xml:space="preserve">Year </t>
  </si>
  <si>
    <t>Rates DS, DP, DT,</t>
  </si>
  <si>
    <t>GS-FL, EH, &amp; SP</t>
  </si>
  <si>
    <t>Rate RS</t>
  </si>
  <si>
    <t>Summary of Calculations</t>
  </si>
  <si>
    <t>Expected</t>
  </si>
  <si>
    <t>Total DSM</t>
  </si>
  <si>
    <t>Estimated</t>
  </si>
  <si>
    <t>Rate Schedule</t>
  </si>
  <si>
    <t>True-Up</t>
  </si>
  <si>
    <t>Revenue</t>
  </si>
  <si>
    <t>Billing</t>
  </si>
  <si>
    <t>DSM Cost</t>
  </si>
  <si>
    <t>Requirements</t>
  </si>
  <si>
    <t>$/kWh</t>
  </si>
  <si>
    <t>Total Recovery</t>
  </si>
  <si>
    <t>Amount (A)</t>
  </si>
  <si>
    <t>Costs (B)</t>
  </si>
  <si>
    <t>Determinants (C)</t>
  </si>
  <si>
    <t>Electric Costs</t>
  </si>
  <si>
    <t>Gas Costs</t>
  </si>
  <si>
    <t>Projected Lost Revenues</t>
  </si>
  <si>
    <t>Projected Shared Savings</t>
  </si>
  <si>
    <t>Lost Revenues</t>
  </si>
  <si>
    <t>Shared Savings</t>
  </si>
  <si>
    <t>(11)</t>
  </si>
  <si>
    <t>(12)</t>
  </si>
  <si>
    <t>(13)</t>
  </si>
  <si>
    <t>(14)</t>
  </si>
  <si>
    <t>(G) Column (5) + Column (9) - Column(11).</t>
  </si>
  <si>
    <t>(H) Column (6) + Column (7) + Column (8) + Column (10) - Column(12).</t>
  </si>
  <si>
    <t>Collection (E)</t>
  </si>
  <si>
    <t>(E) Column (4) + Column (5) + Column (6) + Column (7) - Column (8)</t>
  </si>
  <si>
    <t>Demand Side Management Cost Recovery Rider (DSMR)</t>
  </si>
  <si>
    <t>Recovery Rider (DSMR)</t>
  </si>
  <si>
    <t>Budget (Costs, Lost Revenues, &amp; Shared Savings)</t>
  </si>
  <si>
    <t>Total Rider Recovery</t>
  </si>
  <si>
    <t>Electric No.4</t>
  </si>
  <si>
    <t>Gas No. 5</t>
  </si>
  <si>
    <t>Number of Customers</t>
  </si>
  <si>
    <t>Annual Revenues</t>
  </si>
  <si>
    <t>Riders</t>
  </si>
  <si>
    <t>Total Customer Charge Revenues</t>
  </si>
  <si>
    <t>Monthly Customer Charge</t>
  </si>
  <si>
    <t>Duke Energy Kentucky</t>
  </si>
  <si>
    <t>GS-FL, EH, SP, &amp; TT</t>
  </si>
  <si>
    <t>TT</t>
  </si>
  <si>
    <t>Distribution Level Rates Part A</t>
  </si>
  <si>
    <t>Distribution Level Rates Part B</t>
  </si>
  <si>
    <t>Transmission Level Rates &amp;</t>
  </si>
  <si>
    <t>Distribution Level Rates Total</t>
  </si>
  <si>
    <t>Total Program</t>
  </si>
  <si>
    <t>Customer Charge for HEA Program</t>
  </si>
  <si>
    <t>Projected Annual Electric Sales kWH</t>
  </si>
  <si>
    <t>Projected Annual Gas Sales CCF</t>
  </si>
  <si>
    <t>kWh</t>
  </si>
  <si>
    <t>CCF</t>
  </si>
  <si>
    <t>$/CCF</t>
  </si>
  <si>
    <t>Summary of Calculations for Programs</t>
  </si>
  <si>
    <t>(B) Appendix B, page 2.</t>
  </si>
  <si>
    <t>(C) Appendix B, page 4.</t>
  </si>
  <si>
    <t xml:space="preserve">                 Program Expenditures (C)</t>
  </si>
  <si>
    <t>Residential Smart $aver®</t>
  </si>
  <si>
    <t>Appliance Recycling Program</t>
  </si>
  <si>
    <t>Energy Efficiency Education Program for Schools</t>
  </si>
  <si>
    <t>My Home Energy Report</t>
  </si>
  <si>
    <t>Low Income Neighborhood</t>
  </si>
  <si>
    <t>Low Income Services</t>
  </si>
  <si>
    <t>Residential Energy Assessments</t>
  </si>
  <si>
    <t>Smart $aver® Custom</t>
  </si>
  <si>
    <t>Smart $aver® Prescriptive - Energy Star Food Service Products</t>
  </si>
  <si>
    <t>Smart $aver® Prescriptive - HVAC</t>
  </si>
  <si>
    <t>Smart $aver® Prescriptive - Lighting</t>
  </si>
  <si>
    <t>Smart $aver® Prescriptive - Motors/Pumps/VFD</t>
  </si>
  <si>
    <t>Smart $aver® Prescriptive - Process Equipment</t>
  </si>
  <si>
    <t>(Over)/Under</t>
  </si>
  <si>
    <t>Home Energy Assistance Pilot Program</t>
  </si>
  <si>
    <t>Revenues collected except for HEA</t>
  </si>
  <si>
    <t>(D) Recovery allowed in accordance with the Commission's Order in Case No. 2012-00085.</t>
  </si>
  <si>
    <t>(E) Recovery allowed in accordance with the Commission's Order in Case No. 2012-00085.</t>
  </si>
  <si>
    <t>Smart $aver® Prescriptive - IT</t>
  </si>
  <si>
    <t>(A) See Appendix B, page 2 of 5.</t>
  </si>
  <si>
    <t>ccf</t>
  </si>
  <si>
    <t>Total Residential</t>
  </si>
  <si>
    <t>% of Total Res Sales</t>
  </si>
  <si>
    <t>Total Residential (Rate RS) Sales</t>
  </si>
  <si>
    <t>Elec % of Total % of Sales</t>
  </si>
  <si>
    <t>Gas % of Total % of Sales</t>
  </si>
  <si>
    <t>Projected</t>
  </si>
  <si>
    <t>Allocation of Costs (B)</t>
  </si>
  <si>
    <t>*Load Impacts Net of Free Riders at Meter</t>
  </si>
  <si>
    <t>Small Business Energy Saver</t>
  </si>
  <si>
    <t>(C) Allocation of program expenditures to gas and electric in accordance with the Commission's Order in Case No. 2014-00388.</t>
  </si>
  <si>
    <t>(C) Recovery allowed in accordance with the Commission's Order in Case No. 2012-00085.</t>
  </si>
  <si>
    <t>(B) Allocation of program expenditures to gas and electric in accordance with the Commission's Order in Case No. 2014-00388.</t>
  </si>
  <si>
    <t>Power Manager®</t>
  </si>
  <si>
    <t>Power Manager® for Apartments</t>
  </si>
  <si>
    <t>PowerShare®</t>
  </si>
  <si>
    <t>Power Manager® for Business</t>
  </si>
  <si>
    <t>(I) Revenues and expenses for the Home Energy Assistance Pilot Program.</t>
  </si>
  <si>
    <t>Home Energy Assistance Pilot Program (I)</t>
  </si>
  <si>
    <t>July 2016 to June 2017</t>
  </si>
  <si>
    <t>Residential Program Summary (A)</t>
  </si>
  <si>
    <t>NonResidential Program Summary (A)</t>
  </si>
  <si>
    <t>Allocation Factors Projected - Revised</t>
  </si>
  <si>
    <t>(1)Load Impacts Net of Free Riders at Meter</t>
  </si>
  <si>
    <t>(2) Appliance Recycling Program will continue to collect lost revenues for prior period participation.</t>
  </si>
  <si>
    <t>7/2016 to 6/2017 (A)</t>
  </si>
  <si>
    <t>7/2016 to 6/2017 (B)</t>
  </si>
  <si>
    <t>(B) Actual program expenditures, lost revenues (for this period and from prior period DSM measure installations), and shared savings for the period July 1, 2016 through June 30, 2017.</t>
  </si>
  <si>
    <t>(F) Revenues collected through the DSM Rider between July 1, 2016 and June 30, 2017.</t>
  </si>
  <si>
    <t>For July 2016 Through June 2017</t>
  </si>
  <si>
    <t xml:space="preserve">Reconciliation  </t>
  </si>
  <si>
    <t>Smart $aver® Non-Residential Performance Incentive Program</t>
  </si>
  <si>
    <t xml:space="preserve">2018-2019 Projected Program Costs, Lost Revenues, and Shared Savings </t>
  </si>
  <si>
    <t>Summary of Load Impacts July 2016 Through June 2017*</t>
  </si>
  <si>
    <t>Allocation Factors based on July 2016-June 2017</t>
  </si>
  <si>
    <t>(A) Costs, Lost Revenues (for this period and from prior period DSM measure installations), and Shared Savings for Year 7 of portfolio.</t>
  </si>
  <si>
    <t>Summary of Load Impacts July 2018 Through June 2019 (1),(2)</t>
  </si>
  <si>
    <t>(A) (Over)/Under of Appendix B page 1 multiplied by the average three-month commercial paper rate for 2017 to include interest on over or under-recovery in accordance with the Commission's order in Case No. 95-312. Value is:</t>
  </si>
  <si>
    <t>(A) Amounts identified in report filed in Case No. 2015-00368 and Case No. 2016-00289.</t>
  </si>
  <si>
    <t>July 2018 to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</si>
</sst>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0.000000"/>
    <numFmt numFmtId="169" formatCode="0.000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4"/>
      <name val="Arial"/>
      <family val="2"/>
    </font>
    <font>
      <sz val="11"/>
      <color theme="1"/>
      <name val="Cambria"/>
      <family val="2"/>
    </font>
    <font>
      <sz val="10"/>
      <color theme="1"/>
      <name val="Arial"/>
      <family val="2"/>
    </font>
    <font>
      <u/>
      <sz val="11"/>
      <color theme="10"/>
      <name val="Cambria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ill="1" applyBorder="1"/>
    <xf numFmtId="164" fontId="0" fillId="0" borderId="0" xfId="2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1" xfId="0" applyFill="1" applyBorder="1"/>
    <xf numFmtId="164" fontId="0" fillId="0" borderId="0" xfId="2" applyNumberFormat="1" applyFont="1" applyFill="1" applyBorder="1"/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6" fillId="0" borderId="0" xfId="0" applyNumberFormat="1" applyFont="1" applyFill="1"/>
    <xf numFmtId="0" fontId="6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0" xfId="2" applyNumberFormat="1" applyFont="1" applyFill="1" applyAlignment="1"/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/>
    <xf numFmtId="0" fontId="1" fillId="0" borderId="0" xfId="0" applyFont="1" applyFill="1"/>
    <xf numFmtId="164" fontId="7" fillId="0" borderId="0" xfId="2" applyNumberFormat="1" applyFont="1" applyFill="1"/>
    <xf numFmtId="167" fontId="0" fillId="0" borderId="0" xfId="2" applyNumberFormat="1" applyFont="1" applyFill="1"/>
    <xf numFmtId="44" fontId="0" fillId="0" borderId="0" xfId="2" applyFont="1" applyFill="1"/>
    <xf numFmtId="0" fontId="1" fillId="0" borderId="0" xfId="0" applyFont="1" applyFill="1" applyBorder="1"/>
    <xf numFmtId="164" fontId="1" fillId="0" borderId="0" xfId="2" applyNumberFormat="1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/>
    <xf numFmtId="43" fontId="0" fillId="0" borderId="0" xfId="0" applyNumberFormat="1" applyFill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right"/>
    </xf>
    <xf numFmtId="0" fontId="1" fillId="0" borderId="1" xfId="0" applyFont="1" applyFill="1" applyBorder="1"/>
    <xf numFmtId="0" fontId="0" fillId="0" borderId="3" xfId="0" applyFill="1" applyBorder="1"/>
    <xf numFmtId="164" fontId="0" fillId="0" borderId="3" xfId="0" applyNumberFormat="1" applyFill="1" applyBorder="1"/>
    <xf numFmtId="164" fontId="0" fillId="0" borderId="3" xfId="2" applyNumberFormat="1" applyFont="1" applyFill="1" applyBorder="1"/>
    <xf numFmtId="164" fontId="9" fillId="0" borderId="0" xfId="2" applyNumberFormat="1" applyFont="1" applyFill="1" applyBorder="1"/>
    <xf numFmtId="0" fontId="1" fillId="0" borderId="3" xfId="0" applyFont="1" applyFill="1" applyBorder="1"/>
    <xf numFmtId="0" fontId="0" fillId="0" borderId="0" xfId="0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6" fontId="1" fillId="0" borderId="0" xfId="1" applyNumberFormat="1" applyFont="1" applyFill="1"/>
    <xf numFmtId="164" fontId="1" fillId="0" borderId="0" xfId="0" applyNumberFormat="1" applyFont="1" applyFill="1"/>
    <xf numFmtId="164" fontId="1" fillId="0" borderId="0" xfId="2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4" fillId="0" borderId="0" xfId="5" applyNumberFormat="1" applyFont="1" applyFill="1"/>
    <xf numFmtId="0" fontId="1" fillId="0" borderId="0" xfId="9"/>
    <xf numFmtId="0" fontId="0" fillId="0" borderId="0" xfId="0" applyFill="1"/>
    <xf numFmtId="0" fontId="1" fillId="0" borderId="0" xfId="0" applyFont="1" applyFill="1"/>
    <xf numFmtId="0" fontId="1" fillId="0" borderId="0" xfId="9" applyFont="1" applyFill="1" applyBorder="1" applyAlignment="1">
      <alignment horizontal="center"/>
    </xf>
    <xf numFmtId="0" fontId="3" fillId="0" borderId="0" xfId="9" applyFont="1" applyFill="1" applyBorder="1" applyAlignment="1">
      <alignment horizontal="center" wrapText="1"/>
    </xf>
    <xf numFmtId="0" fontId="1" fillId="0" borderId="0" xfId="10" applyFont="1"/>
    <xf numFmtId="0" fontId="1" fillId="0" borderId="0" xfId="10" applyFont="1" applyFill="1" applyBorder="1"/>
    <xf numFmtId="0" fontId="11" fillId="0" borderId="0" xfId="10" applyFont="1" applyFill="1" applyBorder="1"/>
    <xf numFmtId="167" fontId="1" fillId="0" borderId="0" xfId="2" applyNumberFormat="1" applyFont="1" applyFill="1"/>
    <xf numFmtId="167" fontId="7" fillId="0" borderId="0" xfId="2" applyNumberFormat="1" applyFont="1" applyFill="1"/>
    <xf numFmtId="0" fontId="1" fillId="0" borderId="0" xfId="12" applyFill="1"/>
    <xf numFmtId="0" fontId="8" fillId="0" borderId="0" xfId="12" applyFont="1" applyFill="1" applyAlignment="1">
      <alignment horizontal="right"/>
    </xf>
    <xf numFmtId="0" fontId="1" fillId="0" borderId="0" xfId="12" applyFill="1" applyAlignment="1">
      <alignment horizontal="left"/>
    </xf>
    <xf numFmtId="0" fontId="1" fillId="0" borderId="0" xfId="12" applyFont="1" applyFill="1"/>
    <xf numFmtId="0" fontId="1" fillId="0" borderId="0" xfId="12" applyFill="1" applyAlignment="1">
      <alignment horizontal="center"/>
    </xf>
    <xf numFmtId="0" fontId="1" fillId="0" borderId="0" xfId="12" applyFont="1" applyFill="1" applyAlignment="1">
      <alignment horizontal="left"/>
    </xf>
    <xf numFmtId="164" fontId="4" fillId="0" borderId="0" xfId="13" applyNumberFormat="1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164" fontId="1" fillId="0" borderId="0" xfId="13" applyNumberFormat="1" applyFont="1" applyFill="1"/>
    <xf numFmtId="164" fontId="1" fillId="0" borderId="0" xfId="12" applyNumberFormat="1" applyFill="1"/>
    <xf numFmtId="164" fontId="0" fillId="0" borderId="0" xfId="13" applyNumberFormat="1" applyFont="1" applyFill="1"/>
    <xf numFmtId="164" fontId="1" fillId="0" borderId="0" xfId="12" applyNumberFormat="1" applyFont="1" applyFill="1"/>
    <xf numFmtId="165" fontId="0" fillId="0" borderId="0" xfId="14" applyNumberFormat="1" applyFont="1" applyFill="1"/>
    <xf numFmtId="0" fontId="1" fillId="0" borderId="0" xfId="12" applyFont="1" applyFill="1" applyAlignment="1">
      <alignment horizontal="center"/>
    </xf>
    <xf numFmtId="0" fontId="11" fillId="0" borderId="0" xfId="12" applyFont="1" applyFill="1"/>
    <xf numFmtId="164" fontId="0" fillId="0" borderId="1" xfId="0" applyNumberFormat="1" applyFill="1" applyBorder="1"/>
    <xf numFmtId="165" fontId="0" fillId="0" borderId="0" xfId="6" applyNumberFormat="1" applyFont="1" applyFill="1"/>
    <xf numFmtId="0" fontId="1" fillId="0" borderId="0" xfId="12" applyFont="1" applyFill="1" applyAlignment="1">
      <alignment horizontal="left" indent="6"/>
    </xf>
    <xf numFmtId="0" fontId="1" fillId="0" borderId="0" xfId="12" applyFont="1" applyFill="1" applyAlignment="1">
      <alignment horizontal="left" indent="7"/>
    </xf>
    <xf numFmtId="0" fontId="1" fillId="0" borderId="0" xfId="12" applyFont="1" applyFill="1" applyAlignment="1">
      <alignment horizontal="left" vertical="center" indent="1"/>
    </xf>
    <xf numFmtId="0" fontId="1" fillId="0" borderId="0" xfId="9" applyFont="1" applyFill="1"/>
    <xf numFmtId="0" fontId="1" fillId="0" borderId="0" xfId="9" applyFill="1"/>
    <xf numFmtId="0" fontId="11" fillId="0" borderId="0" xfId="9" applyFont="1" applyFill="1"/>
    <xf numFmtId="0" fontId="1" fillId="0" borderId="0" xfId="10" applyFont="1" applyFill="1"/>
    <xf numFmtId="0" fontId="11" fillId="0" borderId="0" xfId="10" applyFont="1" applyFill="1" applyAlignment="1">
      <alignment horizontal="left"/>
    </xf>
    <xf numFmtId="166" fontId="11" fillId="0" borderId="5" xfId="8" applyNumberFormat="1" applyFont="1" applyFill="1" applyBorder="1"/>
    <xf numFmtId="44" fontId="0" fillId="0" borderId="0" xfId="2" applyNumberFormat="1" applyFont="1" applyFill="1"/>
    <xf numFmtId="0" fontId="1" fillId="0" borderId="0" xfId="9" applyFont="1"/>
    <xf numFmtId="169" fontId="1" fillId="0" borderId="4" xfId="6" applyNumberFormat="1" applyFont="1" applyBorder="1"/>
    <xf numFmtId="9" fontId="1" fillId="0" borderId="0" xfId="9" applyNumberFormat="1" applyFont="1"/>
    <xf numFmtId="169" fontId="11" fillId="0" borderId="6" xfId="6" applyNumberFormat="1" applyFont="1" applyBorder="1"/>
    <xf numFmtId="9" fontId="11" fillId="0" borderId="0" xfId="6" applyFont="1" applyBorder="1"/>
    <xf numFmtId="0" fontId="11" fillId="0" borderId="0" xfId="10" applyFont="1" applyAlignment="1">
      <alignment horizontal="left" indent="17"/>
    </xf>
    <xf numFmtId="0" fontId="11" fillId="0" borderId="0" xfId="10" applyFont="1"/>
    <xf numFmtId="0" fontId="1" fillId="0" borderId="5" xfId="10" applyFont="1" applyBorder="1" applyAlignment="1">
      <alignment horizontal="left" indent="5"/>
    </xf>
    <xf numFmtId="0" fontId="1" fillId="0" borderId="0" xfId="10" applyFont="1" applyBorder="1" applyAlignment="1">
      <alignment horizontal="left" indent="5"/>
    </xf>
    <xf numFmtId="0" fontId="11" fillId="0" borderId="7" xfId="10" applyFont="1" applyBorder="1" applyAlignment="1">
      <alignment wrapText="1"/>
    </xf>
    <xf numFmtId="0" fontId="3" fillId="0" borderId="4" xfId="10" applyFont="1" applyBorder="1" applyAlignment="1">
      <alignment horizontal="center" wrapText="1"/>
    </xf>
    <xf numFmtId="0" fontId="3" fillId="0" borderId="10" xfId="10" applyFont="1" applyBorder="1" applyAlignment="1">
      <alignment horizontal="center" wrapText="1"/>
    </xf>
    <xf numFmtId="0" fontId="13" fillId="0" borderId="5" xfId="10" applyFont="1" applyBorder="1" applyAlignment="1">
      <alignment horizontal="center" wrapText="1"/>
    </xf>
    <xf numFmtId="9" fontId="3" fillId="0" borderId="0" xfId="9" applyNumberFormat="1" applyFont="1" applyAlignment="1">
      <alignment horizontal="center" wrapText="1"/>
    </xf>
    <xf numFmtId="0" fontId="11" fillId="0" borderId="7" xfId="10" applyFont="1" applyBorder="1"/>
    <xf numFmtId="166" fontId="1" fillId="0" borderId="4" xfId="7" applyNumberFormat="1" applyFont="1" applyBorder="1"/>
    <xf numFmtId="9" fontId="1" fillId="0" borderId="0" xfId="6" applyFont="1"/>
    <xf numFmtId="0" fontId="11" fillId="0" borderId="8" xfId="10" applyFont="1" applyBorder="1"/>
    <xf numFmtId="166" fontId="11" fillId="0" borderId="6" xfId="10" applyNumberFormat="1" applyFont="1" applyBorder="1"/>
    <xf numFmtId="166" fontId="11" fillId="0" borderId="9" xfId="10" applyNumberFormat="1" applyFont="1" applyBorder="1"/>
    <xf numFmtId="166" fontId="11" fillId="0" borderId="0" xfId="10" applyNumberFormat="1" applyFont="1" applyBorder="1"/>
    <xf numFmtId="0" fontId="1" fillId="0" borderId="0" xfId="10" applyFont="1" applyBorder="1"/>
    <xf numFmtId="0" fontId="11" fillId="0" borderId="0" xfId="10" applyFont="1" applyBorder="1"/>
    <xf numFmtId="0" fontId="14" fillId="0" borderId="0" xfId="0" applyFont="1" applyBorder="1" applyAlignment="1"/>
    <xf numFmtId="0" fontId="1" fillId="0" borderId="0" xfId="0" applyFont="1" applyFill="1" applyBorder="1" applyAlignment="1">
      <alignment horizontal="left" indent="4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164" fontId="1" fillId="0" borderId="3" xfId="0" applyNumberFormat="1" applyFont="1" applyFill="1" applyBorder="1"/>
    <xf numFmtId="164" fontId="1" fillId="0" borderId="3" xfId="2" applyNumberFormat="1" applyFont="1" applyFill="1" applyBorder="1" applyAlignment="1">
      <alignment horizontal="left"/>
    </xf>
    <xf numFmtId="164" fontId="7" fillId="0" borderId="3" xfId="2" applyNumberFormat="1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168" fontId="1" fillId="0" borderId="0" xfId="0" applyNumberFormat="1" applyFont="1" applyFill="1" applyAlignment="1">
      <alignment horizontal="left"/>
    </xf>
    <xf numFmtId="0" fontId="11" fillId="0" borderId="0" xfId="9" applyFont="1" applyFill="1" applyAlignment="1">
      <alignment horizontal="left" indent="16"/>
    </xf>
    <xf numFmtId="0" fontId="1" fillId="0" borderId="0" xfId="9" applyFont="1" applyFill="1" applyBorder="1" applyAlignment="1"/>
    <xf numFmtId="0" fontId="11" fillId="0" borderId="0" xfId="9" applyFont="1" applyFill="1" applyBorder="1"/>
    <xf numFmtId="0" fontId="3" fillId="0" borderId="0" xfId="9" applyFont="1" applyFill="1" applyBorder="1" applyAlignment="1">
      <alignment horizontal="center"/>
    </xf>
    <xf numFmtId="0" fontId="13" fillId="0" borderId="0" xfId="9" applyFont="1" applyFill="1" applyBorder="1" applyAlignment="1">
      <alignment horizontal="center"/>
    </xf>
    <xf numFmtId="166" fontId="1" fillId="0" borderId="4" xfId="7" applyNumberFormat="1" applyFont="1" applyFill="1" applyBorder="1"/>
    <xf numFmtId="169" fontId="1" fillId="0" borderId="4" xfId="6" applyNumberFormat="1" applyFont="1" applyFill="1" applyBorder="1"/>
    <xf numFmtId="166" fontId="11" fillId="0" borderId="4" xfId="8" applyNumberFormat="1" applyFont="1" applyFill="1" applyBorder="1"/>
    <xf numFmtId="9" fontId="1" fillId="0" borderId="0" xfId="9" applyNumberFormat="1" applyFont="1" applyFill="1"/>
    <xf numFmtId="0" fontId="11" fillId="0" borderId="2" xfId="9" applyFont="1" applyFill="1" applyBorder="1"/>
    <xf numFmtId="166" fontId="11" fillId="0" borderId="6" xfId="9" applyNumberFormat="1" applyFont="1" applyFill="1" applyBorder="1"/>
    <xf numFmtId="169" fontId="11" fillId="0" borderId="6" xfId="6" applyNumberFormat="1" applyFont="1" applyFill="1" applyBorder="1"/>
    <xf numFmtId="166" fontId="11" fillId="0" borderId="0" xfId="9" applyNumberFormat="1" applyFont="1" applyFill="1" applyBorder="1"/>
    <xf numFmtId="9" fontId="11" fillId="0" borderId="0" xfId="6" applyFont="1" applyFill="1" applyBorder="1"/>
    <xf numFmtId="166" fontId="1" fillId="0" borderId="0" xfId="9" applyNumberFormat="1" applyFont="1" applyFill="1" applyBorder="1"/>
    <xf numFmtId="166" fontId="11" fillId="0" borderId="0" xfId="10" applyNumberFormat="1" applyFont="1" applyFill="1" applyBorder="1"/>
    <xf numFmtId="0" fontId="1" fillId="0" borderId="0" xfId="12" applyFont="1" applyFill="1" applyAlignment="1">
      <alignment horizontal="center" wrapText="1"/>
    </xf>
    <xf numFmtId="0" fontId="1" fillId="0" borderId="0" xfId="9" applyFont="1" applyFill="1" applyBorder="1" applyAlignment="1">
      <alignment horizontal="center" wrapText="1"/>
    </xf>
    <xf numFmtId="0" fontId="1" fillId="0" borderId="0" xfId="9" applyFont="1" applyFill="1" applyBorder="1" applyAlignment="1">
      <alignment horizontal="center" vertical="center" wrapText="1"/>
    </xf>
  </cellXfs>
  <cellStyles count="15">
    <cellStyle name="Comma" xfId="1" builtinId="3"/>
    <cellStyle name="Comma 10" xfId="8"/>
    <cellStyle name="Comma 2" xfId="3"/>
    <cellStyle name="Comma 2 6" xfId="7"/>
    <cellStyle name="Currency" xfId="2" builtinId="4"/>
    <cellStyle name="Currency 10 5" xfId="13"/>
    <cellStyle name="Currency 2" xfId="5"/>
    <cellStyle name="Hyperlink 8" xfId="11"/>
    <cellStyle name="Normal" xfId="0" builtinId="0"/>
    <cellStyle name="Normal - Style2 2" xfId="12"/>
    <cellStyle name="Normal 2" xfId="4"/>
    <cellStyle name="Normal 2 2 2" xfId="9"/>
    <cellStyle name="Normal 2 26" xfId="10"/>
    <cellStyle name="Percent 10 10" xfId="14"/>
    <cellStyle name="Percent 2 2" xfId="6"/>
  </cellStyles>
  <dxfs count="0"/>
  <tableStyles count="0" defaultTableStyle="TableStyleMedium9" defaultPivotStyle="PivotStyleLight16"/>
  <colors>
    <mruColors>
      <color rgb="FFFE7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tabSelected="1" zoomScale="84" zoomScaleNormal="84" zoomScalePageLayoutView="85" workbookViewId="0">
      <selection activeCell="L19" sqref="L19"/>
    </sheetView>
  </sheetViews>
  <sheetFormatPr defaultColWidth="9.109375" defaultRowHeight="13.2" x14ac:dyDescent="0.25"/>
  <cols>
    <col min="1" max="1" width="57.44140625" style="4" customWidth="1"/>
    <col min="2" max="4" width="22.44140625" style="4" customWidth="1"/>
    <col min="5" max="5" width="18.33203125" style="4" customWidth="1"/>
    <col min="6" max="6" width="17.88671875" style="4" customWidth="1"/>
    <col min="7" max="7" width="17.5546875" style="4" customWidth="1"/>
    <col min="8" max="8" width="18.109375" style="4" customWidth="1"/>
    <col min="9" max="9" width="18.33203125" style="4" customWidth="1"/>
    <col min="10" max="10" width="12.109375" style="4" customWidth="1"/>
    <col min="11" max="11" width="15.88671875" style="4" customWidth="1"/>
    <col min="12" max="12" width="13.109375" style="4" customWidth="1"/>
    <col min="13" max="13" width="13.33203125" style="4" customWidth="1"/>
    <col min="14" max="14" width="12.33203125" style="4" customWidth="1"/>
    <col min="15" max="15" width="13.33203125" style="4" customWidth="1"/>
    <col min="16" max="16384" width="9.109375" style="4"/>
  </cols>
  <sheetData>
    <row r="1" spans="1:19" x14ac:dyDescent="0.25">
      <c r="S1" s="2"/>
    </row>
    <row r="2" spans="1:19" x14ac:dyDescent="0.25">
      <c r="O2" s="21"/>
    </row>
    <row r="3" spans="1:19" x14ac:dyDescent="0.25">
      <c r="A3" s="48"/>
      <c r="E3" s="4" t="s">
        <v>0</v>
      </c>
    </row>
    <row r="4" spans="1:19" x14ac:dyDescent="0.25">
      <c r="A4" s="48"/>
      <c r="S4" s="2"/>
    </row>
    <row r="5" spans="1:19" x14ac:dyDescent="0.25">
      <c r="E5" s="4" t="s">
        <v>1</v>
      </c>
      <c r="J5" s="21"/>
    </row>
    <row r="6" spans="1:19" x14ac:dyDescent="0.25">
      <c r="S6" s="2"/>
    </row>
    <row r="7" spans="1:19" x14ac:dyDescent="0.25">
      <c r="A7" s="48"/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67</v>
      </c>
      <c r="M7" s="10" t="s">
        <v>68</v>
      </c>
      <c r="N7" s="10" t="s">
        <v>69</v>
      </c>
      <c r="O7" s="10" t="s">
        <v>70</v>
      </c>
      <c r="P7" s="48"/>
    </row>
    <row r="8" spans="1:19" x14ac:dyDescent="0.25">
      <c r="A8" s="48" t="s">
        <v>21</v>
      </c>
      <c r="B8" s="45" t="s">
        <v>12</v>
      </c>
      <c r="C8" s="45" t="s">
        <v>63</v>
      </c>
      <c r="D8" s="45" t="s">
        <v>64</v>
      </c>
      <c r="E8" s="48" t="s">
        <v>13</v>
      </c>
      <c r="F8" s="49" t="s">
        <v>103</v>
      </c>
      <c r="G8" s="48"/>
      <c r="H8" s="45" t="s">
        <v>65</v>
      </c>
      <c r="I8" s="45" t="s">
        <v>66</v>
      </c>
      <c r="J8" s="108">
        <v>2016</v>
      </c>
      <c r="K8" s="48" t="s">
        <v>154</v>
      </c>
      <c r="L8" s="48" t="s">
        <v>14</v>
      </c>
      <c r="M8" s="48"/>
      <c r="N8" s="40" t="s">
        <v>15</v>
      </c>
      <c r="O8" s="40"/>
      <c r="P8" s="48"/>
      <c r="S8" s="2"/>
    </row>
    <row r="9" spans="1:19" x14ac:dyDescent="0.25">
      <c r="A9" s="48"/>
      <c r="B9" s="109" t="s">
        <v>149</v>
      </c>
      <c r="C9" s="11" t="str">
        <f>B9</f>
        <v>7/2016 to 6/2017 (A)</v>
      </c>
      <c r="D9" s="11" t="str">
        <f>C9</f>
        <v>7/2016 to 6/2017 (A)</v>
      </c>
      <c r="E9" s="34" t="s">
        <v>150</v>
      </c>
      <c r="F9" s="11" t="s">
        <v>16</v>
      </c>
      <c r="G9" s="11" t="s">
        <v>17</v>
      </c>
      <c r="H9" s="8" t="str">
        <f>E9</f>
        <v>7/2016 to 6/2017 (B)</v>
      </c>
      <c r="I9" s="8" t="str">
        <f>H9</f>
        <v>7/2016 to 6/2017 (B)</v>
      </c>
      <c r="J9" s="12" t="s">
        <v>22</v>
      </c>
      <c r="K9" s="12" t="s">
        <v>23</v>
      </c>
      <c r="L9" s="11" t="s">
        <v>16</v>
      </c>
      <c r="M9" s="11" t="s">
        <v>17</v>
      </c>
      <c r="N9" s="11" t="s">
        <v>18</v>
      </c>
      <c r="O9" s="11" t="s">
        <v>19</v>
      </c>
      <c r="P9" s="48"/>
    </row>
    <row r="10" spans="1:19" x14ac:dyDescent="0.25">
      <c r="A10" s="48" t="s">
        <v>105</v>
      </c>
      <c r="B10" s="26">
        <v>103624.89553681697</v>
      </c>
      <c r="C10" s="26">
        <v>53817.649520030798</v>
      </c>
      <c r="D10" s="26">
        <v>1678.4342940926217</v>
      </c>
      <c r="E10" s="26">
        <v>-19937.254967748071</v>
      </c>
      <c r="F10" s="2">
        <f>$E10*VLOOKUP($A10,'Page 6'!$A$7:$H$15,8,FALSE)</f>
        <v>0</v>
      </c>
      <c r="G10" s="83">
        <f>$E10*VLOOKUP($A10,'Page 6'!$A$7:$H$15,7,FALSE)</f>
        <v>-19937.254967748071</v>
      </c>
      <c r="H10" s="26">
        <v>37165.259929149994</v>
      </c>
      <c r="I10" s="26">
        <v>2012.8299220603149</v>
      </c>
      <c r="J10" s="48"/>
      <c r="K10" s="48"/>
      <c r="L10" s="45"/>
      <c r="M10" s="45"/>
      <c r="N10" s="45"/>
      <c r="O10" s="45"/>
      <c r="P10" s="48"/>
      <c r="Q10" s="1"/>
      <c r="S10" s="9"/>
    </row>
    <row r="11" spans="1:19" x14ac:dyDescent="0.25">
      <c r="A11" s="48" t="s">
        <v>106</v>
      </c>
      <c r="B11" s="26">
        <v>289679.82252055674</v>
      </c>
      <c r="C11" s="26">
        <v>75058.497749855058</v>
      </c>
      <c r="D11" s="26">
        <v>121340.01790016243</v>
      </c>
      <c r="E11" s="26">
        <v>283439.52538309735</v>
      </c>
      <c r="F11" s="2">
        <f>$E11*VLOOKUP($A11,'Page 6'!$A$7:$H$15,8,FALSE)</f>
        <v>71497.230382067704</v>
      </c>
      <c r="G11" s="83">
        <f>$E11*VLOOKUP($A11,'Page 6'!$A$7:$H$15,7,FALSE)</f>
        <v>211942.29500102965</v>
      </c>
      <c r="H11" s="26">
        <v>65656.810373404151</v>
      </c>
      <c r="I11" s="26">
        <v>17407.463440700052</v>
      </c>
      <c r="J11" s="48"/>
      <c r="K11" s="48"/>
      <c r="L11" s="45"/>
      <c r="M11" s="45"/>
      <c r="N11" s="45"/>
      <c r="O11" s="45"/>
      <c r="P11" s="48"/>
      <c r="Q11" s="1"/>
      <c r="S11" s="9"/>
    </row>
    <row r="12" spans="1:19" x14ac:dyDescent="0.25">
      <c r="A12" s="48" t="s">
        <v>108</v>
      </c>
      <c r="B12" s="26">
        <v>277903.21221079858</v>
      </c>
      <c r="C12" s="26">
        <v>94535.327180439868</v>
      </c>
      <c r="D12" s="26">
        <v>-14665.639592257838</v>
      </c>
      <c r="E12" s="26">
        <v>241430.02888888997</v>
      </c>
      <c r="F12" s="2">
        <f>$E12*VLOOKUP($A12,'Page 6'!$A$7:$H$15,8,FALSE)</f>
        <v>0</v>
      </c>
      <c r="G12" s="83">
        <f>$E12*VLOOKUP($A12,'Page 6'!$A$7:$H$15,7,FALSE)</f>
        <v>241430.02888888997</v>
      </c>
      <c r="H12" s="26">
        <v>60891.396016604995</v>
      </c>
      <c r="I12" s="26">
        <v>114.32337531014055</v>
      </c>
      <c r="J12" s="48"/>
      <c r="K12" s="48"/>
      <c r="L12" s="45"/>
      <c r="M12" s="45"/>
      <c r="N12" s="45"/>
      <c r="O12" s="45"/>
      <c r="P12" s="48"/>
    </row>
    <row r="13" spans="1:19" x14ac:dyDescent="0.25">
      <c r="A13" s="1" t="s">
        <v>109</v>
      </c>
      <c r="B13" s="26">
        <v>897034.41607555328</v>
      </c>
      <c r="C13" s="26">
        <v>62303.46724150001</v>
      </c>
      <c r="D13" s="26">
        <v>-19489.97092603955</v>
      </c>
      <c r="E13" s="26">
        <v>489304.6808498649</v>
      </c>
      <c r="F13" s="2">
        <f>$E13*VLOOKUP($A13,'Page 6'!$A$7:$H$15,8,FALSE)</f>
        <v>225672.34002268896</v>
      </c>
      <c r="G13" s="83">
        <f>$E13*VLOOKUP($A13,'Page 6'!$A$7:$H$15,7,FALSE)</f>
        <v>263632.34082717594</v>
      </c>
      <c r="H13" s="26">
        <v>43396.296918749991</v>
      </c>
      <c r="I13" s="26">
        <v>-367.21694734470225</v>
      </c>
      <c r="J13" s="48"/>
      <c r="K13" s="48"/>
      <c r="L13" s="45"/>
      <c r="M13" s="45"/>
      <c r="N13" s="45"/>
      <c r="O13" s="45"/>
      <c r="P13" s="48"/>
    </row>
    <row r="14" spans="1:19" x14ac:dyDescent="0.25">
      <c r="A14" s="48" t="s">
        <v>107</v>
      </c>
      <c r="B14" s="65">
        <v>754887.44595320581</v>
      </c>
      <c r="C14" s="65">
        <v>306416.30165376596</v>
      </c>
      <c r="D14" s="65">
        <v>99094.613854376425</v>
      </c>
      <c r="E14" s="26">
        <v>547867.87037239328</v>
      </c>
      <c r="F14" s="2">
        <f>$E14*VLOOKUP($A14,'Page 6'!$A$7:$H$15,8,FALSE)</f>
        <v>0</v>
      </c>
      <c r="G14" s="83">
        <f>$E14*VLOOKUP($A14,'Page 6'!$A$7:$H$15,7,FALSE)</f>
        <v>547867.87037239328</v>
      </c>
      <c r="H14" s="26">
        <v>575490.30267699412</v>
      </c>
      <c r="I14" s="26">
        <v>106629.50477672248</v>
      </c>
      <c r="J14" s="48"/>
      <c r="K14" s="48"/>
      <c r="L14" s="45"/>
      <c r="M14" s="45"/>
      <c r="N14" s="45"/>
      <c r="O14" s="45"/>
      <c r="P14" s="48"/>
    </row>
    <row r="15" spans="1:19" x14ac:dyDescent="0.25">
      <c r="A15" s="1" t="s">
        <v>110</v>
      </c>
      <c r="B15" s="26">
        <v>261860.180548195</v>
      </c>
      <c r="C15" s="26">
        <v>60228.44522790701</v>
      </c>
      <c r="D15" s="26">
        <v>27064.590259676865</v>
      </c>
      <c r="E15" s="26">
        <v>224209.3835880883</v>
      </c>
      <c r="F15" s="2">
        <f>$E15*VLOOKUP($A15,'Page 6'!$A$7:$H$15,8,FALSE)</f>
        <v>0</v>
      </c>
      <c r="G15" s="83">
        <f>$E15*VLOOKUP($A15,'Page 6'!$A$7:$H$15,7,FALSE)</f>
        <v>224209.3835880883</v>
      </c>
      <c r="H15" s="26">
        <v>64998.622629127021</v>
      </c>
      <c r="I15" s="26">
        <v>35210.632350497057</v>
      </c>
      <c r="J15" s="48"/>
      <c r="K15" s="48"/>
      <c r="L15" s="45"/>
      <c r="M15" s="45"/>
      <c r="N15" s="45"/>
      <c r="O15" s="45"/>
      <c r="P15" s="48"/>
    </row>
    <row r="16" spans="1:19" x14ac:dyDescent="0.25">
      <c r="A16" s="48" t="s">
        <v>104</v>
      </c>
      <c r="B16" s="65">
        <v>1555954.842679678</v>
      </c>
      <c r="C16" s="65">
        <v>951264.97883916134</v>
      </c>
      <c r="D16" s="65">
        <v>118947.28912523294</v>
      </c>
      <c r="E16" s="26">
        <v>2259660.9083299241</v>
      </c>
      <c r="F16" s="2">
        <f>$E16*VLOOKUP($A16,'Page 6'!$A$7:$H$15,8,FALSE)</f>
        <v>580.85989202347571</v>
      </c>
      <c r="G16" s="83">
        <f>$E16*VLOOKUP($A16,'Page 6'!$A$7:$H$15,7,FALSE)</f>
        <v>2259080.0484379008</v>
      </c>
      <c r="H16" s="26">
        <v>1219244.4001810357</v>
      </c>
      <c r="I16" s="26">
        <v>609371.37008677889</v>
      </c>
      <c r="J16" s="48"/>
      <c r="K16" s="48"/>
      <c r="L16" s="45"/>
      <c r="M16" s="45"/>
      <c r="N16" s="45"/>
      <c r="O16" s="45"/>
      <c r="P16" s="48"/>
    </row>
    <row r="17" spans="1:16" x14ac:dyDescent="0.25">
      <c r="A17" s="48" t="s">
        <v>137</v>
      </c>
      <c r="B17" s="65">
        <v>548383.07083459746</v>
      </c>
      <c r="C17" s="65">
        <v>0</v>
      </c>
      <c r="D17" s="65">
        <v>150927.50523829638</v>
      </c>
      <c r="E17" s="26">
        <v>722772.24509919039</v>
      </c>
      <c r="F17" s="2">
        <f>$E17*VLOOKUP($A17,'Page 6'!$A$7:$H$15,8,FALSE)</f>
        <v>0</v>
      </c>
      <c r="G17" s="83">
        <f>$E17*VLOOKUP($A17,'Page 6'!$A$7:$H$15,7,FALSE)</f>
        <v>722772.24509919039</v>
      </c>
      <c r="H17" s="26">
        <v>0</v>
      </c>
      <c r="I17" s="26">
        <v>131569.12324484737</v>
      </c>
      <c r="J17" s="48"/>
      <c r="K17" s="48"/>
      <c r="L17" s="45"/>
      <c r="M17" s="45"/>
      <c r="N17" s="45"/>
      <c r="O17" s="45"/>
      <c r="P17" s="48"/>
    </row>
    <row r="18" spans="1:16" s="48" customFormat="1" x14ac:dyDescent="0.25">
      <c r="A18" s="48" t="s">
        <v>138</v>
      </c>
      <c r="B18" s="65">
        <v>13221.534449999999</v>
      </c>
      <c r="C18" s="65">
        <v>0</v>
      </c>
      <c r="D18" s="65">
        <v>-1137.5209109976172</v>
      </c>
      <c r="E18" s="26">
        <v>13306.809359155131</v>
      </c>
      <c r="F18" s="2">
        <f>$E18*VLOOKUP($A18,'Page 6'!$A$7:$H$15,8,FALSE)</f>
        <v>0</v>
      </c>
      <c r="G18" s="83">
        <f>$E18*VLOOKUP($A18,'Page 6'!$A$7:$H$15,7,FALSE)</f>
        <v>13306.809359155131</v>
      </c>
      <c r="H18" s="26">
        <v>0</v>
      </c>
      <c r="I18" s="26">
        <v>-1330.6809359155131</v>
      </c>
      <c r="L18" s="45"/>
      <c r="M18" s="45"/>
      <c r="N18" s="45"/>
      <c r="O18" s="45"/>
    </row>
    <row r="19" spans="1:16" x14ac:dyDescent="0.25">
      <c r="A19" s="110" t="s">
        <v>142</v>
      </c>
      <c r="B19" s="26">
        <v>255722.40000000002</v>
      </c>
      <c r="C19" s="26"/>
      <c r="D19" s="26"/>
      <c r="E19" s="26">
        <v>307527.59999999998</v>
      </c>
      <c r="F19" s="26">
        <v>128995.64662199185</v>
      </c>
      <c r="G19" s="26">
        <v>178531.95337800815</v>
      </c>
      <c r="H19" s="26"/>
      <c r="I19" s="26"/>
      <c r="J19" s="48"/>
      <c r="K19" s="48"/>
      <c r="L19" s="26">
        <v>108388.9</v>
      </c>
      <c r="M19" s="26">
        <v>150011.90000000002</v>
      </c>
      <c r="N19" s="44"/>
      <c r="O19" s="44"/>
      <c r="P19" s="48"/>
    </row>
    <row r="20" spans="1:16" x14ac:dyDescent="0.25">
      <c r="A20" s="111" t="s">
        <v>119</v>
      </c>
      <c r="B20" s="26"/>
      <c r="C20" s="26"/>
      <c r="D20" s="26"/>
      <c r="E20" s="26"/>
      <c r="F20" s="26"/>
      <c r="G20" s="43"/>
      <c r="H20" s="26"/>
      <c r="I20" s="26"/>
      <c r="J20" s="48"/>
      <c r="K20" s="48"/>
      <c r="L20" s="26">
        <v>1808832.6799999997</v>
      </c>
      <c r="M20" s="26">
        <v>10673638.519999992</v>
      </c>
      <c r="N20" s="45"/>
      <c r="O20" s="45"/>
      <c r="P20" s="48"/>
    </row>
    <row r="21" spans="1:16" x14ac:dyDescent="0.25">
      <c r="A21" s="35" t="s">
        <v>33</v>
      </c>
      <c r="B21" s="37">
        <f>SUM(B10:B20)</f>
        <v>4958271.8208094016</v>
      </c>
      <c r="C21" s="37">
        <f>SUM(C10:C20)</f>
        <v>1603624.6674126601</v>
      </c>
      <c r="D21" s="37">
        <f>SUM(D10:D20)</f>
        <v>483759.31924254261</v>
      </c>
      <c r="E21" s="37">
        <f>SUM(E10:E20)</f>
        <v>5069581.7969028549</v>
      </c>
      <c r="F21" s="37">
        <f t="shared" ref="F21:I21" si="0">SUM(F10:F20)</f>
        <v>426746.07691877207</v>
      </c>
      <c r="G21" s="37">
        <f t="shared" si="0"/>
        <v>4642835.7199840834</v>
      </c>
      <c r="H21" s="37">
        <f t="shared" si="0"/>
        <v>2066843.088725066</v>
      </c>
      <c r="I21" s="37">
        <f t="shared" si="0"/>
        <v>900617.3493136561</v>
      </c>
      <c r="J21" s="112">
        <v>-1234243.3540537427</v>
      </c>
      <c r="K21" s="112">
        <v>3259497.9034390226</v>
      </c>
      <c r="L21" s="36">
        <f>L19+L20</f>
        <v>1917221.5799999996</v>
      </c>
      <c r="M21" s="36">
        <f>M19+M20</f>
        <v>10823650.419999992</v>
      </c>
      <c r="N21" s="36">
        <f>F21+J21-L21</f>
        <v>-2724718.8571349704</v>
      </c>
      <c r="O21" s="36">
        <f>G21+H21+I21+K21-M21</f>
        <v>46143.641461836174</v>
      </c>
      <c r="P21" s="48"/>
    </row>
    <row r="22" spans="1:16" x14ac:dyDescent="0.25">
      <c r="A22" s="48"/>
      <c r="B22" s="48"/>
      <c r="C22" s="14"/>
      <c r="D22" s="48"/>
      <c r="E22" s="3"/>
      <c r="F22" s="48"/>
      <c r="G22" s="48"/>
      <c r="H22" s="3"/>
      <c r="I22" s="3"/>
      <c r="J22" s="48"/>
      <c r="K22" s="48"/>
      <c r="L22" s="48"/>
      <c r="M22" s="48"/>
      <c r="N22" s="48"/>
      <c r="O22" s="48"/>
      <c r="P22" s="48"/>
    </row>
    <row r="23" spans="1:16" x14ac:dyDescent="0.25">
      <c r="A23" s="49" t="s">
        <v>162</v>
      </c>
      <c r="B23" s="48"/>
      <c r="C23" s="48"/>
      <c r="D23" s="48"/>
      <c r="E23" s="48"/>
      <c r="F23" s="48"/>
      <c r="G23" s="48"/>
      <c r="H23" s="48"/>
      <c r="I23" s="2"/>
      <c r="J23" s="48"/>
      <c r="K23" s="48"/>
      <c r="L23" s="48"/>
      <c r="M23" s="48"/>
      <c r="N23" s="48"/>
      <c r="O23" s="48"/>
      <c r="P23" s="48"/>
    </row>
    <row r="24" spans="1:16" x14ac:dyDescent="0.25">
      <c r="A24" s="49" t="s">
        <v>151</v>
      </c>
      <c r="B24" s="48"/>
      <c r="C24" s="48"/>
      <c r="D24" s="48"/>
      <c r="E24" s="48"/>
      <c r="F24" s="48"/>
      <c r="G24" s="48"/>
      <c r="H24" s="3"/>
      <c r="I24" s="48"/>
      <c r="J24" s="49"/>
      <c r="K24" s="27"/>
      <c r="L24" s="48"/>
      <c r="M24" s="48"/>
      <c r="N24" s="48"/>
      <c r="O24" s="48"/>
      <c r="P24" s="48"/>
    </row>
    <row r="25" spans="1:16" x14ac:dyDescent="0.25">
      <c r="A25" s="49" t="s">
        <v>134</v>
      </c>
      <c r="B25" s="48"/>
      <c r="C25" s="48"/>
      <c r="D25" s="48"/>
      <c r="E25" s="48"/>
      <c r="F25" s="48"/>
      <c r="G25" s="48"/>
      <c r="H25" s="7"/>
      <c r="I25" s="3"/>
      <c r="J25" s="49"/>
      <c r="K25" s="48"/>
      <c r="L25" s="48"/>
      <c r="M25" s="48"/>
      <c r="N25" s="48"/>
      <c r="O25" s="48"/>
      <c r="P25" s="48"/>
    </row>
    <row r="26" spans="1:16" x14ac:dyDescent="0.25">
      <c r="A26" s="49" t="s">
        <v>120</v>
      </c>
      <c r="B26" s="48"/>
      <c r="C26" s="48"/>
      <c r="D26" s="48"/>
      <c r="E26" s="3"/>
      <c r="F26" s="48"/>
      <c r="G26" s="48"/>
      <c r="H26" s="7"/>
      <c r="I26" s="48"/>
      <c r="J26" s="48"/>
      <c r="K26" s="48"/>
      <c r="L26" s="48"/>
      <c r="M26" s="48"/>
      <c r="N26" s="48"/>
      <c r="O26" s="48"/>
      <c r="P26" s="48"/>
    </row>
    <row r="27" spans="1:16" x14ac:dyDescent="0.25">
      <c r="A27" s="49" t="s">
        <v>121</v>
      </c>
      <c r="B27" s="48"/>
      <c r="C27" s="48"/>
      <c r="D27" s="48"/>
      <c r="E27" s="48"/>
      <c r="F27" s="48"/>
      <c r="G27" s="48"/>
      <c r="H27" s="3"/>
      <c r="I27" s="48"/>
      <c r="J27" s="48"/>
      <c r="K27" s="48"/>
      <c r="L27" s="48"/>
      <c r="M27" s="48"/>
      <c r="N27" s="48"/>
      <c r="O27" s="48"/>
      <c r="P27" s="48"/>
    </row>
    <row r="28" spans="1:16" x14ac:dyDescent="0.25">
      <c r="A28" s="49" t="s">
        <v>152</v>
      </c>
      <c r="B28" s="48"/>
      <c r="C28" s="48"/>
      <c r="D28" s="48"/>
      <c r="E28" s="48"/>
      <c r="F28" s="48"/>
      <c r="G28" s="48"/>
      <c r="H28" s="7"/>
      <c r="I28" s="48"/>
      <c r="J28" s="48"/>
      <c r="K28" s="48"/>
      <c r="L28" s="48"/>
      <c r="M28" s="48"/>
      <c r="N28" s="48"/>
      <c r="O28" s="48"/>
      <c r="P28" s="48"/>
    </row>
    <row r="29" spans="1:16" x14ac:dyDescent="0.25">
      <c r="A29" s="48" t="s">
        <v>71</v>
      </c>
      <c r="B29" s="48"/>
      <c r="C29" s="48"/>
      <c r="D29" s="48"/>
      <c r="E29" s="48"/>
      <c r="F29" s="48"/>
      <c r="G29" s="48"/>
      <c r="H29" s="7"/>
      <c r="I29" s="48"/>
      <c r="J29" s="48"/>
      <c r="K29" s="48"/>
      <c r="L29" s="48"/>
      <c r="M29" s="48"/>
      <c r="N29" s="48"/>
      <c r="O29" s="48"/>
      <c r="P29" s="48"/>
    </row>
    <row r="30" spans="1:16" x14ac:dyDescent="0.25">
      <c r="A30" s="48" t="s">
        <v>72</v>
      </c>
      <c r="B30" s="48"/>
      <c r="C30" s="48"/>
      <c r="D30" s="48"/>
      <c r="E30" s="48"/>
      <c r="F30" s="48"/>
      <c r="G30" s="48"/>
      <c r="H30" s="3"/>
      <c r="I30" s="48"/>
      <c r="J30" s="48"/>
      <c r="K30" s="48"/>
      <c r="L30" s="48"/>
      <c r="M30" s="1"/>
      <c r="N30" s="48"/>
      <c r="O30" s="48"/>
      <c r="P30" s="48"/>
    </row>
    <row r="31" spans="1:16" x14ac:dyDescent="0.25">
      <c r="A31" s="49" t="s">
        <v>141</v>
      </c>
      <c r="B31" s="48"/>
      <c r="C31" s="48"/>
      <c r="D31" s="48"/>
      <c r="E31" s="48"/>
      <c r="F31" s="48"/>
      <c r="G31" s="48"/>
      <c r="H31" s="3"/>
      <c r="I31" s="48"/>
      <c r="J31" s="48"/>
      <c r="K31" s="48"/>
      <c r="L31" s="48"/>
      <c r="M31" s="48"/>
      <c r="N31" s="48"/>
      <c r="O31" s="48"/>
      <c r="P31" s="48"/>
    </row>
    <row r="32" spans="1:16" x14ac:dyDescent="0.25">
      <c r="A32" s="49"/>
      <c r="B32" s="48"/>
      <c r="C32" s="48"/>
      <c r="D32" s="48"/>
      <c r="E32" s="48"/>
      <c r="F32" s="48"/>
      <c r="G32" s="48"/>
      <c r="H32" s="3"/>
      <c r="I32" s="48"/>
      <c r="J32" s="48"/>
      <c r="K32" s="48"/>
      <c r="L32" s="48"/>
      <c r="M32" s="48"/>
      <c r="N32" s="48"/>
      <c r="O32" s="48"/>
      <c r="P32" s="48"/>
    </row>
    <row r="33" spans="1:26" x14ac:dyDescent="0.25">
      <c r="A33" s="48"/>
      <c r="B33" s="48"/>
      <c r="C33" s="48"/>
      <c r="D33" s="48"/>
      <c r="E33" s="15"/>
      <c r="F33" s="15"/>
      <c r="G33" s="15"/>
      <c r="H33" s="15"/>
      <c r="I33" s="15"/>
      <c r="J33" s="15"/>
      <c r="K33" s="48"/>
      <c r="L33" s="48"/>
      <c r="M33" s="48"/>
      <c r="N33" s="48"/>
      <c r="O33" s="48"/>
      <c r="P33" s="48"/>
    </row>
    <row r="34" spans="1:26" x14ac:dyDescent="0.25">
      <c r="A34" s="48"/>
      <c r="B34" s="10" t="s">
        <v>2</v>
      </c>
      <c r="C34" s="10" t="s">
        <v>3</v>
      </c>
      <c r="D34" s="10" t="s">
        <v>4</v>
      </c>
      <c r="E34" s="16" t="s">
        <v>5</v>
      </c>
      <c r="F34" s="16" t="s">
        <v>6</v>
      </c>
      <c r="G34" s="16" t="s">
        <v>7</v>
      </c>
      <c r="H34" s="16" t="s">
        <v>8</v>
      </c>
      <c r="I34" s="16" t="s">
        <v>9</v>
      </c>
      <c r="J34" s="16" t="s">
        <v>10</v>
      </c>
      <c r="K34" s="48"/>
      <c r="L34" s="48"/>
      <c r="M34" s="48"/>
      <c r="N34" s="48"/>
      <c r="O34" s="48"/>
      <c r="P34" s="48"/>
      <c r="Q34" s="10"/>
      <c r="R34" s="10"/>
      <c r="T34" s="10"/>
      <c r="U34" s="10"/>
      <c r="W34" s="10"/>
      <c r="X34" s="10"/>
    </row>
    <row r="35" spans="1:26" x14ac:dyDescent="0.25">
      <c r="A35" s="48" t="s">
        <v>24</v>
      </c>
      <c r="B35" s="48" t="s">
        <v>12</v>
      </c>
      <c r="C35" s="45" t="s">
        <v>63</v>
      </c>
      <c r="D35" s="45" t="s">
        <v>64</v>
      </c>
      <c r="E35" s="48" t="s">
        <v>13</v>
      </c>
      <c r="F35" s="45" t="s">
        <v>65</v>
      </c>
      <c r="G35" s="45" t="s">
        <v>66</v>
      </c>
      <c r="H35" s="13">
        <f>J8</f>
        <v>2016</v>
      </c>
      <c r="I35" s="45" t="s">
        <v>25</v>
      </c>
      <c r="J35" s="41" t="s">
        <v>117</v>
      </c>
      <c r="K35" s="48"/>
      <c r="L35" s="4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48"/>
      <c r="B36" s="11" t="str">
        <f>B9</f>
        <v>7/2016 to 6/2017 (A)</v>
      </c>
      <c r="C36" s="11" t="str">
        <f>B36</f>
        <v>7/2016 to 6/2017 (A)</v>
      </c>
      <c r="D36" s="11" t="str">
        <f>C36</f>
        <v>7/2016 to 6/2017 (A)</v>
      </c>
      <c r="E36" s="8" t="str">
        <f>E9</f>
        <v>7/2016 to 6/2017 (B)</v>
      </c>
      <c r="F36" s="8" t="str">
        <f>E36</f>
        <v>7/2016 to 6/2017 (B)</v>
      </c>
      <c r="G36" s="8" t="str">
        <f>F36</f>
        <v>7/2016 to 6/2017 (B)</v>
      </c>
      <c r="H36" s="11" t="s">
        <v>26</v>
      </c>
      <c r="I36" s="11" t="s">
        <v>27</v>
      </c>
      <c r="J36" s="17" t="s">
        <v>73</v>
      </c>
      <c r="K36" s="1"/>
      <c r="L36" s="1"/>
      <c r="M36" s="13"/>
      <c r="N36" s="1"/>
      <c r="O36" s="13"/>
      <c r="P36" s="1"/>
      <c r="Q36" s="13"/>
      <c r="R36" s="13"/>
      <c r="S36" s="1"/>
      <c r="T36" s="13"/>
      <c r="U36" s="13"/>
      <c r="V36" s="1"/>
      <c r="W36" s="13"/>
      <c r="X36" s="13"/>
      <c r="Y36" s="1"/>
      <c r="Z36" s="1"/>
    </row>
    <row r="37" spans="1:26" s="48" customFormat="1" x14ac:dyDescent="0.25">
      <c r="A37" s="57" t="s">
        <v>155</v>
      </c>
      <c r="B37" s="65">
        <v>15739.595891585615</v>
      </c>
      <c r="C37" s="65">
        <v>1342.0724720802134</v>
      </c>
      <c r="D37" s="65">
        <v>-1065.1906870581126</v>
      </c>
      <c r="E37" s="26">
        <v>1173.3220015248571</v>
      </c>
      <c r="F37" s="26">
        <v>0</v>
      </c>
      <c r="G37" s="26">
        <v>-117.33220015248571</v>
      </c>
      <c r="H37" s="20"/>
      <c r="I37" s="20"/>
      <c r="J37" s="1"/>
      <c r="K37" s="1"/>
      <c r="L37" s="1"/>
      <c r="M37" s="13"/>
      <c r="N37" s="1"/>
      <c r="O37" s="13"/>
      <c r="P37" s="1"/>
      <c r="Q37" s="13"/>
      <c r="R37" s="13"/>
      <c r="S37" s="1"/>
      <c r="T37" s="13"/>
      <c r="U37" s="13"/>
      <c r="V37" s="1"/>
      <c r="W37" s="13"/>
      <c r="X37" s="13"/>
      <c r="Y37" s="1"/>
      <c r="Z37" s="1"/>
    </row>
    <row r="38" spans="1:26" s="48" customFormat="1" x14ac:dyDescent="0.25">
      <c r="A38" s="48" t="s">
        <v>140</v>
      </c>
      <c r="B38" s="65">
        <v>52489.475100000003</v>
      </c>
      <c r="C38" s="65">
        <v>769.55068200000028</v>
      </c>
      <c r="D38" s="65">
        <v>-4381.6347658065451</v>
      </c>
      <c r="E38" s="26">
        <v>121093.35693756974</v>
      </c>
      <c r="F38" s="26">
        <v>0</v>
      </c>
      <c r="G38" s="26">
        <v>-12109.335693756975</v>
      </c>
      <c r="H38" s="20"/>
      <c r="I38" s="20"/>
      <c r="J38" s="1"/>
      <c r="K38" s="1"/>
      <c r="L38" s="1"/>
      <c r="M38" s="13"/>
      <c r="N38" s="1"/>
      <c r="O38" s="13"/>
      <c r="P38" s="1"/>
      <c r="Q38" s="13"/>
      <c r="R38" s="13"/>
      <c r="S38" s="1"/>
      <c r="T38" s="13"/>
      <c r="U38" s="13"/>
      <c r="V38" s="1"/>
      <c r="W38" s="13"/>
      <c r="X38" s="13"/>
      <c r="Y38" s="1"/>
      <c r="Z38" s="1"/>
    </row>
    <row r="39" spans="1:26" s="1" customFormat="1" x14ac:dyDescent="0.25">
      <c r="A39" s="25" t="s">
        <v>133</v>
      </c>
      <c r="B39" s="26">
        <v>898977.61248859158</v>
      </c>
      <c r="C39" s="26">
        <v>96129.484751857963</v>
      </c>
      <c r="D39" s="26">
        <v>251111.39174067311</v>
      </c>
      <c r="E39" s="26">
        <v>796936.95560836443</v>
      </c>
      <c r="F39" s="26">
        <v>145481.82956340947</v>
      </c>
      <c r="G39" s="26">
        <v>312493.11619113054</v>
      </c>
      <c r="H39" s="20"/>
      <c r="I39" s="20"/>
      <c r="K39" s="19"/>
      <c r="L39" s="20"/>
      <c r="M39" s="9"/>
      <c r="Q39" s="9"/>
      <c r="R39" s="5"/>
      <c r="T39" s="13"/>
      <c r="U39" s="13"/>
      <c r="W39" s="13"/>
      <c r="X39" s="13"/>
    </row>
    <row r="40" spans="1:26" x14ac:dyDescent="0.25">
      <c r="A40" s="49" t="s">
        <v>111</v>
      </c>
      <c r="B40" s="26">
        <v>441312.4031531614</v>
      </c>
      <c r="C40" s="26">
        <v>195829.24513495492</v>
      </c>
      <c r="D40" s="26">
        <v>197105.60738175572</v>
      </c>
      <c r="E40" s="26">
        <v>505379.96329821763</v>
      </c>
      <c r="F40" s="26">
        <v>177534.22126211697</v>
      </c>
      <c r="G40" s="26">
        <v>338713.51289104472</v>
      </c>
      <c r="H40" s="18"/>
      <c r="I40" s="18"/>
      <c r="J40" s="1"/>
      <c r="K40" s="19"/>
      <c r="L40" s="19"/>
      <c r="M40" s="9"/>
      <c r="N40" s="1"/>
      <c r="O40" s="1"/>
      <c r="P40" s="1"/>
      <c r="Q40" s="9"/>
      <c r="R40" s="5"/>
      <c r="S40" s="1"/>
      <c r="T40" s="13"/>
      <c r="U40" s="13"/>
      <c r="V40" s="1"/>
      <c r="W40" s="13"/>
      <c r="X40" s="13"/>
      <c r="Y40" s="1"/>
      <c r="Z40" s="1"/>
    </row>
    <row r="41" spans="1:26" x14ac:dyDescent="0.25">
      <c r="A41" s="48" t="s">
        <v>112</v>
      </c>
      <c r="B41" s="26">
        <v>139148.34783258708</v>
      </c>
      <c r="C41" s="26">
        <v>24549.184249158716</v>
      </c>
      <c r="D41" s="26">
        <v>48680.071492936069</v>
      </c>
      <c r="E41" s="26">
        <v>53601.736624284073</v>
      </c>
      <c r="F41" s="26">
        <v>17768.56410371128</v>
      </c>
      <c r="G41" s="26">
        <v>10655.472786035369</v>
      </c>
      <c r="H41" s="18"/>
      <c r="I41" s="18"/>
      <c r="J41" s="1"/>
      <c r="K41" s="19"/>
      <c r="L41" s="20"/>
      <c r="M41" s="9"/>
      <c r="N41" s="1"/>
      <c r="O41" s="1"/>
      <c r="P41" s="1"/>
      <c r="Q41" s="9"/>
      <c r="R41" s="5"/>
      <c r="S41" s="1"/>
      <c r="T41" s="13"/>
      <c r="U41" s="13"/>
      <c r="V41" s="1"/>
      <c r="W41" s="13"/>
      <c r="X41" s="13"/>
      <c r="Y41" s="1"/>
      <c r="Z41" s="1"/>
    </row>
    <row r="42" spans="1:26" x14ac:dyDescent="0.25">
      <c r="A42" s="48" t="s">
        <v>113</v>
      </c>
      <c r="B42" s="26">
        <v>638627.84324696776</v>
      </c>
      <c r="C42" s="26">
        <v>46137.424699615251</v>
      </c>
      <c r="D42" s="26">
        <v>113675.82183495031</v>
      </c>
      <c r="E42" s="26">
        <v>206502.37215010883</v>
      </c>
      <c r="F42" s="26">
        <v>22797.162818690125</v>
      </c>
      <c r="G42" s="26">
        <v>32192.573788573398</v>
      </c>
      <c r="H42" s="18"/>
      <c r="I42" s="18"/>
      <c r="J42" s="1"/>
      <c r="K42" s="19"/>
      <c r="L42" s="20"/>
      <c r="M42" s="9"/>
      <c r="N42" s="1"/>
      <c r="O42" s="1"/>
      <c r="P42" s="1"/>
      <c r="Q42" s="9"/>
      <c r="R42" s="5"/>
      <c r="S42" s="1"/>
      <c r="T42" s="13"/>
      <c r="U42" s="13"/>
      <c r="V42" s="1"/>
      <c r="W42" s="13"/>
      <c r="X42" s="13"/>
      <c r="Y42" s="1"/>
      <c r="Z42" s="1"/>
    </row>
    <row r="43" spans="1:26" x14ac:dyDescent="0.25">
      <c r="A43" s="48" t="s">
        <v>114</v>
      </c>
      <c r="B43" s="26">
        <v>1043272.9887532701</v>
      </c>
      <c r="C43" s="26">
        <v>309354.58302228421</v>
      </c>
      <c r="D43" s="26">
        <v>272831.75044757035</v>
      </c>
      <c r="E43" s="26">
        <v>5791450.6520426441</v>
      </c>
      <c r="F43" s="26">
        <v>375566.99682838778</v>
      </c>
      <c r="G43" s="26">
        <v>1301216.6370777553</v>
      </c>
      <c r="H43" s="18"/>
      <c r="I43" s="18"/>
      <c r="J43" s="1"/>
      <c r="K43" s="19"/>
      <c r="L43" s="20"/>
      <c r="M43" s="9"/>
      <c r="N43" s="1"/>
      <c r="O43" s="1"/>
      <c r="P43" s="1"/>
      <c r="Q43" s="9"/>
      <c r="R43" s="5"/>
      <c r="S43" s="1"/>
      <c r="T43" s="13"/>
      <c r="U43" s="13"/>
      <c r="V43" s="1"/>
      <c r="W43" s="13"/>
      <c r="X43" s="13"/>
      <c r="Y43" s="1"/>
      <c r="Z43" s="1"/>
    </row>
    <row r="44" spans="1:26" x14ac:dyDescent="0.25">
      <c r="A44" s="1" t="s">
        <v>115</v>
      </c>
      <c r="B44" s="26">
        <v>47255.631772825407</v>
      </c>
      <c r="C44" s="26">
        <v>17174.974192689886</v>
      </c>
      <c r="D44" s="26">
        <v>17469.20956611586</v>
      </c>
      <c r="E44" s="26">
        <v>18946.000984310416</v>
      </c>
      <c r="F44" s="26">
        <v>12385.153201804496</v>
      </c>
      <c r="G44" s="26">
        <v>2808.3249133941745</v>
      </c>
      <c r="H44" s="20"/>
      <c r="I44" s="20"/>
      <c r="J44" s="1"/>
      <c r="K44" s="19"/>
      <c r="L44" s="20"/>
      <c r="M44" s="9"/>
      <c r="N44" s="1"/>
      <c r="O44" s="1"/>
      <c r="P44" s="1"/>
      <c r="Q44" s="9"/>
      <c r="R44" s="5"/>
      <c r="S44" s="1"/>
      <c r="T44" s="13"/>
      <c r="U44" s="13"/>
      <c r="V44" s="1"/>
      <c r="W44" s="13"/>
      <c r="X44" s="13"/>
      <c r="Y44" s="1"/>
      <c r="Z44" s="1"/>
    </row>
    <row r="45" spans="1:26" s="1" customFormat="1" x14ac:dyDescent="0.25">
      <c r="A45" s="25" t="s">
        <v>116</v>
      </c>
      <c r="B45" s="26">
        <v>28558.493476232587</v>
      </c>
      <c r="C45" s="26">
        <v>2961.4554678868426</v>
      </c>
      <c r="D45" s="26">
        <v>18593.909220056696</v>
      </c>
      <c r="E45" s="26">
        <v>20406.841419309196</v>
      </c>
      <c r="F45" s="26">
        <v>3479.7124385084785</v>
      </c>
      <c r="G45" s="26">
        <v>12196.5399309513</v>
      </c>
      <c r="H45" s="20"/>
      <c r="I45" s="20"/>
      <c r="K45" s="19"/>
      <c r="L45" s="20"/>
      <c r="M45" s="9"/>
      <c r="Q45" s="9"/>
      <c r="R45" s="5"/>
      <c r="T45" s="13"/>
      <c r="U45" s="13"/>
      <c r="W45" s="13"/>
      <c r="X45" s="13"/>
    </row>
    <row r="46" spans="1:26" s="1" customFormat="1" x14ac:dyDescent="0.25">
      <c r="A46" s="25" t="s">
        <v>122</v>
      </c>
      <c r="B46" s="26">
        <v>79341.787498267106</v>
      </c>
      <c r="C46" s="26">
        <v>8512.0252164849408</v>
      </c>
      <c r="D46" s="26">
        <v>23323.570029545386</v>
      </c>
      <c r="E46" s="26">
        <v>13382.377733542178</v>
      </c>
      <c r="F46" s="26">
        <v>4.8181665343369486</v>
      </c>
      <c r="G46" s="26">
        <v>-1338.237773354218</v>
      </c>
      <c r="H46" s="20"/>
      <c r="I46" s="20"/>
      <c r="K46" s="19"/>
      <c r="L46" s="20"/>
      <c r="M46" s="9"/>
      <c r="Q46" s="9"/>
      <c r="R46" s="5"/>
      <c r="T46" s="13"/>
      <c r="U46" s="13"/>
      <c r="W46" s="13"/>
      <c r="X46" s="13"/>
    </row>
    <row r="47" spans="1:26" x14ac:dyDescent="0.25">
      <c r="A47" s="39" t="s">
        <v>33</v>
      </c>
      <c r="B47" s="36">
        <f t="shared" ref="B47:G47" si="1">SUM(B37:B46)</f>
        <v>3384724.1792134889</v>
      </c>
      <c r="C47" s="36">
        <f t="shared" si="1"/>
        <v>702759.99988901289</v>
      </c>
      <c r="D47" s="36">
        <f t="shared" si="1"/>
        <v>937344.50626073882</v>
      </c>
      <c r="E47" s="36">
        <f t="shared" si="1"/>
        <v>7528873.5787998755</v>
      </c>
      <c r="F47" s="36">
        <f t="shared" si="1"/>
        <v>755018.45838316297</v>
      </c>
      <c r="G47" s="36">
        <f t="shared" si="1"/>
        <v>1996711.2719116211</v>
      </c>
      <c r="H47" s="113">
        <v>1470303.1156549752</v>
      </c>
      <c r="I47" s="36">
        <v>6174255.4111219998</v>
      </c>
      <c r="J47" s="114">
        <f>E47+F47+G47+H47-I47</f>
        <v>5576651.0136276353</v>
      </c>
      <c r="K47" s="48"/>
      <c r="L47" s="48"/>
      <c r="M47" s="48"/>
      <c r="N47" s="48"/>
      <c r="O47" s="48"/>
      <c r="P47" s="48"/>
    </row>
    <row r="48" spans="1:26" x14ac:dyDescent="0.25">
      <c r="A48" s="8"/>
      <c r="B48" s="72"/>
      <c r="C48" s="8"/>
      <c r="D48" s="8"/>
      <c r="E48" s="8"/>
      <c r="F48" s="72"/>
      <c r="G48" s="72"/>
      <c r="H48" s="34"/>
      <c r="I48" s="8"/>
      <c r="J48" s="8"/>
      <c r="K48" s="48"/>
      <c r="L48" s="48"/>
      <c r="M48" s="48"/>
      <c r="N48" s="48"/>
      <c r="O48" s="48"/>
      <c r="P48" s="48"/>
    </row>
    <row r="49" spans="1:26" x14ac:dyDescent="0.25">
      <c r="A49" s="25" t="s">
        <v>139</v>
      </c>
      <c r="B49" s="65">
        <v>1262731.7375174835</v>
      </c>
      <c r="C49" s="65">
        <v>0</v>
      </c>
      <c r="D49" s="65">
        <v>351711.3332575016</v>
      </c>
      <c r="E49" s="26">
        <v>719984.19429726619</v>
      </c>
      <c r="F49" s="26">
        <v>0</v>
      </c>
      <c r="G49" s="26">
        <v>194107.77181271469</v>
      </c>
      <c r="H49" s="115">
        <v>-527338.22875177325</v>
      </c>
      <c r="I49" s="5">
        <v>208480.25233300001</v>
      </c>
      <c r="J49" s="116">
        <f>E49+F49+G49+H49-I49</f>
        <v>178273.48502520757</v>
      </c>
      <c r="K49" s="19"/>
      <c r="L49" s="20"/>
      <c r="M49" s="9"/>
      <c r="N49" s="1"/>
      <c r="O49" s="1"/>
      <c r="P49" s="1"/>
      <c r="Q49" s="9"/>
      <c r="R49" s="5"/>
      <c r="S49" s="1"/>
      <c r="T49" s="13"/>
      <c r="U49" s="13"/>
      <c r="V49" s="1"/>
      <c r="W49" s="13"/>
      <c r="X49" s="13"/>
      <c r="Y49" s="1"/>
      <c r="Z49" s="1"/>
    </row>
    <row r="50" spans="1:26" x14ac:dyDescent="0.25">
      <c r="A50" s="25"/>
      <c r="B50" s="38"/>
      <c r="C50" s="38"/>
      <c r="D50" s="38"/>
      <c r="E50" s="9"/>
      <c r="F50" s="9"/>
      <c r="G50" s="9"/>
      <c r="H50" s="20"/>
      <c r="I50" s="20"/>
      <c r="J50" s="1"/>
      <c r="K50" s="19"/>
      <c r="L50" s="20"/>
      <c r="M50" s="9"/>
      <c r="N50" s="1"/>
      <c r="O50" s="1"/>
      <c r="P50" s="1"/>
      <c r="Q50" s="9"/>
      <c r="R50" s="5"/>
      <c r="S50" s="1"/>
      <c r="T50" s="13"/>
      <c r="U50" s="13"/>
      <c r="V50" s="1"/>
      <c r="W50" s="13"/>
      <c r="X50" s="13"/>
      <c r="Y50" s="1"/>
      <c r="Z50" s="1"/>
    </row>
    <row r="51" spans="1:26" x14ac:dyDescent="0.25">
      <c r="A51" s="49" t="str">
        <f>A23</f>
        <v>(A) Amounts identified in report filed in Case No. 2015-00368 and Case No. 2016-00289.</v>
      </c>
      <c r="B51" s="48"/>
      <c r="C51" s="48"/>
      <c r="D51" s="48"/>
      <c r="E51" s="3"/>
      <c r="F51" s="3"/>
      <c r="G51" s="3"/>
      <c r="H51" s="48"/>
      <c r="I51" s="48"/>
      <c r="J51" s="48"/>
      <c r="K51" s="48"/>
      <c r="L51" s="48"/>
      <c r="M51" s="48"/>
      <c r="N51" s="48"/>
      <c r="O51" s="48"/>
      <c r="P51" s="48"/>
    </row>
    <row r="52" spans="1:26" x14ac:dyDescent="0.25">
      <c r="A52" s="48" t="str">
        <f>A24</f>
        <v>(B) Actual program expenditures, lost revenues (for this period and from prior period DSM measure installations), and shared savings for the period July 1, 2016 through June 30, 2017.</v>
      </c>
      <c r="B52" s="48"/>
      <c r="C52" s="48"/>
      <c r="D52" s="48"/>
      <c r="E52" s="48"/>
      <c r="F52" s="3"/>
      <c r="G52" s="3"/>
      <c r="H52" s="27"/>
      <c r="I52" s="2"/>
      <c r="J52" s="48"/>
      <c r="K52" s="48"/>
      <c r="L52" s="48"/>
      <c r="M52" s="48"/>
      <c r="N52" s="48"/>
      <c r="O52" s="48"/>
      <c r="P52" s="48"/>
    </row>
    <row r="53" spans="1:26" x14ac:dyDescent="0.25">
      <c r="A53" s="49" t="s">
        <v>135</v>
      </c>
      <c r="B53" s="48"/>
      <c r="C53" s="48"/>
      <c r="D53" s="48"/>
      <c r="E53" s="48"/>
      <c r="F53" s="3"/>
      <c r="G53" s="3"/>
      <c r="H53" s="48"/>
      <c r="I53" s="2"/>
      <c r="J53" s="48"/>
      <c r="K53" s="48"/>
      <c r="L53" s="48"/>
      <c r="M53" s="48"/>
      <c r="N53" s="48"/>
      <c r="O53" s="48"/>
      <c r="P53" s="48"/>
    </row>
    <row r="54" spans="1:26" x14ac:dyDescent="0.25">
      <c r="A54" s="49" t="str">
        <f>"(D) "&amp;RIGHT(A28,LEN(A28)-4)</f>
        <v>(D) Revenues collected through the DSM Rider between July 1, 2016 and June 30, 2017.</v>
      </c>
      <c r="B54" s="48"/>
      <c r="C54" s="48"/>
      <c r="D54" s="48"/>
      <c r="E54" s="48"/>
      <c r="F54" s="3"/>
      <c r="G54" s="3"/>
      <c r="H54" s="48"/>
      <c r="I54" s="2"/>
      <c r="J54" s="48"/>
      <c r="K54" s="48"/>
      <c r="L54" s="48"/>
      <c r="M54" s="48"/>
      <c r="N54" s="48"/>
      <c r="O54" s="48"/>
      <c r="P54" s="48"/>
    </row>
    <row r="55" spans="1:26" x14ac:dyDescent="0.25">
      <c r="A55" s="49" t="s">
        <v>74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26" x14ac:dyDescent="0.25">
      <c r="A56" s="5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26" s="48" customFormat="1" x14ac:dyDescent="0.25">
      <c r="A57" s="30"/>
    </row>
  </sheetData>
  <phoneticPr fontId="2" type="noConversion"/>
  <pageMargins left="0.36" right="0.2" top="0.59" bottom="0.2" header="0.4" footer="0.2"/>
  <pageSetup paperSize="17" scale="72" orientation="landscape" r:id="rId1"/>
  <headerFooter alignWithMargins="0">
    <oddHeader xml:space="preserve">&amp;R&amp;"Times New Roman,Bold"KyPSC Case No. 2017-00427
STAFF-DR-01-009 Attachment
Page &amp;P of &amp;N
Appendix B
</oddHeader>
    <oddFooter>&amp;L&amp;D &amp;T&amp;C&amp;F&amp;R&amp;A</oddFooter>
  </headerFooter>
  <ignoredErrors>
    <ignoredError sqref="B7:C7 M8:M9 L8:L9 D7:O7 B34:J34" numberStoredAsText="1"/>
    <ignoredError sqref="E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="85" zoomScaleNormal="85" workbookViewId="0">
      <selection activeCell="L19" sqref="L19"/>
    </sheetView>
  </sheetViews>
  <sheetFormatPr defaultColWidth="9.109375" defaultRowHeight="13.2" x14ac:dyDescent="0.25"/>
  <cols>
    <col min="1" max="1" width="56.5546875" style="57" customWidth="1"/>
    <col min="2" max="2" width="14" style="57" bestFit="1" customWidth="1"/>
    <col min="3" max="4" width="12.33203125" style="57" bestFit="1" customWidth="1"/>
    <col min="5" max="5" width="14" style="57" bestFit="1" customWidth="1"/>
    <col min="6" max="7" width="9.109375" style="57"/>
    <col min="8" max="8" width="14.5546875" style="57" bestFit="1" customWidth="1"/>
    <col min="9" max="9" width="13" style="57" customWidth="1"/>
    <col min="10" max="10" width="13.109375" style="57" customWidth="1"/>
    <col min="11" max="11" width="13.88671875" style="57" customWidth="1"/>
    <col min="12" max="12" width="9.109375" style="57"/>
    <col min="13" max="13" width="11.5546875" style="57" bestFit="1" customWidth="1"/>
    <col min="14" max="14" width="9.109375" style="57"/>
    <col min="15" max="15" width="14.5546875" style="59" customWidth="1"/>
    <col min="16" max="16" width="9.109375" style="57"/>
    <col min="17" max="17" width="13" style="57" bestFit="1" customWidth="1"/>
    <col min="18" max="16384" width="9.109375" style="57"/>
  </cols>
  <sheetData>
    <row r="1" spans="1:15" x14ac:dyDescent="0.25">
      <c r="B1" s="57" t="s">
        <v>0</v>
      </c>
      <c r="K1" s="58"/>
    </row>
    <row r="3" spans="1:15" x14ac:dyDescent="0.25">
      <c r="B3" s="60" t="s">
        <v>156</v>
      </c>
    </row>
    <row r="6" spans="1:15" x14ac:dyDescent="0.25">
      <c r="B6" s="75" t="s">
        <v>144</v>
      </c>
    </row>
    <row r="8" spans="1:15" s="61" customFormat="1" ht="26.25" customHeight="1" x14ac:dyDescent="0.25">
      <c r="C8" s="61" t="s">
        <v>28</v>
      </c>
      <c r="D8" s="61" t="s">
        <v>29</v>
      </c>
      <c r="G8" s="76" t="s">
        <v>131</v>
      </c>
      <c r="H8" s="62"/>
      <c r="J8" s="134" t="s">
        <v>77</v>
      </c>
      <c r="K8" s="134"/>
    </row>
    <row r="9" spans="1:15" s="61" customFormat="1" ht="15" x14ac:dyDescent="0.4">
      <c r="B9" s="63" t="s">
        <v>30</v>
      </c>
      <c r="C9" s="63" t="s">
        <v>31</v>
      </c>
      <c r="D9" s="63" t="s">
        <v>32</v>
      </c>
      <c r="E9" s="63" t="s">
        <v>33</v>
      </c>
      <c r="G9" s="64" t="s">
        <v>17</v>
      </c>
      <c r="H9" s="64" t="s">
        <v>16</v>
      </c>
      <c r="I9" s="64" t="s">
        <v>61</v>
      </c>
      <c r="J9" s="64" t="s">
        <v>17</v>
      </c>
      <c r="K9" s="64" t="s">
        <v>62</v>
      </c>
    </row>
    <row r="10" spans="1:15" x14ac:dyDescent="0.25">
      <c r="B10" s="65"/>
      <c r="C10" s="65"/>
      <c r="D10" s="65"/>
      <c r="E10" s="65"/>
      <c r="O10" s="57"/>
    </row>
    <row r="11" spans="1:15" x14ac:dyDescent="0.25">
      <c r="A11" s="57" t="s">
        <v>105</v>
      </c>
      <c r="B11" s="65">
        <v>0</v>
      </c>
      <c r="C11" s="65">
        <v>0</v>
      </c>
      <c r="D11" s="65">
        <v>0</v>
      </c>
      <c r="E11" s="65">
        <f>SUM(B11:D11)</f>
        <v>0</v>
      </c>
      <c r="F11" s="66"/>
      <c r="G11" s="73">
        <f>VLOOKUP($A11,'Page 7'!$A$7:$H$14,7,FALSE)</f>
        <v>1</v>
      </c>
      <c r="H11" s="73">
        <f>VLOOKUP($A11,'Page 7'!$A$7:$H$14,8,FALSE)</f>
        <v>0</v>
      </c>
      <c r="I11" s="67">
        <f>G11*B11</f>
        <v>0</v>
      </c>
      <c r="J11" s="66">
        <f t="shared" ref="J11:J18" si="0">I11+D11+C11</f>
        <v>0</v>
      </c>
      <c r="K11" s="67">
        <f>H11*B11</f>
        <v>0</v>
      </c>
      <c r="M11" s="68"/>
      <c r="N11" s="66"/>
      <c r="O11" s="57"/>
    </row>
    <row r="12" spans="1:15" x14ac:dyDescent="0.25">
      <c r="A12" s="57" t="s">
        <v>106</v>
      </c>
      <c r="B12" s="65">
        <v>255203.58976460545</v>
      </c>
      <c r="C12" s="65">
        <v>1611.9438140967848</v>
      </c>
      <c r="D12" s="65">
        <v>2380.6734601687203</v>
      </c>
      <c r="E12" s="65">
        <f t="shared" ref="E12:E18" si="1">SUM(B12:D12)</f>
        <v>259196.20703887095</v>
      </c>
      <c r="F12" s="66"/>
      <c r="G12" s="73">
        <f>VLOOKUP($A12,'Page 7'!$A$7:$H$14,7,FALSE)</f>
        <v>0.76670230192066191</v>
      </c>
      <c r="H12" s="73">
        <f>VLOOKUP($A12,'Page 7'!$A$7:$H$14,8,FALSE)</f>
        <v>0.23329769807933814</v>
      </c>
      <c r="I12" s="67">
        <f t="shared" ref="I12:I18" si="2">G12*B12</f>
        <v>195665.17973093927</v>
      </c>
      <c r="J12" s="66">
        <f t="shared" si="0"/>
        <v>199657.79700520477</v>
      </c>
      <c r="K12" s="67">
        <f t="shared" ref="K12:K18" si="3">H12*B12</f>
        <v>59538.410033666194</v>
      </c>
      <c r="M12" s="68"/>
      <c r="N12" s="66"/>
      <c r="O12" s="57"/>
    </row>
    <row r="13" spans="1:15" x14ac:dyDescent="0.25">
      <c r="A13" s="57" t="s">
        <v>108</v>
      </c>
      <c r="B13" s="65">
        <v>343237.27524567739</v>
      </c>
      <c r="C13" s="65">
        <v>243.04250079964967</v>
      </c>
      <c r="D13" s="65">
        <v>-15215.583503057946</v>
      </c>
      <c r="E13" s="65">
        <f t="shared" si="1"/>
        <v>328264.73424341908</v>
      </c>
      <c r="F13" s="66"/>
      <c r="G13" s="73">
        <f>VLOOKUP($A13,'Page 7'!$A$7:$H$14,7,FALSE)</f>
        <v>1</v>
      </c>
      <c r="H13" s="73">
        <f>VLOOKUP($A13,'Page 7'!$A$7:$H$14,8,FALSE)</f>
        <v>0</v>
      </c>
      <c r="I13" s="67">
        <f t="shared" si="2"/>
        <v>343237.27524567739</v>
      </c>
      <c r="J13" s="66">
        <f t="shared" si="0"/>
        <v>328264.73424341908</v>
      </c>
      <c r="K13" s="67">
        <f t="shared" si="3"/>
        <v>0</v>
      </c>
      <c r="M13" s="68"/>
      <c r="N13" s="66"/>
      <c r="O13" s="57"/>
    </row>
    <row r="14" spans="1:15" x14ac:dyDescent="0.25">
      <c r="A14" s="57" t="s">
        <v>109</v>
      </c>
      <c r="B14" s="65">
        <v>911344.35484913806</v>
      </c>
      <c r="C14" s="65">
        <v>1156.5209097254938</v>
      </c>
      <c r="D14" s="65">
        <v>-51877.960091741174</v>
      </c>
      <c r="E14" s="65">
        <f t="shared" si="1"/>
        <v>860622.91566712235</v>
      </c>
      <c r="F14" s="66"/>
      <c r="G14" s="73">
        <f>VLOOKUP($A14,'Page 7'!$A$7:$H$14,7,FALSE)</f>
        <v>0.49030845713403021</v>
      </c>
      <c r="H14" s="73">
        <f>VLOOKUP($A14,'Page 7'!$A$7:$H$14,8,FALSE)</f>
        <v>0.50969154286596985</v>
      </c>
      <c r="I14" s="67">
        <f t="shared" si="2"/>
        <v>446839.84454388905</v>
      </c>
      <c r="J14" s="66">
        <f t="shared" si="0"/>
        <v>396118.40536187339</v>
      </c>
      <c r="K14" s="67">
        <f t="shared" si="3"/>
        <v>464504.51030524907</v>
      </c>
      <c r="M14" s="68"/>
      <c r="N14" s="66"/>
      <c r="O14" s="57"/>
    </row>
    <row r="15" spans="1:15" x14ac:dyDescent="0.25">
      <c r="A15" s="57" t="s">
        <v>107</v>
      </c>
      <c r="B15" s="65">
        <v>798961.60206747032</v>
      </c>
      <c r="C15" s="65">
        <v>165191.37749999997</v>
      </c>
      <c r="D15" s="65">
        <v>29319.404074547976</v>
      </c>
      <c r="E15" s="65">
        <f>SUM(B15:D15)</f>
        <v>993472.38364201819</v>
      </c>
      <c r="F15" s="66"/>
      <c r="G15" s="73">
        <f>VLOOKUP($A15,'Page 7'!$A$7:$H$14,7,FALSE)</f>
        <v>1</v>
      </c>
      <c r="H15" s="73">
        <f>VLOOKUP($A15,'Page 7'!$A$7:$H$14,8,FALSE)</f>
        <v>0</v>
      </c>
      <c r="I15" s="67">
        <f>G15*B15</f>
        <v>798961.60206747032</v>
      </c>
      <c r="J15" s="66">
        <f>I15+D15+C15</f>
        <v>993472.38364201819</v>
      </c>
      <c r="K15" s="67">
        <f>H15*B15</f>
        <v>0</v>
      </c>
      <c r="M15" s="68"/>
      <c r="N15" s="66"/>
      <c r="O15" s="57"/>
    </row>
    <row r="16" spans="1:15" x14ac:dyDescent="0.25">
      <c r="A16" s="57" t="s">
        <v>110</v>
      </c>
      <c r="B16" s="65">
        <v>300015.23427054356</v>
      </c>
      <c r="C16" s="65">
        <v>1532.1910072409637</v>
      </c>
      <c r="D16" s="65">
        <v>8033.4556700028334</v>
      </c>
      <c r="E16" s="65">
        <f t="shared" si="1"/>
        <v>309580.88094778737</v>
      </c>
      <c r="F16" s="66"/>
      <c r="G16" s="73">
        <f>VLOOKUP($A16,'Page 7'!$A$7:$H$14,7,FALSE)</f>
        <v>1</v>
      </c>
      <c r="H16" s="73">
        <f>VLOOKUP($A16,'Page 7'!$A$7:$H$14,8,FALSE)</f>
        <v>0</v>
      </c>
      <c r="I16" s="67">
        <f t="shared" si="2"/>
        <v>300015.23427054356</v>
      </c>
      <c r="J16" s="66">
        <f t="shared" si="0"/>
        <v>309580.88094778737</v>
      </c>
      <c r="K16" s="67">
        <f t="shared" si="3"/>
        <v>0</v>
      </c>
      <c r="M16" s="68"/>
      <c r="N16" s="66"/>
      <c r="O16" s="57"/>
    </row>
    <row r="17" spans="1:15" x14ac:dyDescent="0.25">
      <c r="A17" s="57" t="s">
        <v>104</v>
      </c>
      <c r="B17" s="65">
        <v>2323461.2600613204</v>
      </c>
      <c r="C17" s="65">
        <v>17148.903479686822</v>
      </c>
      <c r="D17" s="65">
        <v>106686.12305832152</v>
      </c>
      <c r="E17" s="65">
        <f t="shared" si="1"/>
        <v>2447296.2865993287</v>
      </c>
      <c r="F17" s="66"/>
      <c r="G17" s="73">
        <f>VLOOKUP($A17,'Page 7'!$A$7:$H$14,7,FALSE)</f>
        <v>1</v>
      </c>
      <c r="H17" s="73">
        <f>VLOOKUP($A17,'Page 7'!$A$7:$H$14,8,FALSE)</f>
        <v>0</v>
      </c>
      <c r="I17" s="67">
        <f t="shared" si="2"/>
        <v>2323461.2600613204</v>
      </c>
      <c r="J17" s="66">
        <f t="shared" si="0"/>
        <v>2447296.2865993287</v>
      </c>
      <c r="K17" s="67">
        <f t="shared" si="3"/>
        <v>0</v>
      </c>
      <c r="M17" s="68"/>
      <c r="N17" s="66"/>
      <c r="O17" s="57"/>
    </row>
    <row r="18" spans="1:15" x14ac:dyDescent="0.25">
      <c r="A18" s="57" t="s">
        <v>137</v>
      </c>
      <c r="B18" s="65">
        <v>760837.48197773879</v>
      </c>
      <c r="C18" s="65">
        <v>0</v>
      </c>
      <c r="D18" s="65">
        <v>119491.79883415444</v>
      </c>
      <c r="E18" s="65">
        <f t="shared" si="1"/>
        <v>880329.28081189329</v>
      </c>
      <c r="G18" s="73">
        <f>VLOOKUP($A18,'Page 7'!$A$7:$H$14,7,FALSE)</f>
        <v>1</v>
      </c>
      <c r="H18" s="73">
        <f>VLOOKUP($A18,'Page 7'!$A$7:$H$14,8,FALSE)</f>
        <v>0</v>
      </c>
      <c r="I18" s="67">
        <f t="shared" si="2"/>
        <v>760837.48197773879</v>
      </c>
      <c r="J18" s="66">
        <f t="shared" si="0"/>
        <v>880329.28081189329</v>
      </c>
      <c r="K18" s="67">
        <f t="shared" si="3"/>
        <v>0</v>
      </c>
      <c r="M18" s="68"/>
      <c r="N18" s="66"/>
      <c r="O18" s="57"/>
    </row>
    <row r="19" spans="1:15" x14ac:dyDescent="0.25">
      <c r="B19" s="65"/>
      <c r="C19" s="65"/>
      <c r="D19" s="68"/>
      <c r="E19" s="65"/>
      <c r="F19" s="66"/>
      <c r="G19" s="69"/>
      <c r="H19" s="69"/>
      <c r="I19" s="67"/>
      <c r="J19" s="66"/>
      <c r="K19" s="67"/>
      <c r="O19" s="57"/>
    </row>
    <row r="20" spans="1:15" x14ac:dyDescent="0.25">
      <c r="A20" s="57" t="s">
        <v>34</v>
      </c>
      <c r="B20" s="65">
        <f>SUM(B11:B18)</f>
        <v>5693060.798236493</v>
      </c>
      <c r="C20" s="65">
        <f>SUM(C11:C18)</f>
        <v>186883.97921154968</v>
      </c>
      <c r="D20" s="65">
        <f>SUM(D11:D18)</f>
        <v>198817.91150239637</v>
      </c>
      <c r="E20" s="65">
        <f>SUM(E11:E18)</f>
        <v>6078762.6889504399</v>
      </c>
      <c r="I20" s="65">
        <f>SUM(I11:I18)</f>
        <v>5169017.8778975783</v>
      </c>
      <c r="J20" s="65">
        <f>SUM(J11:J18)</f>
        <v>5554719.7686115243</v>
      </c>
      <c r="K20" s="65">
        <f>SUM(K11:K18)</f>
        <v>524042.92033891525</v>
      </c>
      <c r="O20" s="57"/>
    </row>
    <row r="21" spans="1:15" x14ac:dyDescent="0.25">
      <c r="B21" s="65"/>
      <c r="C21" s="65"/>
      <c r="D21" s="65"/>
      <c r="E21" s="65"/>
      <c r="I21" s="67"/>
      <c r="J21" s="66"/>
      <c r="K21" s="66"/>
      <c r="O21" s="57"/>
    </row>
    <row r="22" spans="1:15" x14ac:dyDescent="0.25">
      <c r="A22" s="57" t="s">
        <v>118</v>
      </c>
      <c r="B22" s="65">
        <f>'Page 5'!H39</f>
        <v>258400.8</v>
      </c>
      <c r="C22" s="65"/>
      <c r="D22" s="65"/>
      <c r="E22" s="65"/>
      <c r="I22" s="67"/>
      <c r="J22" s="66">
        <f>'Page 5'!H34</f>
        <v>150012</v>
      </c>
      <c r="K22" s="66">
        <f>'Page 5'!H37</f>
        <v>108388.79999999999</v>
      </c>
      <c r="O22" s="57"/>
    </row>
    <row r="23" spans="1:15" x14ac:dyDescent="0.25">
      <c r="B23" s="65"/>
      <c r="C23" s="65"/>
      <c r="D23" s="65"/>
      <c r="E23" s="65"/>
      <c r="I23" s="67"/>
      <c r="J23" s="66"/>
      <c r="K23" s="66"/>
      <c r="O23" s="57"/>
    </row>
    <row r="24" spans="1:15" x14ac:dyDescent="0.25">
      <c r="B24" s="74" t="s">
        <v>145</v>
      </c>
      <c r="C24" s="60"/>
      <c r="D24" s="60"/>
      <c r="E24" s="60"/>
      <c r="I24" s="67"/>
      <c r="O24" s="57"/>
    </row>
    <row r="25" spans="1:15" x14ac:dyDescent="0.25">
      <c r="B25" s="60"/>
      <c r="C25" s="60"/>
      <c r="D25" s="60"/>
      <c r="E25" s="60"/>
      <c r="I25" s="67"/>
      <c r="O25" s="57"/>
    </row>
    <row r="26" spans="1:15" ht="29.25" customHeight="1" x14ac:dyDescent="0.25">
      <c r="B26" s="60"/>
      <c r="C26" s="70" t="s">
        <v>28</v>
      </c>
      <c r="D26" s="70" t="s">
        <v>29</v>
      </c>
      <c r="E26" s="60"/>
      <c r="G26" s="76" t="s">
        <v>131</v>
      </c>
      <c r="H26" s="62"/>
      <c r="I26" s="61"/>
      <c r="J26" s="134" t="s">
        <v>77</v>
      </c>
      <c r="K26" s="134"/>
      <c r="O26" s="57"/>
    </row>
    <row r="27" spans="1:15" ht="15" x14ac:dyDescent="0.4">
      <c r="B27" s="64" t="s">
        <v>30</v>
      </c>
      <c r="C27" s="64" t="s">
        <v>31</v>
      </c>
      <c r="D27" s="64" t="s">
        <v>32</v>
      </c>
      <c r="E27" s="64" t="s">
        <v>33</v>
      </c>
      <c r="G27" s="64" t="s">
        <v>17</v>
      </c>
      <c r="H27" s="64" t="s">
        <v>16</v>
      </c>
      <c r="I27" s="46" t="str">
        <f>I9</f>
        <v>Electric Costs</v>
      </c>
      <c r="J27" s="64" t="s">
        <v>17</v>
      </c>
      <c r="K27" s="64" t="s">
        <v>16</v>
      </c>
      <c r="O27" s="57"/>
    </row>
    <row r="28" spans="1:15" x14ac:dyDescent="0.25">
      <c r="B28" s="65"/>
      <c r="C28" s="65"/>
      <c r="D28" s="65"/>
      <c r="E28" s="65"/>
      <c r="G28" s="69"/>
      <c r="H28" s="69"/>
      <c r="I28" s="67"/>
      <c r="J28" s="66"/>
      <c r="K28" s="61"/>
    </row>
    <row r="29" spans="1:15" x14ac:dyDescent="0.25">
      <c r="A29" s="60" t="s">
        <v>133</v>
      </c>
      <c r="B29" s="65">
        <v>909657.49991439097</v>
      </c>
      <c r="C29" s="65">
        <v>3775.5235374071262</v>
      </c>
      <c r="D29" s="65">
        <v>117551.10308366924</v>
      </c>
      <c r="E29" s="65">
        <f>SUM(B29:D29)</f>
        <v>1030984.1265354673</v>
      </c>
      <c r="G29" s="69">
        <v>1</v>
      </c>
      <c r="H29" s="69">
        <v>0</v>
      </c>
      <c r="I29" s="67">
        <f>G29*B29</f>
        <v>909657.49991439097</v>
      </c>
      <c r="J29" s="66">
        <f>I29+D29+C29</f>
        <v>1030984.1265354673</v>
      </c>
      <c r="K29" s="61" t="s">
        <v>20</v>
      </c>
      <c r="O29" s="57"/>
    </row>
    <row r="30" spans="1:15" x14ac:dyDescent="0.25">
      <c r="A30" s="57" t="s">
        <v>111</v>
      </c>
      <c r="B30" s="65">
        <v>598335.03545702156</v>
      </c>
      <c r="C30" s="65">
        <v>3732.3728254531084</v>
      </c>
      <c r="D30" s="65">
        <v>86745.604816313746</v>
      </c>
      <c r="E30" s="65">
        <f>SUM(B30:D30)</f>
        <v>688813.01309878833</v>
      </c>
      <c r="G30" s="69">
        <f>1-H30</f>
        <v>1</v>
      </c>
      <c r="H30" s="69">
        <v>0</v>
      </c>
      <c r="I30" s="67">
        <f>G30*B30</f>
        <v>598335.03545702156</v>
      </c>
      <c r="J30" s="66">
        <f t="shared" ref="J30:J39" si="4">I30+D30+C30</f>
        <v>688813.01309878833</v>
      </c>
      <c r="K30" s="61" t="s">
        <v>20</v>
      </c>
    </row>
    <row r="31" spans="1:15" x14ac:dyDescent="0.25">
      <c r="A31" s="57" t="s">
        <v>155</v>
      </c>
      <c r="B31" s="65">
        <v>205021.71172123597</v>
      </c>
      <c r="C31" s="65">
        <v>2542.9754826977514</v>
      </c>
      <c r="D31" s="65">
        <v>47181.43779392125</v>
      </c>
      <c r="E31" s="65">
        <f>SUM(B31:D31)</f>
        <v>254746.12499785496</v>
      </c>
      <c r="G31" s="69">
        <v>1</v>
      </c>
      <c r="H31" s="69">
        <v>0</v>
      </c>
      <c r="I31" s="67">
        <f>G31*B31</f>
        <v>205021.71172123597</v>
      </c>
      <c r="J31" s="66">
        <f>I31+D31+C31</f>
        <v>254746.12499785496</v>
      </c>
      <c r="K31" s="61" t="s">
        <v>20</v>
      </c>
      <c r="O31" s="57"/>
    </row>
    <row r="32" spans="1:15" x14ac:dyDescent="0.25">
      <c r="A32" s="60" t="s">
        <v>112</v>
      </c>
      <c r="B32" s="65">
        <v>40697.55587137198</v>
      </c>
      <c r="C32" s="65">
        <v>241.02855113494044</v>
      </c>
      <c r="D32" s="65">
        <v>8191.6081375205295</v>
      </c>
      <c r="E32" s="65">
        <f t="shared" ref="E32:E38" si="5">SUM(B32:D32)</f>
        <v>49130.192560027455</v>
      </c>
      <c r="G32" s="69">
        <f>1-H32</f>
        <v>1</v>
      </c>
      <c r="H32" s="69">
        <v>0</v>
      </c>
      <c r="I32" s="67">
        <f t="shared" ref="I32:I39" si="6">G32*B32</f>
        <v>40697.55587137198</v>
      </c>
      <c r="J32" s="66">
        <f t="shared" si="4"/>
        <v>49130.192560027455</v>
      </c>
      <c r="K32" s="61" t="s">
        <v>20</v>
      </c>
    </row>
    <row r="33" spans="1:15" x14ac:dyDescent="0.25">
      <c r="A33" s="60" t="s">
        <v>113</v>
      </c>
      <c r="B33" s="65">
        <v>130262.62988913881</v>
      </c>
      <c r="C33" s="65">
        <v>513.37161837769986</v>
      </c>
      <c r="D33" s="65">
        <v>25381.99266359277</v>
      </c>
      <c r="E33" s="65">
        <f t="shared" si="5"/>
        <v>156157.99417110928</v>
      </c>
      <c r="G33" s="69">
        <f>1-H33</f>
        <v>1</v>
      </c>
      <c r="H33" s="69">
        <v>0</v>
      </c>
      <c r="I33" s="67">
        <f t="shared" si="6"/>
        <v>130262.62988913881</v>
      </c>
      <c r="J33" s="66">
        <f t="shared" si="4"/>
        <v>156157.99417110931</v>
      </c>
      <c r="K33" s="61" t="s">
        <v>20</v>
      </c>
    </row>
    <row r="34" spans="1:15" x14ac:dyDescent="0.25">
      <c r="A34" s="60" t="s">
        <v>122</v>
      </c>
      <c r="B34" s="65">
        <v>7997.0046814531615</v>
      </c>
      <c r="C34" s="65">
        <v>6.0553353214549445E-4</v>
      </c>
      <c r="D34" s="65">
        <v>-799.68467674465387</v>
      </c>
      <c r="E34" s="65">
        <f>SUM(B34:D34)</f>
        <v>7197.3206102420399</v>
      </c>
      <c r="G34" s="69">
        <v>1</v>
      </c>
      <c r="H34" s="69">
        <v>0</v>
      </c>
      <c r="I34" s="67">
        <f>G34*B34</f>
        <v>7997.0046814531615</v>
      </c>
      <c r="J34" s="66">
        <f>I34+D34+C34</f>
        <v>7197.3206102420399</v>
      </c>
      <c r="K34" s="61" t="s">
        <v>20</v>
      </c>
      <c r="O34" s="57"/>
    </row>
    <row r="35" spans="1:15" x14ac:dyDescent="0.25">
      <c r="A35" s="60" t="s">
        <v>114</v>
      </c>
      <c r="B35" s="65">
        <v>1349145.129493431</v>
      </c>
      <c r="C35" s="65">
        <v>7708.3641108013499</v>
      </c>
      <c r="D35" s="65">
        <v>290570.3640653856</v>
      </c>
      <c r="E35" s="65">
        <f t="shared" si="5"/>
        <v>1647423.857669618</v>
      </c>
      <c r="G35" s="69">
        <v>1</v>
      </c>
      <c r="H35" s="69">
        <v>0</v>
      </c>
      <c r="I35" s="67">
        <f t="shared" si="6"/>
        <v>1349145.129493431</v>
      </c>
      <c r="J35" s="66">
        <f t="shared" si="4"/>
        <v>1647423.857669618</v>
      </c>
      <c r="K35" s="61" t="s">
        <v>20</v>
      </c>
      <c r="O35" s="57"/>
    </row>
    <row r="36" spans="1:15" x14ac:dyDescent="0.25">
      <c r="A36" s="57" t="s">
        <v>115</v>
      </c>
      <c r="B36" s="65">
        <v>13754.46912103738</v>
      </c>
      <c r="C36" s="65">
        <v>1.3554608809692542E-5</v>
      </c>
      <c r="D36" s="65">
        <v>-1287.4440906349307</v>
      </c>
      <c r="E36" s="65">
        <f t="shared" si="5"/>
        <v>12467.025043957059</v>
      </c>
      <c r="G36" s="69">
        <v>1</v>
      </c>
      <c r="H36" s="69">
        <v>0</v>
      </c>
      <c r="I36" s="67">
        <f t="shared" si="6"/>
        <v>13754.46912103738</v>
      </c>
      <c r="J36" s="66">
        <f t="shared" si="4"/>
        <v>12467.025043957059</v>
      </c>
      <c r="K36" s="61" t="s">
        <v>20</v>
      </c>
      <c r="O36" s="57"/>
    </row>
    <row r="37" spans="1:15" x14ac:dyDescent="0.25">
      <c r="A37" s="57" t="s">
        <v>116</v>
      </c>
      <c r="B37" s="65">
        <v>7116.2486686845214</v>
      </c>
      <c r="C37" s="65">
        <v>4.6086808435210173E-6</v>
      </c>
      <c r="D37" s="65">
        <v>-711.62468618695436</v>
      </c>
      <c r="E37" s="65">
        <f t="shared" si="5"/>
        <v>6404.623987106248</v>
      </c>
      <c r="G37" s="69">
        <v>1</v>
      </c>
      <c r="H37" s="69">
        <v>0</v>
      </c>
      <c r="I37" s="67">
        <f t="shared" si="6"/>
        <v>7116.2486686845214</v>
      </c>
      <c r="J37" s="66">
        <f t="shared" si="4"/>
        <v>6404.623987106248</v>
      </c>
      <c r="K37" s="61" t="s">
        <v>20</v>
      </c>
      <c r="O37" s="57"/>
    </row>
    <row r="38" spans="1:15" x14ac:dyDescent="0.25">
      <c r="A38" s="57" t="s">
        <v>140</v>
      </c>
      <c r="B38" s="65">
        <v>180180.80546044861</v>
      </c>
      <c r="C38" s="65">
        <v>244.46313989998379</v>
      </c>
      <c r="D38" s="65">
        <v>-7458.038181378186</v>
      </c>
      <c r="E38" s="65">
        <f t="shared" si="5"/>
        <v>172967.2304189704</v>
      </c>
      <c r="G38" s="69">
        <v>1</v>
      </c>
      <c r="H38" s="69">
        <v>0</v>
      </c>
      <c r="I38" s="67">
        <f>G38*B38</f>
        <v>180180.80546044861</v>
      </c>
      <c r="J38" s="66">
        <f>I38+D38+C38</f>
        <v>172967.2304189704</v>
      </c>
      <c r="K38" s="61" t="s">
        <v>20</v>
      </c>
      <c r="O38" s="57"/>
    </row>
    <row r="39" spans="1:15" x14ac:dyDescent="0.25">
      <c r="A39" s="57" t="s">
        <v>139</v>
      </c>
      <c r="B39" s="65">
        <v>923716.72842228052</v>
      </c>
      <c r="C39" s="65">
        <v>0</v>
      </c>
      <c r="D39" s="65">
        <v>93854.299656440053</v>
      </c>
      <c r="E39" s="65">
        <f>SUM(B39:D39)</f>
        <v>1017571.0280787206</v>
      </c>
      <c r="G39" s="69">
        <v>1</v>
      </c>
      <c r="H39" s="69">
        <v>0</v>
      </c>
      <c r="I39" s="67">
        <f t="shared" si="6"/>
        <v>923716.72842228052</v>
      </c>
      <c r="J39" s="66">
        <f t="shared" si="4"/>
        <v>1017571.0280787206</v>
      </c>
      <c r="K39" s="61" t="s">
        <v>20</v>
      </c>
      <c r="O39" s="57"/>
    </row>
    <row r="40" spans="1:15" x14ac:dyDescent="0.25">
      <c r="B40" s="65"/>
      <c r="C40" s="65"/>
      <c r="D40" s="65"/>
      <c r="E40" s="65"/>
      <c r="I40" s="66"/>
      <c r="O40" s="57"/>
    </row>
    <row r="41" spans="1:15" x14ac:dyDescent="0.25">
      <c r="A41" s="60" t="s">
        <v>34</v>
      </c>
      <c r="B41" s="65">
        <f>SUM(B29:B39)</f>
        <v>4365884.8187004942</v>
      </c>
      <c r="C41" s="65">
        <f>SUM(C29:C39)</f>
        <v>18758.099889468784</v>
      </c>
      <c r="D41" s="65">
        <f>SUM(D29:D39)</f>
        <v>659219.61858189851</v>
      </c>
      <c r="E41" s="65">
        <f>SUM(E29:E39)</f>
        <v>5043862.5371718612</v>
      </c>
      <c r="I41" s="65">
        <f>SUM(I29:I39)</f>
        <v>4365884.8187004942</v>
      </c>
      <c r="J41" s="65">
        <f>SUM(J29:J39)</f>
        <v>5043862.5371718612</v>
      </c>
      <c r="K41" s="61" t="s">
        <v>20</v>
      </c>
      <c r="O41" s="57"/>
    </row>
    <row r="42" spans="1:15" x14ac:dyDescent="0.25">
      <c r="B42" s="65"/>
      <c r="C42" s="65"/>
      <c r="D42" s="65"/>
      <c r="E42" s="65"/>
      <c r="I42" s="66"/>
      <c r="J42" s="66"/>
      <c r="O42" s="57"/>
    </row>
    <row r="43" spans="1:15" x14ac:dyDescent="0.25">
      <c r="A43" s="71" t="s">
        <v>93</v>
      </c>
      <c r="B43" s="68">
        <f>SUM(B20,B41)</f>
        <v>10058945.616936987</v>
      </c>
      <c r="C43" s="68">
        <f>SUM(C20,C41)</f>
        <v>205642.07910101846</v>
      </c>
      <c r="D43" s="68">
        <f>SUM(D20,D41)</f>
        <v>858037.53008429485</v>
      </c>
      <c r="E43" s="68">
        <f>SUM(E20,E41)</f>
        <v>11122625.226122301</v>
      </c>
      <c r="O43" s="57"/>
    </row>
    <row r="44" spans="1:15" x14ac:dyDescent="0.25">
      <c r="C44" s="66"/>
      <c r="D44" s="66"/>
      <c r="O44" s="57"/>
    </row>
    <row r="46" spans="1:15" x14ac:dyDescent="0.25">
      <c r="B46" s="60"/>
      <c r="C46" s="60"/>
      <c r="D46" s="60"/>
      <c r="E46" s="60"/>
      <c r="O46" s="57"/>
    </row>
    <row r="47" spans="1:15" x14ac:dyDescent="0.25">
      <c r="A47" s="60" t="s">
        <v>159</v>
      </c>
      <c r="O47" s="57"/>
    </row>
    <row r="48" spans="1:15" x14ac:dyDescent="0.25">
      <c r="A48" s="60" t="s">
        <v>136</v>
      </c>
      <c r="O48" s="57"/>
    </row>
  </sheetData>
  <mergeCells count="2">
    <mergeCell ref="J8:K8"/>
    <mergeCell ref="J26:K26"/>
  </mergeCells>
  <phoneticPr fontId="2" type="noConversion"/>
  <pageMargins left="0.63" right="0.2" top="0.41" bottom="0.2" header="0.56999999999999995" footer="0.2"/>
  <pageSetup paperSize="17" orientation="landscape" r:id="rId1"/>
  <headerFooter alignWithMargins="0">
    <oddHeader xml:space="preserve">&amp;R&amp;"Times New Roman,Bold"KyPSC Case No. 2017-00427
STAFF-DR-01-009 Attachment
Page &amp;P of &amp;N
Appendix B
</oddHeader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80" zoomScaleNormal="80" workbookViewId="0">
      <selection activeCell="L19" sqref="L19"/>
    </sheetView>
  </sheetViews>
  <sheetFormatPr defaultColWidth="9.109375" defaultRowHeight="13.2" x14ac:dyDescent="0.25"/>
  <cols>
    <col min="1" max="1" width="9.109375" style="4"/>
    <col min="2" max="2" width="28.5546875" style="4" customWidth="1"/>
    <col min="3" max="3" width="17.5546875" style="4" customWidth="1"/>
    <col min="4" max="5" width="14.109375" style="4" customWidth="1"/>
    <col min="6" max="7" width="9.109375" style="4"/>
    <col min="8" max="8" width="10.33203125" style="4" customWidth="1"/>
    <col min="9" max="11" width="9.109375" style="4"/>
    <col min="12" max="12" width="10.6640625" style="4" customWidth="1"/>
    <col min="13" max="13" width="9.109375" style="4"/>
    <col min="14" max="14" width="11.33203125" style="4" bestFit="1" customWidth="1"/>
    <col min="15" max="16384" width="9.109375" style="4"/>
  </cols>
  <sheetData>
    <row r="1" spans="1:14" x14ac:dyDescent="0.25">
      <c r="A1" s="48"/>
      <c r="B1" s="48" t="str">
        <f>'Page 1'!E3</f>
        <v xml:space="preserve">                      Kentucky DSM Rider</v>
      </c>
      <c r="C1" s="48"/>
      <c r="D1" s="33"/>
      <c r="E1" s="48"/>
      <c r="F1" s="48"/>
      <c r="G1" s="48"/>
      <c r="H1" s="48"/>
    </row>
    <row r="2" spans="1:14" x14ac:dyDescent="0.25">
      <c r="A2" s="48"/>
      <c r="B2" s="48"/>
      <c r="C2" s="48"/>
      <c r="D2" s="48"/>
      <c r="E2" s="48"/>
      <c r="F2" s="48"/>
      <c r="G2" s="48"/>
      <c r="H2" s="48"/>
    </row>
    <row r="3" spans="1:14" x14ac:dyDescent="0.25">
      <c r="A3" s="48"/>
      <c r="B3" s="48" t="s">
        <v>86</v>
      </c>
      <c r="C3" s="48"/>
      <c r="D3" s="48"/>
      <c r="E3" s="48"/>
      <c r="F3" s="48"/>
      <c r="G3" s="48"/>
      <c r="H3" s="48"/>
    </row>
    <row r="4" spans="1:14" x14ac:dyDescent="0.25">
      <c r="A4" s="48"/>
      <c r="B4" s="49" t="s">
        <v>75</v>
      </c>
      <c r="C4" s="48"/>
      <c r="D4" s="48"/>
      <c r="E4" s="48"/>
      <c r="F4" s="48"/>
      <c r="G4" s="48"/>
      <c r="H4" s="48"/>
    </row>
    <row r="5" spans="1:14" x14ac:dyDescent="0.25">
      <c r="A5" s="48"/>
      <c r="B5" s="48" t="s">
        <v>100</v>
      </c>
      <c r="C5" s="48"/>
      <c r="D5" s="48"/>
      <c r="E5" s="48"/>
      <c r="F5" s="48"/>
      <c r="G5" s="48"/>
      <c r="H5" s="48"/>
    </row>
    <row r="6" spans="1:14" x14ac:dyDescent="0.25">
      <c r="A6" s="48"/>
      <c r="B6" s="48"/>
      <c r="C6" s="48"/>
      <c r="D6" s="48"/>
      <c r="E6" s="48"/>
      <c r="F6" s="48"/>
      <c r="G6" s="48"/>
      <c r="H6" s="48"/>
    </row>
    <row r="7" spans="1:14" x14ac:dyDescent="0.25">
      <c r="A7" s="48"/>
      <c r="B7" s="49" t="s">
        <v>163</v>
      </c>
      <c r="C7" s="48"/>
      <c r="D7" s="48"/>
      <c r="E7" s="48"/>
      <c r="F7" s="48"/>
      <c r="G7" s="48"/>
      <c r="H7" s="48"/>
    </row>
    <row r="8" spans="1:14" x14ac:dyDescent="0.25">
      <c r="A8" s="48"/>
      <c r="B8" s="48"/>
      <c r="C8" s="48"/>
      <c r="D8" s="48"/>
      <c r="E8" s="48"/>
      <c r="F8" s="48"/>
      <c r="G8" s="48"/>
      <c r="H8" s="48"/>
    </row>
    <row r="9" spans="1:14" x14ac:dyDescent="0.25">
      <c r="A9" s="48"/>
      <c r="B9" s="48"/>
      <c r="C9" s="48"/>
      <c r="D9" s="48"/>
      <c r="E9" s="48"/>
      <c r="F9" s="48"/>
      <c r="G9" s="48"/>
      <c r="H9" s="48"/>
    </row>
    <row r="10" spans="1:14" x14ac:dyDescent="0.25">
      <c r="A10" s="48"/>
      <c r="B10" s="48"/>
      <c r="C10" s="48"/>
      <c r="D10" s="48" t="s">
        <v>35</v>
      </c>
      <c r="E10" s="48"/>
      <c r="F10" s="48"/>
      <c r="G10" s="48"/>
      <c r="H10" s="48"/>
    </row>
    <row r="11" spans="1:14" x14ac:dyDescent="0.25">
      <c r="A11" s="48"/>
      <c r="B11" s="48"/>
      <c r="C11" s="48"/>
      <c r="D11" s="48" t="s">
        <v>36</v>
      </c>
      <c r="E11" s="48"/>
      <c r="F11" s="48"/>
      <c r="G11" s="48"/>
      <c r="H11" s="48"/>
    </row>
    <row r="12" spans="1:14" x14ac:dyDescent="0.25">
      <c r="A12" s="48"/>
      <c r="B12" s="28" t="s">
        <v>37</v>
      </c>
      <c r="C12" s="48"/>
      <c r="D12" s="48"/>
      <c r="E12" s="48"/>
      <c r="F12" s="48"/>
      <c r="G12" s="48"/>
      <c r="H12" s="48"/>
    </row>
    <row r="13" spans="1:14" x14ac:dyDescent="0.25">
      <c r="A13" s="48"/>
      <c r="B13" s="48"/>
      <c r="C13" s="48"/>
      <c r="D13" s="48"/>
      <c r="E13" s="48"/>
      <c r="F13" s="48"/>
      <c r="G13" s="48"/>
      <c r="H13" s="48"/>
    </row>
    <row r="14" spans="1:14" x14ac:dyDescent="0.25">
      <c r="A14" s="48"/>
      <c r="B14" s="48" t="s">
        <v>38</v>
      </c>
      <c r="C14" s="48"/>
      <c r="D14" s="22">
        <f>'Page 2'!J20</f>
        <v>5554719.7686115243</v>
      </c>
      <c r="E14" s="48"/>
      <c r="F14" s="48"/>
      <c r="G14" s="48"/>
      <c r="H14" s="48"/>
    </row>
    <row r="15" spans="1:14" x14ac:dyDescent="0.25">
      <c r="A15" s="48"/>
      <c r="B15" s="48"/>
      <c r="C15" s="48"/>
      <c r="D15" s="2"/>
      <c r="E15" s="48"/>
      <c r="F15" s="48"/>
      <c r="G15" s="48"/>
      <c r="H15" s="48"/>
    </row>
    <row r="16" spans="1:14" x14ac:dyDescent="0.25">
      <c r="A16" s="48"/>
      <c r="B16" s="48" t="s">
        <v>89</v>
      </c>
      <c r="C16" s="48"/>
      <c r="D16" s="2"/>
      <c r="E16" s="48"/>
      <c r="F16" s="48"/>
      <c r="G16" s="48"/>
      <c r="H16" s="6"/>
      <c r="I16" s="6"/>
      <c r="J16" s="6"/>
      <c r="K16" s="6"/>
      <c r="L16" s="7"/>
      <c r="N16" s="6"/>
    </row>
    <row r="17" spans="1:14" x14ac:dyDescent="0.25">
      <c r="A17" s="48"/>
      <c r="B17" s="48" t="s">
        <v>39</v>
      </c>
      <c r="C17" s="48"/>
      <c r="D17" s="2">
        <f>'Page 2'!J41-'Page 2'!J39</f>
        <v>4026291.5090931407</v>
      </c>
      <c r="E17" s="48"/>
      <c r="F17" s="48"/>
      <c r="G17" s="48"/>
      <c r="H17" s="48"/>
      <c r="N17" s="7"/>
    </row>
    <row r="18" spans="1:14" x14ac:dyDescent="0.25">
      <c r="A18" s="48"/>
      <c r="B18" s="48"/>
      <c r="C18" s="48"/>
      <c r="D18" s="2"/>
      <c r="E18" s="48"/>
      <c r="F18" s="48"/>
      <c r="G18" s="48"/>
      <c r="H18" s="48"/>
    </row>
    <row r="19" spans="1:14" x14ac:dyDescent="0.25">
      <c r="A19" s="48"/>
      <c r="B19" s="48" t="s">
        <v>91</v>
      </c>
      <c r="C19" s="48"/>
      <c r="D19" s="2"/>
      <c r="E19" s="48"/>
      <c r="F19" s="48"/>
      <c r="G19" s="48"/>
      <c r="H19" s="6"/>
    </row>
    <row r="20" spans="1:14" x14ac:dyDescent="0.25">
      <c r="A20" s="48"/>
      <c r="B20" s="48" t="s">
        <v>90</v>
      </c>
      <c r="C20" s="48"/>
      <c r="D20" s="2">
        <f>'Page 2'!J39</f>
        <v>1017571.0280787206</v>
      </c>
      <c r="E20" s="48"/>
      <c r="F20" s="48"/>
      <c r="G20" s="48"/>
      <c r="H20" s="48"/>
    </row>
    <row r="21" spans="1:14" x14ac:dyDescent="0.25">
      <c r="A21" s="48"/>
      <c r="B21" s="48"/>
      <c r="C21" s="48"/>
      <c r="D21" s="2"/>
      <c r="E21" s="48"/>
      <c r="F21" s="48"/>
      <c r="G21" s="48"/>
      <c r="H21" s="48"/>
    </row>
    <row r="22" spans="1:14" x14ac:dyDescent="0.25">
      <c r="A22" s="48"/>
      <c r="B22" s="28" t="s">
        <v>40</v>
      </c>
      <c r="C22" s="48"/>
      <c r="D22" s="2"/>
      <c r="E22" s="48"/>
      <c r="F22" s="48"/>
      <c r="G22" s="48"/>
      <c r="H22" s="48"/>
    </row>
    <row r="23" spans="1:14" x14ac:dyDescent="0.25">
      <c r="A23" s="48"/>
      <c r="B23" s="48" t="s">
        <v>38</v>
      </c>
      <c r="C23" s="48"/>
      <c r="D23" s="2">
        <f>'Page 2'!K20</f>
        <v>524042.92033891525</v>
      </c>
      <c r="E23" s="48"/>
      <c r="F23" s="48"/>
      <c r="G23" s="48"/>
      <c r="H23" s="48"/>
    </row>
    <row r="24" spans="1:14" x14ac:dyDescent="0.25">
      <c r="A24" s="48"/>
      <c r="B24" s="48"/>
      <c r="C24" s="48"/>
      <c r="D24" s="48"/>
      <c r="E24" s="48"/>
      <c r="F24" s="48"/>
      <c r="G24" s="48"/>
      <c r="H24" s="48"/>
    </row>
    <row r="25" spans="1:14" x14ac:dyDescent="0.25">
      <c r="A25" s="48"/>
      <c r="B25" s="48"/>
      <c r="C25" s="48"/>
      <c r="D25" s="48"/>
      <c r="E25" s="48"/>
      <c r="F25" s="48"/>
      <c r="G25" s="48"/>
      <c r="H25" s="48"/>
    </row>
    <row r="26" spans="1:14" x14ac:dyDescent="0.25">
      <c r="A26" s="48"/>
      <c r="B26" s="49" t="s">
        <v>123</v>
      </c>
      <c r="C26" s="48"/>
      <c r="D26" s="48"/>
      <c r="E26" s="48"/>
      <c r="F26" s="48"/>
      <c r="G26" s="48"/>
      <c r="H26" s="48"/>
    </row>
    <row r="27" spans="1:14" x14ac:dyDescent="0.25">
      <c r="A27" s="48"/>
      <c r="B27" s="48"/>
      <c r="C27" s="48"/>
      <c r="D27" s="48"/>
      <c r="E27" s="48"/>
      <c r="F27" s="48"/>
      <c r="G27" s="48"/>
      <c r="H27" s="48"/>
    </row>
  </sheetData>
  <phoneticPr fontId="2" type="noConversion"/>
  <pageMargins left="0.2" right="0.2" top="0.89" bottom="0.2" header="0.56999999999999995" footer="0.2"/>
  <pageSetup paperSize="17" orientation="landscape" r:id="rId1"/>
  <headerFooter alignWithMargins="0">
    <oddHeader xml:space="preserve">&amp;R&amp;"Times New Roman,Bold"KyPSC Case No. 2017-00427
STAFF-DR-01-009 Attachment
Page &amp;P of &amp;N
Appendix B
</oddHeader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="80" zoomScaleNormal="80" workbookViewId="0">
      <selection activeCell="L19" sqref="L19"/>
    </sheetView>
  </sheetViews>
  <sheetFormatPr defaultColWidth="9.109375" defaultRowHeight="13.2" x14ac:dyDescent="0.25"/>
  <cols>
    <col min="1" max="1" width="9.109375" style="4"/>
    <col min="2" max="2" width="30.88671875" style="4" customWidth="1"/>
    <col min="3" max="3" width="16.33203125" style="4" customWidth="1"/>
    <col min="4" max="5" width="12.88671875" style="4" bestFit="1" customWidth="1"/>
    <col min="6" max="6" width="10.44140625" style="4" customWidth="1"/>
    <col min="7" max="7" width="11.44140625" style="4" customWidth="1"/>
    <col min="8" max="10" width="9.109375" style="4"/>
    <col min="11" max="11" width="11.33203125" style="4" customWidth="1"/>
    <col min="12" max="16384" width="9.109375" style="4"/>
  </cols>
  <sheetData>
    <row r="1" spans="1:14" x14ac:dyDescent="0.25">
      <c r="A1" s="48"/>
      <c r="B1" s="48" t="str">
        <f>'Page 1'!E3</f>
        <v xml:space="preserve">                      Kentucky DSM Rider</v>
      </c>
      <c r="C1" s="3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48"/>
      <c r="B3" s="48" t="str">
        <f>'Page 3'!B3</f>
        <v>Duke Energy Kentucky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x14ac:dyDescent="0.25">
      <c r="A4" s="48"/>
      <c r="B4" s="49" t="s">
        <v>75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x14ac:dyDescent="0.25">
      <c r="A5" s="48"/>
      <c r="B5" s="48" t="s">
        <v>41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x14ac:dyDescent="0.25">
      <c r="A8" s="48"/>
      <c r="B8" s="48" t="s">
        <v>42</v>
      </c>
      <c r="C8" s="48">
        <v>2018</v>
      </c>
      <c r="D8" s="48"/>
      <c r="E8" s="49"/>
      <c r="F8" s="48"/>
      <c r="G8" s="48"/>
      <c r="H8" s="48"/>
      <c r="I8" s="48"/>
      <c r="J8" s="48"/>
      <c r="K8" s="48"/>
      <c r="L8" s="48"/>
      <c r="M8" s="48"/>
      <c r="N8" s="48"/>
    </row>
    <row r="9" spans="1:14" x14ac:dyDescent="0.25">
      <c r="A9" s="48"/>
      <c r="B9" s="48"/>
      <c r="C9" s="48"/>
      <c r="D9" s="48"/>
      <c r="E9" s="49"/>
      <c r="F9" s="48"/>
      <c r="G9" s="48"/>
      <c r="H9" s="48"/>
      <c r="I9" s="48"/>
      <c r="J9" s="48"/>
      <c r="K9" s="48"/>
      <c r="L9" s="48"/>
      <c r="M9" s="48"/>
      <c r="N9" s="48"/>
    </row>
    <row r="10" spans="1:14" x14ac:dyDescent="0.25">
      <c r="A10" s="48"/>
      <c r="B10" s="48" t="s">
        <v>95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x14ac:dyDescent="0.25">
      <c r="A12" s="48"/>
      <c r="B12" s="48" t="s">
        <v>45</v>
      </c>
      <c r="C12" s="6">
        <v>1452393991.3437529</v>
      </c>
      <c r="D12" s="48"/>
      <c r="E12" s="6"/>
      <c r="F12" s="49"/>
      <c r="G12" s="6"/>
      <c r="H12" s="6"/>
      <c r="I12" s="6"/>
      <c r="J12" s="6"/>
      <c r="K12" s="7"/>
      <c r="L12" s="48"/>
      <c r="M12" s="6"/>
      <c r="N12" s="48"/>
    </row>
    <row r="13" spans="1:14" x14ac:dyDescent="0.25">
      <c r="A13" s="48"/>
      <c r="B13" s="48"/>
      <c r="C13" s="6"/>
      <c r="D13" s="48"/>
      <c r="E13" s="48"/>
      <c r="F13" s="48"/>
      <c r="G13" s="48"/>
      <c r="H13" s="48"/>
      <c r="I13" s="48"/>
      <c r="J13" s="48"/>
      <c r="K13" s="48"/>
      <c r="L13" s="48"/>
      <c r="M13" s="7"/>
      <c r="N13" s="48"/>
    </row>
    <row r="14" spans="1:14" x14ac:dyDescent="0.25">
      <c r="A14" s="48"/>
      <c r="B14" s="48" t="s">
        <v>43</v>
      </c>
      <c r="C14" s="6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x14ac:dyDescent="0.25">
      <c r="A15" s="48"/>
      <c r="B15" s="48" t="s">
        <v>44</v>
      </c>
      <c r="C15" s="7">
        <v>2399931932.3976059</v>
      </c>
      <c r="D15" s="48"/>
      <c r="E15" s="48"/>
      <c r="F15" s="49"/>
      <c r="G15" s="6"/>
      <c r="H15" s="48"/>
      <c r="I15" s="48"/>
      <c r="J15" s="48"/>
      <c r="K15" s="48"/>
      <c r="L15" s="48"/>
      <c r="M15" s="48"/>
      <c r="N15" s="48"/>
    </row>
    <row r="16" spans="1:14" x14ac:dyDescent="0.25">
      <c r="A16" s="48"/>
      <c r="B16" s="48"/>
      <c r="C16" s="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x14ac:dyDescent="0.25">
      <c r="A17" s="48"/>
      <c r="B17" s="48" t="s">
        <v>43</v>
      </c>
      <c r="C17" s="7"/>
      <c r="D17" s="48"/>
      <c r="E17" s="48"/>
      <c r="F17" s="7"/>
      <c r="G17" s="48"/>
      <c r="H17" s="48"/>
      <c r="I17" s="48"/>
      <c r="J17" s="48"/>
      <c r="K17" s="48"/>
      <c r="L17" s="48"/>
      <c r="M17" s="48"/>
      <c r="N17" s="48"/>
    </row>
    <row r="18" spans="1:14" x14ac:dyDescent="0.25">
      <c r="A18" s="48"/>
      <c r="B18" s="48" t="s">
        <v>87</v>
      </c>
      <c r="C18" s="7">
        <v>2586939932.3976059</v>
      </c>
      <c r="D18" s="48"/>
      <c r="E18" s="48"/>
      <c r="F18" s="7"/>
      <c r="G18" s="48"/>
      <c r="H18" s="48"/>
      <c r="I18" s="48"/>
      <c r="J18" s="48"/>
      <c r="K18" s="48"/>
      <c r="L18" s="48"/>
      <c r="M18" s="48"/>
      <c r="N18" s="48"/>
    </row>
    <row r="19" spans="1:14" x14ac:dyDescent="0.25">
      <c r="A19" s="48"/>
      <c r="B19" s="48"/>
      <c r="C19" s="6"/>
      <c r="D19" s="29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x14ac:dyDescent="0.25">
      <c r="A20" s="48"/>
      <c r="B20" s="48" t="s">
        <v>96</v>
      </c>
      <c r="C20" s="6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x14ac:dyDescent="0.25">
      <c r="A21" s="48"/>
      <c r="B21" s="48"/>
      <c r="C21" s="6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x14ac:dyDescent="0.25">
      <c r="A22" s="48"/>
      <c r="B22" s="48" t="s">
        <v>45</v>
      </c>
      <c r="C22" s="6">
        <v>55988620.900000006</v>
      </c>
      <c r="D22" s="48"/>
      <c r="E22" s="6"/>
      <c r="F22" s="49"/>
      <c r="G22" s="48"/>
      <c r="H22" s="48"/>
      <c r="I22" s="48"/>
      <c r="J22" s="48"/>
      <c r="K22" s="48"/>
      <c r="L22" s="48"/>
      <c r="M22" s="48"/>
      <c r="N22" s="48"/>
    </row>
    <row r="23" spans="1:14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x14ac:dyDescent="0.25">
      <c r="C25" s="48"/>
    </row>
    <row r="26" spans="1:14" x14ac:dyDescent="0.25">
      <c r="C26" s="48"/>
    </row>
  </sheetData>
  <phoneticPr fontId="2" type="noConversion"/>
  <pageMargins left="0.2" right="0.2" top="0.98" bottom="0.2" header="0.61" footer="0.2"/>
  <pageSetup paperSize="17" orientation="landscape" r:id="rId1"/>
  <headerFooter alignWithMargins="0">
    <oddHeader xml:space="preserve">&amp;R&amp;"Times New Roman,Bold"KyPSC Case No. 2017-00427
STAFF-DR-01-009 Attachment
Page &amp;P of &amp;N
Appendix B
</oddHeader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tabSelected="1" zoomScale="80" zoomScaleNormal="80" workbookViewId="0">
      <selection activeCell="L19" sqref="L19"/>
    </sheetView>
  </sheetViews>
  <sheetFormatPr defaultColWidth="9.109375" defaultRowHeight="13.2" x14ac:dyDescent="0.25"/>
  <cols>
    <col min="1" max="1" width="13.5546875" style="48" customWidth="1"/>
    <col min="2" max="2" width="11.6640625" style="48" customWidth="1"/>
    <col min="3" max="3" width="16.6640625" style="48" customWidth="1"/>
    <col min="4" max="4" width="15.88671875" style="48" customWidth="1"/>
    <col min="5" max="5" width="1.33203125" style="48" customWidth="1"/>
    <col min="6" max="6" width="13.5546875" style="48" customWidth="1"/>
    <col min="7" max="7" width="13.109375" style="48" customWidth="1"/>
    <col min="8" max="8" width="18.33203125" style="48" customWidth="1"/>
    <col min="9" max="9" width="14.5546875" style="48" customWidth="1"/>
    <col min="10" max="10" width="6.109375" style="48" customWidth="1"/>
    <col min="11" max="11" width="22" style="48" customWidth="1"/>
    <col min="12" max="12" width="8.5546875" style="48" bestFit="1" customWidth="1"/>
    <col min="13" max="13" width="12.109375" style="48" customWidth="1"/>
    <col min="14" max="14" width="21.44140625" style="48" customWidth="1"/>
    <col min="15" max="15" width="9.109375" style="48"/>
    <col min="16" max="16" width="25" style="48" customWidth="1"/>
    <col min="17" max="17" width="9.33203125" style="48" bestFit="1" customWidth="1"/>
    <col min="18" max="16384" width="9.109375" style="48"/>
  </cols>
  <sheetData>
    <row r="1" spans="2:13" x14ac:dyDescent="0.25">
      <c r="B1" s="48" t="str">
        <f>'Page 1'!E3</f>
        <v xml:space="preserve">                      Kentucky DSM Rider</v>
      </c>
      <c r="M1" s="27"/>
    </row>
    <row r="3" spans="2:13" x14ac:dyDescent="0.25">
      <c r="B3" s="48" t="str">
        <f>'Page 4'!B3</f>
        <v>Duke Energy Kentucky</v>
      </c>
    </row>
    <row r="4" spans="2:13" x14ac:dyDescent="0.25">
      <c r="B4" s="49" t="s">
        <v>75</v>
      </c>
    </row>
    <row r="5" spans="2:13" x14ac:dyDescent="0.25">
      <c r="B5" s="48" t="s">
        <v>46</v>
      </c>
    </row>
    <row r="7" spans="2:13" x14ac:dyDescent="0.25">
      <c r="B7" s="49" t="s">
        <v>143</v>
      </c>
    </row>
    <row r="9" spans="2:13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1" spans="2:13" x14ac:dyDescent="0.25">
      <c r="G11" s="45" t="s">
        <v>47</v>
      </c>
      <c r="H11" s="45" t="s">
        <v>48</v>
      </c>
      <c r="I11" s="45" t="s">
        <v>49</v>
      </c>
    </row>
    <row r="12" spans="2:13" x14ac:dyDescent="0.25">
      <c r="B12" s="48" t="s">
        <v>50</v>
      </c>
      <c r="F12" s="45" t="s">
        <v>51</v>
      </c>
      <c r="G12" s="45" t="s">
        <v>35</v>
      </c>
      <c r="H12" s="45" t="s">
        <v>52</v>
      </c>
      <c r="I12" s="45" t="s">
        <v>53</v>
      </c>
      <c r="K12" s="48" t="s">
        <v>54</v>
      </c>
    </row>
    <row r="13" spans="2:13" x14ac:dyDescent="0.25">
      <c r="B13" s="48" t="s">
        <v>83</v>
      </c>
      <c r="F13" s="45" t="s">
        <v>58</v>
      </c>
      <c r="G13" s="45" t="s">
        <v>59</v>
      </c>
      <c r="H13" s="45" t="s">
        <v>55</v>
      </c>
      <c r="I13" s="45" t="s">
        <v>60</v>
      </c>
      <c r="K13" s="48" t="s">
        <v>76</v>
      </c>
    </row>
    <row r="14" spans="2:13" x14ac:dyDescent="0.25">
      <c r="B14" s="28" t="s">
        <v>37</v>
      </c>
      <c r="C14" s="28"/>
    </row>
    <row r="15" spans="2:13" x14ac:dyDescent="0.25">
      <c r="B15" s="48" t="s">
        <v>38</v>
      </c>
      <c r="D15" s="23"/>
      <c r="F15" s="2">
        <f>'Page 1'!O21*Q43</f>
        <v>46605.077876454539</v>
      </c>
      <c r="G15" s="22">
        <f>'Page 2'!J20</f>
        <v>5554719.7686115243</v>
      </c>
      <c r="H15" s="3">
        <f>SUM(D15:G15)</f>
        <v>5601324.8464879785</v>
      </c>
      <c r="I15" s="6">
        <f>'Page 4'!C12</f>
        <v>1452393991.3437529</v>
      </c>
      <c r="J15" s="23" t="s">
        <v>97</v>
      </c>
      <c r="K15" s="55">
        <f>H15/(I15)</f>
        <v>3.8566152709745383E-3</v>
      </c>
      <c r="L15" s="48" t="s">
        <v>56</v>
      </c>
    </row>
    <row r="16" spans="2:13" x14ac:dyDescent="0.25">
      <c r="F16" s="6"/>
      <c r="J16" s="23"/>
    </row>
    <row r="17" spans="2:12" x14ac:dyDescent="0.25">
      <c r="B17" s="48" t="s">
        <v>89</v>
      </c>
      <c r="F17" s="6"/>
      <c r="J17" s="23"/>
    </row>
    <row r="18" spans="2:12" x14ac:dyDescent="0.25">
      <c r="B18" s="48" t="s">
        <v>39</v>
      </c>
      <c r="D18" s="2"/>
      <c r="F18" s="22">
        <f>'Page 1'!J47*Q43</f>
        <v>5632417.5237639118</v>
      </c>
      <c r="G18" s="2">
        <f>'Page 2'!J41-'Page 2'!J39</f>
        <v>4026291.5090931407</v>
      </c>
      <c r="H18" s="3">
        <f>SUM(D18:G18)</f>
        <v>9658709.032857053</v>
      </c>
      <c r="I18" s="6">
        <f>'Page 4'!C15</f>
        <v>2399931932.3976059</v>
      </c>
      <c r="J18" s="23" t="s">
        <v>97</v>
      </c>
      <c r="K18" s="56">
        <f>H18/(I18)</f>
        <v>4.0245762400468186E-3</v>
      </c>
      <c r="L18" s="48" t="s">
        <v>56</v>
      </c>
    </row>
    <row r="19" spans="2:12" x14ac:dyDescent="0.25">
      <c r="D19" s="2"/>
      <c r="F19" s="2"/>
      <c r="G19" s="2"/>
      <c r="H19" s="3"/>
      <c r="I19" s="6"/>
      <c r="J19" s="23"/>
      <c r="K19" s="23"/>
    </row>
    <row r="20" spans="2:12" x14ac:dyDescent="0.25">
      <c r="B20" s="48" t="s">
        <v>91</v>
      </c>
      <c r="G20" s="2"/>
      <c r="H20" s="3"/>
      <c r="I20" s="6"/>
      <c r="J20" s="23"/>
      <c r="K20" s="23"/>
    </row>
    <row r="21" spans="2:12" x14ac:dyDescent="0.25">
      <c r="B21" s="48" t="s">
        <v>90</v>
      </c>
      <c r="F21" s="2"/>
      <c r="G21" s="2"/>
      <c r="H21" s="3"/>
      <c r="I21" s="6"/>
      <c r="J21" s="23"/>
      <c r="K21" s="23"/>
    </row>
    <row r="22" spans="2:12" x14ac:dyDescent="0.25">
      <c r="B22" s="48" t="s">
        <v>88</v>
      </c>
      <c r="D22" s="2"/>
      <c r="F22" s="22">
        <f>'Page 1'!J49*Q43</f>
        <v>180056.21987545965</v>
      </c>
      <c r="G22" s="2">
        <f>'Page 2'!J39</f>
        <v>1017571.0280787206</v>
      </c>
      <c r="H22" s="3">
        <f>SUM(D22:G22)</f>
        <v>1197627.2479541802</v>
      </c>
      <c r="I22" s="6">
        <f>'Page 4'!C18</f>
        <v>2586939932.3976059</v>
      </c>
      <c r="J22" s="23" t="s">
        <v>97</v>
      </c>
      <c r="K22" s="56">
        <f>H22/(I22)</f>
        <v>4.6295131671039822E-4</v>
      </c>
      <c r="L22" s="48" t="s">
        <v>56</v>
      </c>
    </row>
    <row r="23" spans="2:12" x14ac:dyDescent="0.25">
      <c r="D23" s="2"/>
      <c r="F23" s="2"/>
      <c r="G23" s="2"/>
      <c r="H23" s="3"/>
      <c r="I23" s="6"/>
      <c r="J23" s="23"/>
      <c r="K23" s="23"/>
    </row>
    <row r="24" spans="2:12" x14ac:dyDescent="0.25">
      <c r="B24" s="48" t="s">
        <v>92</v>
      </c>
      <c r="D24" s="2"/>
      <c r="F24" s="2"/>
      <c r="G24" s="2"/>
      <c r="H24" s="3"/>
      <c r="I24" s="6"/>
      <c r="J24" s="23"/>
      <c r="K24" s="23"/>
    </row>
    <row r="25" spans="2:12" x14ac:dyDescent="0.25">
      <c r="B25" s="48" t="s">
        <v>39</v>
      </c>
      <c r="D25" s="2"/>
      <c r="F25" s="2"/>
      <c r="G25" s="2"/>
      <c r="H25" s="3"/>
      <c r="I25" s="6"/>
      <c r="J25" s="23"/>
      <c r="K25" s="56">
        <f>K18+K22</f>
        <v>4.4875275567572166E-3</v>
      </c>
      <c r="L25" s="48" t="str">
        <f>L22</f>
        <v>$/kWh</v>
      </c>
    </row>
    <row r="26" spans="2:12" x14ac:dyDescent="0.25">
      <c r="F26" s="6"/>
    </row>
    <row r="27" spans="2:12" x14ac:dyDescent="0.25">
      <c r="B27" s="28" t="s">
        <v>40</v>
      </c>
      <c r="F27" s="6"/>
    </row>
    <row r="28" spans="2:12" x14ac:dyDescent="0.25">
      <c r="B28" s="48" t="s">
        <v>38</v>
      </c>
      <c r="D28" s="23"/>
      <c r="F28" s="2">
        <f>'Page 1'!N21*Q43</f>
        <v>-2751966.0457063201</v>
      </c>
      <c r="G28" s="2">
        <f>'Page 2'!K20</f>
        <v>524042.92033891525</v>
      </c>
      <c r="H28" s="3">
        <f>SUM(D28:G28)</f>
        <v>-2227923.1253674049</v>
      </c>
      <c r="I28" s="6">
        <f>'Page 4'!C22</f>
        <v>55988620.900000006</v>
      </c>
      <c r="J28" s="23" t="s">
        <v>98</v>
      </c>
      <c r="K28" s="23">
        <f>H28/(I28)</f>
        <v>-3.979242727458223E-2</v>
      </c>
      <c r="L28" s="48" t="s">
        <v>99</v>
      </c>
    </row>
    <row r="30" spans="2:12" x14ac:dyDescent="0.25">
      <c r="C30" s="48" t="s">
        <v>78</v>
      </c>
      <c r="H30" s="3">
        <f>SUM(H15:H29)</f>
        <v>14229738.001931807</v>
      </c>
    </row>
    <row r="31" spans="2:12" x14ac:dyDescent="0.25">
      <c r="H31" s="3"/>
    </row>
    <row r="32" spans="2:12" x14ac:dyDescent="0.25">
      <c r="B32" s="48" t="s">
        <v>94</v>
      </c>
      <c r="H32" s="3"/>
    </row>
    <row r="33" spans="2:17" x14ac:dyDescent="0.25">
      <c r="B33" s="30" t="s">
        <v>79</v>
      </c>
      <c r="H33" s="3" t="s">
        <v>82</v>
      </c>
      <c r="I33" s="48" t="s">
        <v>81</v>
      </c>
      <c r="K33" s="48" t="s">
        <v>85</v>
      </c>
    </row>
    <row r="34" spans="2:17" x14ac:dyDescent="0.25">
      <c r="B34" s="48" t="s">
        <v>38</v>
      </c>
      <c r="G34" s="2"/>
      <c r="H34" s="3">
        <f>I34*K34*12</f>
        <v>150012</v>
      </c>
      <c r="I34" s="42">
        <v>125010</v>
      </c>
      <c r="K34" s="24">
        <v>0.1</v>
      </c>
    </row>
    <row r="35" spans="2:17" x14ac:dyDescent="0.25">
      <c r="H35" s="3"/>
      <c r="I35" s="42"/>
    </row>
    <row r="36" spans="2:17" x14ac:dyDescent="0.25">
      <c r="B36" s="30" t="s">
        <v>80</v>
      </c>
      <c r="C36" s="30"/>
      <c r="H36" s="3"/>
      <c r="I36" s="42"/>
    </row>
    <row r="37" spans="2:17" x14ac:dyDescent="0.25">
      <c r="B37" s="48" t="s">
        <v>38</v>
      </c>
      <c r="G37" s="2"/>
      <c r="H37" s="3">
        <f>I37*K37*12</f>
        <v>108388.79999999999</v>
      </c>
      <c r="I37" s="42">
        <v>90324</v>
      </c>
      <c r="K37" s="24">
        <v>0.1</v>
      </c>
    </row>
    <row r="39" spans="2:17" x14ac:dyDescent="0.25">
      <c r="C39" s="48" t="s">
        <v>84</v>
      </c>
      <c r="H39" s="3">
        <f>H34+H37</f>
        <v>258400.8</v>
      </c>
    </row>
    <row r="41" spans="2:17" x14ac:dyDescent="0.25">
      <c r="B41" s="48" t="s">
        <v>57</v>
      </c>
      <c r="H41" s="3">
        <f>H30+H39</f>
        <v>14488138.801931808</v>
      </c>
    </row>
    <row r="43" spans="2:17" x14ac:dyDescent="0.25">
      <c r="B43" s="31" t="s">
        <v>161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  <c r="Q43" s="117">
        <v>1.01</v>
      </c>
    </row>
    <row r="44" spans="2:17" x14ac:dyDescent="0.25">
      <c r="B44" s="49" t="s">
        <v>101</v>
      </c>
    </row>
    <row r="45" spans="2:17" x14ac:dyDescent="0.25">
      <c r="B45" s="49" t="s">
        <v>102</v>
      </c>
    </row>
  </sheetData>
  <phoneticPr fontId="2" type="noConversion"/>
  <pageMargins left="0.2" right="0.2" top="1.23" bottom="0.2" header="0.63" footer="0.2"/>
  <pageSetup paperSize="17" scale="91" orientation="landscape" r:id="rId1"/>
  <headerFooter alignWithMargins="0">
    <oddHeader xml:space="preserve">&amp;R&amp;"Times New Roman,Bold"KyPSC Case No. 2017-00427
STAFF-DR-01-009 Attachment
Page &amp;P of &amp;N
Appendix B
</oddHeader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80" zoomScaleNormal="80" workbookViewId="0">
      <selection activeCell="L19" sqref="L19"/>
    </sheetView>
  </sheetViews>
  <sheetFormatPr defaultColWidth="9.109375" defaultRowHeight="13.2" x14ac:dyDescent="0.25"/>
  <cols>
    <col min="1" max="1" width="44.33203125" style="78" bestFit="1" customWidth="1"/>
    <col min="2" max="2" width="18.44140625" style="78" customWidth="1"/>
    <col min="3" max="3" width="14.6640625" style="78" customWidth="1"/>
    <col min="4" max="4" width="12.33203125" style="78" customWidth="1"/>
    <col min="5" max="5" width="13" style="78" customWidth="1"/>
    <col min="6" max="6" width="1.33203125" style="78" customWidth="1"/>
    <col min="7" max="8" width="17.109375" style="78" customWidth="1"/>
    <col min="9" max="9" width="9.44140625" style="78" customWidth="1"/>
    <col min="10" max="16384" width="9.109375" style="78"/>
  </cols>
  <sheetData>
    <row r="1" spans="1:8" x14ac:dyDescent="0.25">
      <c r="A1" s="77"/>
    </row>
    <row r="3" spans="1:8" x14ac:dyDescent="0.25">
      <c r="A3" s="79"/>
      <c r="B3" s="77"/>
      <c r="C3" s="77"/>
      <c r="D3" s="77"/>
      <c r="E3" s="77"/>
      <c r="F3" s="79"/>
      <c r="G3" s="77"/>
      <c r="H3" s="77"/>
    </row>
    <row r="4" spans="1:8" ht="30" customHeight="1" x14ac:dyDescent="0.25">
      <c r="A4" s="118" t="s">
        <v>157</v>
      </c>
      <c r="B4" s="119"/>
      <c r="C4" s="119"/>
      <c r="D4" s="119"/>
      <c r="E4" s="119"/>
      <c r="F4" s="77"/>
      <c r="G4" s="135" t="s">
        <v>158</v>
      </c>
      <c r="H4" s="135"/>
    </row>
    <row r="5" spans="1:8" x14ac:dyDescent="0.25">
      <c r="A5" s="120"/>
      <c r="B5" s="119"/>
      <c r="C5" s="119"/>
      <c r="D5" s="119"/>
      <c r="E5" s="119"/>
      <c r="F5" s="77"/>
      <c r="G5" s="50"/>
      <c r="H5" s="50"/>
    </row>
    <row r="6" spans="1:8" ht="26.4" x14ac:dyDescent="0.25">
      <c r="A6" s="120" t="s">
        <v>21</v>
      </c>
      <c r="B6" s="121" t="s">
        <v>97</v>
      </c>
      <c r="C6" s="51" t="s">
        <v>126</v>
      </c>
      <c r="D6" s="122" t="s">
        <v>124</v>
      </c>
      <c r="E6" s="51" t="s">
        <v>126</v>
      </c>
      <c r="F6" s="77"/>
      <c r="G6" s="51" t="s">
        <v>128</v>
      </c>
      <c r="H6" s="51" t="s">
        <v>129</v>
      </c>
    </row>
    <row r="7" spans="1:8" x14ac:dyDescent="0.25">
      <c r="A7" s="79" t="s">
        <v>105</v>
      </c>
      <c r="B7" s="123">
        <v>0</v>
      </c>
      <c r="C7" s="124">
        <f>B7/B$18</f>
        <v>0</v>
      </c>
      <c r="D7" s="125">
        <v>0</v>
      </c>
      <c r="E7" s="124">
        <f t="shared" ref="E7:E16" si="0">D7/D$18</f>
        <v>0</v>
      </c>
      <c r="F7" s="77"/>
      <c r="G7" s="126">
        <v>1</v>
      </c>
      <c r="H7" s="126">
        <f t="shared" ref="H7" si="1">1-G7</f>
        <v>0</v>
      </c>
    </row>
    <row r="8" spans="1:8" x14ac:dyDescent="0.25">
      <c r="A8" s="79" t="s">
        <v>106</v>
      </c>
      <c r="B8" s="123">
        <v>483863.35795571917</v>
      </c>
      <c r="C8" s="124">
        <f t="shared" ref="C8:C18" si="2">B8/B$18</f>
        <v>3.3236235760270499E-4</v>
      </c>
      <c r="D8" s="125">
        <v>5715.1999999999234</v>
      </c>
      <c r="E8" s="124">
        <f t="shared" si="0"/>
        <v>1.1212008462837648E-4</v>
      </c>
      <c r="F8" s="77"/>
      <c r="G8" s="126">
        <f t="shared" ref="G8:G13" si="3">C8/SUM($C8,$E8)</f>
        <v>0.7477513755873253</v>
      </c>
      <c r="H8" s="126">
        <f t="shared" ref="H8:H14" si="4">1-G8</f>
        <v>0.2522486244126747</v>
      </c>
    </row>
    <row r="9" spans="1:8" x14ac:dyDescent="0.25">
      <c r="A9" s="79" t="s">
        <v>108</v>
      </c>
      <c r="B9" s="123">
        <v>257692.89</v>
      </c>
      <c r="C9" s="124">
        <f t="shared" si="2"/>
        <v>1.770074444564421E-4</v>
      </c>
      <c r="D9" s="125">
        <v>0</v>
      </c>
      <c r="E9" s="124">
        <f t="shared" si="0"/>
        <v>0</v>
      </c>
      <c r="F9" s="77"/>
      <c r="G9" s="126">
        <f t="shared" si="3"/>
        <v>1</v>
      </c>
      <c r="H9" s="126">
        <f t="shared" si="4"/>
        <v>0</v>
      </c>
    </row>
    <row r="10" spans="1:8" x14ac:dyDescent="0.25">
      <c r="A10" s="79" t="s">
        <v>109</v>
      </c>
      <c r="B10" s="123">
        <v>274939</v>
      </c>
      <c r="C10" s="124">
        <f t="shared" si="2"/>
        <v>1.8885367683760981E-4</v>
      </c>
      <c r="D10" s="125">
        <v>8240.4913333333279</v>
      </c>
      <c r="E10" s="124">
        <f t="shared" si="0"/>
        <v>1.6166093674285206E-4</v>
      </c>
      <c r="F10" s="77"/>
      <c r="G10" s="126">
        <f t="shared" si="3"/>
        <v>0.53878973806111452</v>
      </c>
      <c r="H10" s="126">
        <f t="shared" si="4"/>
        <v>0.46121026193888548</v>
      </c>
    </row>
    <row r="11" spans="1:8" x14ac:dyDescent="0.25">
      <c r="A11" s="79" t="s">
        <v>107</v>
      </c>
      <c r="B11" s="123">
        <v>11187353.742331285</v>
      </c>
      <c r="C11" s="124">
        <f t="shared" si="2"/>
        <v>7.6845150681505983E-3</v>
      </c>
      <c r="D11" s="125">
        <v>0</v>
      </c>
      <c r="E11" s="124">
        <f t="shared" si="0"/>
        <v>0</v>
      </c>
      <c r="F11" s="77"/>
      <c r="G11" s="126">
        <f t="shared" si="3"/>
        <v>1</v>
      </c>
      <c r="H11" s="126">
        <f t="shared" si="4"/>
        <v>0</v>
      </c>
    </row>
    <row r="12" spans="1:8" x14ac:dyDescent="0.25">
      <c r="A12" s="79" t="s">
        <v>110</v>
      </c>
      <c r="B12" s="123">
        <v>433776.56543591974</v>
      </c>
      <c r="C12" s="124">
        <f t="shared" si="2"/>
        <v>2.9795809000746889E-4</v>
      </c>
      <c r="D12" s="125">
        <v>0</v>
      </c>
      <c r="E12" s="124">
        <f t="shared" si="0"/>
        <v>0</v>
      </c>
      <c r="F12" s="77"/>
      <c r="G12" s="126">
        <f t="shared" si="3"/>
        <v>1</v>
      </c>
      <c r="H12" s="126">
        <f t="shared" si="4"/>
        <v>0</v>
      </c>
    </row>
    <row r="13" spans="1:8" x14ac:dyDescent="0.25">
      <c r="A13" s="79" t="s">
        <v>104</v>
      </c>
      <c r="B13" s="123">
        <v>8135926.7715414111</v>
      </c>
      <c r="C13" s="124">
        <f t="shared" si="2"/>
        <v>5.588511216259388E-3</v>
      </c>
      <c r="D13" s="125">
        <v>73.245999999999867</v>
      </c>
      <c r="E13" s="124">
        <f t="shared" si="0"/>
        <v>1.4369309418200866E-6</v>
      </c>
      <c r="F13" s="77"/>
      <c r="G13" s="126">
        <f t="shared" si="3"/>
        <v>0.99974294377980244</v>
      </c>
      <c r="H13" s="126">
        <f t="shared" si="4"/>
        <v>2.5705622019756014E-4</v>
      </c>
    </row>
    <row r="14" spans="1:8" x14ac:dyDescent="0.25">
      <c r="A14" s="79" t="s">
        <v>137</v>
      </c>
      <c r="B14" s="123">
        <v>0</v>
      </c>
      <c r="C14" s="124">
        <f t="shared" si="2"/>
        <v>0</v>
      </c>
      <c r="D14" s="125">
        <v>0</v>
      </c>
      <c r="E14" s="124">
        <f t="shared" si="0"/>
        <v>0</v>
      </c>
      <c r="F14" s="77"/>
      <c r="G14" s="126">
        <v>1</v>
      </c>
      <c r="H14" s="126">
        <f t="shared" si="4"/>
        <v>0</v>
      </c>
    </row>
    <row r="15" spans="1:8" x14ac:dyDescent="0.25">
      <c r="A15" s="79" t="s">
        <v>138</v>
      </c>
      <c r="B15" s="123">
        <v>0</v>
      </c>
      <c r="C15" s="124">
        <f t="shared" si="2"/>
        <v>0</v>
      </c>
      <c r="D15" s="125">
        <v>0</v>
      </c>
      <c r="E15" s="124">
        <f t="shared" si="0"/>
        <v>0</v>
      </c>
      <c r="F15" s="77"/>
      <c r="G15" s="126">
        <v>1</v>
      </c>
      <c r="H15" s="126">
        <f t="shared" ref="H15" si="5">1-G15</f>
        <v>0</v>
      </c>
    </row>
    <row r="16" spans="1:8" x14ac:dyDescent="0.25">
      <c r="A16" s="127" t="s">
        <v>125</v>
      </c>
      <c r="B16" s="128">
        <f>SUM(B7:B15)</f>
        <v>20773552.327264335</v>
      </c>
      <c r="C16" s="129">
        <f t="shared" si="2"/>
        <v>1.4269207853314212E-2</v>
      </c>
      <c r="D16" s="128">
        <f>SUM(D7:D15)</f>
        <v>14028.937333333251</v>
      </c>
      <c r="E16" s="129">
        <f t="shared" si="0"/>
        <v>2.7521795231304864E-4</v>
      </c>
      <c r="F16" s="77"/>
      <c r="G16" s="77"/>
      <c r="H16" s="77"/>
    </row>
    <row r="17" spans="1:8" x14ac:dyDescent="0.25">
      <c r="A17" s="120"/>
      <c r="B17" s="130"/>
      <c r="C17" s="131"/>
      <c r="D17" s="130"/>
      <c r="E17" s="77"/>
      <c r="F17" s="77"/>
      <c r="G17" s="77"/>
      <c r="H17" s="77"/>
    </row>
    <row r="18" spans="1:8" x14ac:dyDescent="0.25">
      <c r="A18" s="120" t="s">
        <v>127</v>
      </c>
      <c r="B18" s="132">
        <v>1455830803</v>
      </c>
      <c r="C18" s="131">
        <f t="shared" si="2"/>
        <v>1</v>
      </c>
      <c r="D18" s="132">
        <v>50973918</v>
      </c>
      <c r="E18" s="131">
        <f t="shared" ref="E18" si="6">D18/D$18</f>
        <v>1</v>
      </c>
      <c r="F18" s="77"/>
      <c r="G18" s="77"/>
      <c r="H18" s="77"/>
    </row>
    <row r="19" spans="1:8" x14ac:dyDescent="0.25">
      <c r="A19" s="79" t="s">
        <v>153</v>
      </c>
      <c r="B19" s="77"/>
      <c r="C19" s="77"/>
      <c r="D19" s="77"/>
      <c r="E19" s="79"/>
      <c r="F19" s="77"/>
      <c r="G19" s="77"/>
      <c r="H19" s="77"/>
    </row>
    <row r="21" spans="1:8" x14ac:dyDescent="0.25">
      <c r="A21" s="78" t="s">
        <v>132</v>
      </c>
    </row>
    <row r="22" spans="1:8" x14ac:dyDescent="0.25">
      <c r="A22" s="77"/>
    </row>
  </sheetData>
  <mergeCells count="1">
    <mergeCell ref="G4:H4"/>
  </mergeCells>
  <pageMargins left="1.05" right="0.2" top="0.82" bottom="0.2" header="0.75" footer="0.2"/>
  <pageSetup paperSize="17" orientation="landscape" r:id="rId1"/>
  <headerFooter alignWithMargins="0">
    <oddHeader xml:space="preserve">&amp;R&amp;"Times New Roman,Bold"KyPSC Case No. 2017-00427
STAFF-DR-01-009 Attachment
Page &amp;P of &amp;N
Appendix B
</oddHeader>
    <oddFooter>&amp;L&amp;D &amp;T&amp;C&amp;F&amp;R&amp;A</oddFooter>
  </headerFooter>
  <ignoredErrors>
    <ignoredError sqref="C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80" zoomScaleNormal="80" workbookViewId="0">
      <selection activeCell="L19" sqref="L19"/>
    </sheetView>
  </sheetViews>
  <sheetFormatPr defaultColWidth="9.109375" defaultRowHeight="13.2" x14ac:dyDescent="0.25"/>
  <cols>
    <col min="1" max="1" width="44.33203125" style="52" bestFit="1" customWidth="1"/>
    <col min="2" max="2" width="18.44140625" style="52" customWidth="1"/>
    <col min="3" max="3" width="14.6640625" style="52" customWidth="1"/>
    <col min="4" max="4" width="12.33203125" style="52" customWidth="1"/>
    <col min="5" max="5" width="13" style="52" customWidth="1"/>
    <col min="6" max="6" width="1.33203125" style="47" customWidth="1"/>
    <col min="7" max="8" width="17.109375" style="47" customWidth="1"/>
    <col min="9" max="9" width="9.44140625" style="52" customWidth="1"/>
    <col min="10" max="16384" width="9.109375" style="52"/>
  </cols>
  <sheetData>
    <row r="1" spans="1:8" x14ac:dyDescent="0.25">
      <c r="A1" s="80"/>
      <c r="B1" s="80"/>
      <c r="C1" s="80"/>
      <c r="D1" s="80"/>
      <c r="E1" s="80"/>
      <c r="F1" s="78"/>
      <c r="G1" s="78"/>
      <c r="H1" s="78"/>
    </row>
    <row r="2" spans="1:8" x14ac:dyDescent="0.25">
      <c r="A2" s="80"/>
      <c r="B2" s="80"/>
      <c r="C2" s="80"/>
      <c r="D2" s="80"/>
      <c r="E2" s="80"/>
      <c r="F2" s="78"/>
      <c r="G2" s="78"/>
      <c r="H2" s="78"/>
    </row>
    <row r="3" spans="1:8" x14ac:dyDescent="0.25">
      <c r="A3" s="80"/>
      <c r="B3" s="81"/>
      <c r="C3" s="81"/>
      <c r="D3" s="81"/>
      <c r="E3" s="81"/>
      <c r="F3" s="77"/>
      <c r="G3" s="135"/>
      <c r="H3" s="135"/>
    </row>
    <row r="4" spans="1:8" ht="30.75" customHeight="1" x14ac:dyDescent="0.25">
      <c r="A4" s="89" t="s">
        <v>160</v>
      </c>
      <c r="E4" s="90"/>
      <c r="F4" s="84"/>
      <c r="G4" s="136" t="s">
        <v>146</v>
      </c>
      <c r="H4" s="136"/>
    </row>
    <row r="5" spans="1:8" x14ac:dyDescent="0.25">
      <c r="A5" s="90"/>
      <c r="B5" s="91"/>
      <c r="C5" s="92"/>
      <c r="D5" s="92"/>
      <c r="E5" s="92"/>
      <c r="F5" s="84"/>
      <c r="G5" s="51"/>
      <c r="H5" s="51"/>
    </row>
    <row r="6" spans="1:8" ht="26.4" x14ac:dyDescent="0.25">
      <c r="A6" s="93" t="s">
        <v>21</v>
      </c>
      <c r="B6" s="94" t="s">
        <v>97</v>
      </c>
      <c r="C6" s="95" t="s">
        <v>126</v>
      </c>
      <c r="D6" s="96" t="s">
        <v>124</v>
      </c>
      <c r="E6" s="94" t="s">
        <v>126</v>
      </c>
      <c r="F6" s="84"/>
      <c r="G6" s="97" t="s">
        <v>128</v>
      </c>
      <c r="H6" s="97" t="s">
        <v>129</v>
      </c>
    </row>
    <row r="7" spans="1:8" x14ac:dyDescent="0.25">
      <c r="A7" s="98" t="s">
        <v>105</v>
      </c>
      <c r="B7" s="99">
        <v>0</v>
      </c>
      <c r="C7" s="85">
        <f t="shared" ref="C7:C14" si="0">B7/$B$17</f>
        <v>0</v>
      </c>
      <c r="D7" s="82">
        <v>0</v>
      </c>
      <c r="E7" s="85">
        <f t="shared" ref="E7:E14" si="1">D7/$D$17</f>
        <v>0</v>
      </c>
      <c r="F7" s="84"/>
      <c r="G7" s="86">
        <v>1</v>
      </c>
      <c r="H7" s="86">
        <v>0</v>
      </c>
    </row>
    <row r="8" spans="1:8" x14ac:dyDescent="0.25">
      <c r="A8" s="98" t="s">
        <v>106</v>
      </c>
      <c r="B8" s="99">
        <v>485608.42885213514</v>
      </c>
      <c r="C8" s="85">
        <f t="shared" si="0"/>
        <v>3.3435034277637773E-4</v>
      </c>
      <c r="D8" s="82">
        <v>5696.1999999999243</v>
      </c>
      <c r="E8" s="85">
        <f t="shared" si="1"/>
        <v>1.0173853023052268E-4</v>
      </c>
      <c r="F8" s="84"/>
      <c r="G8" s="86">
        <f t="shared" ref="G8:G13" si="2">C8/SUM($C8,$E8)</f>
        <v>0.76670230192066191</v>
      </c>
      <c r="H8" s="86">
        <f t="shared" ref="H8:H13" si="3">E8/SUM($C8,$E8)</f>
        <v>0.23329769807933814</v>
      </c>
    </row>
    <row r="9" spans="1:8" x14ac:dyDescent="0.25">
      <c r="A9" s="98" t="s">
        <v>108</v>
      </c>
      <c r="B9" s="99">
        <v>233477.81486361416</v>
      </c>
      <c r="C9" s="85">
        <f t="shared" si="0"/>
        <v>1.6075377360078502E-4</v>
      </c>
      <c r="D9" s="82">
        <v>0</v>
      </c>
      <c r="E9" s="85">
        <f t="shared" si="1"/>
        <v>0</v>
      </c>
      <c r="F9" s="84"/>
      <c r="G9" s="86">
        <f t="shared" si="2"/>
        <v>1</v>
      </c>
      <c r="H9" s="86">
        <f t="shared" si="3"/>
        <v>0</v>
      </c>
    </row>
    <row r="10" spans="1:8" x14ac:dyDescent="0.25">
      <c r="A10" s="98" t="s">
        <v>109</v>
      </c>
      <c r="B10" s="99">
        <v>319009.89317110775</v>
      </c>
      <c r="C10" s="85">
        <f t="shared" si="0"/>
        <v>2.196441840660331E-4</v>
      </c>
      <c r="D10" s="82">
        <v>12783.727999999992</v>
      </c>
      <c r="E10" s="85">
        <f t="shared" si="1"/>
        <v>2.2832725283290539E-4</v>
      </c>
      <c r="F10" s="84"/>
      <c r="G10" s="86">
        <f t="shared" si="2"/>
        <v>0.49030845713403021</v>
      </c>
      <c r="H10" s="86">
        <f t="shared" si="3"/>
        <v>0.50969154286596985</v>
      </c>
    </row>
    <row r="11" spans="1:8" x14ac:dyDescent="0.25">
      <c r="A11" s="98" t="s">
        <v>107</v>
      </c>
      <c r="B11" s="99">
        <v>13289995.549057221</v>
      </c>
      <c r="C11" s="85">
        <f t="shared" si="0"/>
        <v>9.1504065895792758E-3</v>
      </c>
      <c r="D11" s="82">
        <v>0</v>
      </c>
      <c r="E11" s="85">
        <f t="shared" si="1"/>
        <v>0</v>
      </c>
      <c r="F11" s="84"/>
      <c r="G11" s="86">
        <f t="shared" si="2"/>
        <v>1</v>
      </c>
      <c r="H11" s="86">
        <f t="shared" si="3"/>
        <v>0</v>
      </c>
    </row>
    <row r="12" spans="1:8" x14ac:dyDescent="0.25">
      <c r="A12" s="98" t="s">
        <v>110</v>
      </c>
      <c r="B12" s="99">
        <v>424068.73706879799</v>
      </c>
      <c r="C12" s="85">
        <f t="shared" si="0"/>
        <v>2.9197913210619262E-4</v>
      </c>
      <c r="D12" s="82">
        <v>0</v>
      </c>
      <c r="E12" s="85">
        <f t="shared" si="1"/>
        <v>0</v>
      </c>
      <c r="F12" s="84"/>
      <c r="G12" s="86">
        <f t="shared" si="2"/>
        <v>1</v>
      </c>
      <c r="H12" s="86">
        <f t="shared" si="3"/>
        <v>0</v>
      </c>
    </row>
    <row r="13" spans="1:8" x14ac:dyDescent="0.25">
      <c r="A13" s="53" t="s">
        <v>104</v>
      </c>
      <c r="B13" s="99">
        <v>5233622.9442848274</v>
      </c>
      <c r="C13" s="85">
        <f t="shared" si="0"/>
        <v>3.6034457423241521E-3</v>
      </c>
      <c r="D13" s="82">
        <v>0</v>
      </c>
      <c r="E13" s="85">
        <f t="shared" si="1"/>
        <v>0</v>
      </c>
      <c r="F13" s="84"/>
      <c r="G13" s="86">
        <f t="shared" si="2"/>
        <v>1</v>
      </c>
      <c r="H13" s="86">
        <f t="shared" si="3"/>
        <v>0</v>
      </c>
    </row>
    <row r="14" spans="1:8" x14ac:dyDescent="0.25">
      <c r="A14" s="98" t="s">
        <v>137</v>
      </c>
      <c r="B14" s="99">
        <v>0</v>
      </c>
      <c r="C14" s="85">
        <f t="shared" si="0"/>
        <v>0</v>
      </c>
      <c r="D14" s="82">
        <v>0</v>
      </c>
      <c r="E14" s="85">
        <f t="shared" si="1"/>
        <v>0</v>
      </c>
      <c r="F14" s="84"/>
      <c r="G14" s="86">
        <v>1</v>
      </c>
      <c r="H14" s="100">
        <v>0</v>
      </c>
    </row>
    <row r="15" spans="1:8" x14ac:dyDescent="0.25">
      <c r="A15" s="101" t="s">
        <v>125</v>
      </c>
      <c r="B15" s="102">
        <f>SUM(B7:B14)</f>
        <v>19985783.367297705</v>
      </c>
      <c r="C15" s="87">
        <f>SUM(C7:C14)</f>
        <v>1.3760579764452815E-2</v>
      </c>
      <c r="D15" s="103">
        <f>SUM(D7:D14)</f>
        <v>18479.927999999916</v>
      </c>
      <c r="E15" s="87">
        <f>SUM(E7:E14)</f>
        <v>3.3006578306342806E-4</v>
      </c>
      <c r="F15" s="84"/>
      <c r="G15" s="84"/>
      <c r="H15" s="84"/>
    </row>
    <row r="16" spans="1:8" x14ac:dyDescent="0.25">
      <c r="A16" s="98"/>
      <c r="B16" s="104"/>
      <c r="C16" s="88"/>
      <c r="D16" s="104"/>
      <c r="E16" s="105"/>
      <c r="F16" s="84"/>
      <c r="G16" s="84"/>
      <c r="H16" s="84"/>
    </row>
    <row r="17" spans="1:8" x14ac:dyDescent="0.25">
      <c r="A17" s="98" t="s">
        <v>127</v>
      </c>
      <c r="B17" s="133">
        <v>1452393991.3437529</v>
      </c>
      <c r="C17" s="131">
        <f>B17/$B$17</f>
        <v>1</v>
      </c>
      <c r="D17" s="133">
        <v>55988620.900000006</v>
      </c>
      <c r="E17" s="88">
        <f>D17/$D$17</f>
        <v>1</v>
      </c>
      <c r="F17" s="84"/>
      <c r="G17" s="84"/>
      <c r="H17" s="84"/>
    </row>
    <row r="18" spans="1:8" x14ac:dyDescent="0.25">
      <c r="A18" s="106" t="s">
        <v>130</v>
      </c>
      <c r="B18" s="105"/>
      <c r="C18" s="105"/>
      <c r="D18" s="106"/>
      <c r="E18" s="105"/>
    </row>
    <row r="20" spans="1:8" x14ac:dyDescent="0.25">
      <c r="A20" s="54" t="s">
        <v>147</v>
      </c>
    </row>
    <row r="21" spans="1:8" x14ac:dyDescent="0.25">
      <c r="A21" s="54" t="s">
        <v>148</v>
      </c>
    </row>
    <row r="22" spans="1:8" ht="14.4" x14ac:dyDescent="0.3">
      <c r="A22" s="107"/>
    </row>
  </sheetData>
  <mergeCells count="2">
    <mergeCell ref="G3:H3"/>
    <mergeCell ref="G4:H4"/>
  </mergeCells>
  <pageMargins left="0.68" right="0.2" top="0.86" bottom="0.2" header="0.68" footer="0.2"/>
  <pageSetup paperSize="17" orientation="landscape" r:id="rId1"/>
  <headerFooter alignWithMargins="0">
    <oddHeader xml:space="preserve">&amp;R&amp;"Times New Roman,Bold"KyPSC Case No. 2017-00427
STAFF-DR-01-009 Attachment
Page &amp;P of &amp;N
Appendix B
</oddHeader>
    <oddFooter>&amp;L&amp;D &amp;T&amp;C&amp;F&amp;R&amp;A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62F3CC1379974D8FBC0C3A128E1E8B" ma:contentTypeVersion="1" ma:contentTypeDescription="Create a new document." ma:contentTypeScope="" ma:versionID="b81a65b591d2558f77a670444ef3763c">
  <xsd:schema xmlns:xsd="http://www.w3.org/2001/XMLSchema" xmlns:xs="http://www.w3.org/2001/XMLSchema" xmlns:p="http://schemas.microsoft.com/office/2006/metadata/properties" xmlns:ns2="42bb37ca-62ce-4b98-9a05-db01edfac31b" targetNamespace="http://schemas.microsoft.com/office/2006/metadata/properties" ma:root="true" ma:fieldsID="aad0d0e35294d579452aba8c4dc86542" ns2:_="">
    <xsd:import namespace="42bb37ca-62ce-4b98-9a05-db01edfac31b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37ca-62ce-4b98-9a05-db01edfac31b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42bb37ca-62ce-4b98-9a05-db01edfac31b" xsi:nil="true"/>
  </documentManagement>
</p:properties>
</file>

<file path=customXml/itemProps1.xml><?xml version="1.0" encoding="utf-8"?>
<ds:datastoreItem xmlns:ds="http://schemas.openxmlformats.org/officeDocument/2006/customXml" ds:itemID="{43F1F56F-D440-4577-BCA0-8D5D8854D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bb37ca-62ce-4b98-9a05-db01edfac3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56FA78-8CAC-46E4-A06E-6CC39F53FDD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FA0FB25-F6A0-4578-BAEE-C5722D80CB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DFC66EC-FFE8-4C59-BAFB-7756CDBE8B0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42bb37ca-62ce-4b98-9a05-db01edfac31b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Page 6</vt:lpstr>
      <vt:lpstr>Page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2016-10-28T20:40:02Z</dcterms:created>
  <dcterms:modified xsi:type="dcterms:W3CDTF">2018-01-09T16:10:08Z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0x010100C762F3CC1379974D8FBC0C3A128E1E8B</vt:lpwstr>
  </property>
</Properties>
</file>