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490" windowHeight="6885"/>
  </bookViews>
  <sheets>
    <sheet name="Equal Percentage Rate" sheetId="1" r:id="rId1"/>
    <sheet name="Equal Revenue Rate" sheetId="2" r:id="rId2"/>
  </sheets>
  <externalReferences>
    <externalReference r:id="rId3"/>
  </externalReferenc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F16" i="2"/>
  <c r="D16" i="2"/>
  <c r="O14" i="2"/>
  <c r="I14" i="2"/>
  <c r="H14" i="2"/>
  <c r="M14" i="2" s="1"/>
  <c r="P14" i="2" s="1"/>
  <c r="J12" i="2"/>
  <c r="O12" i="2" s="1"/>
  <c r="I12" i="2"/>
  <c r="H12" i="2"/>
  <c r="M12" i="2" s="1"/>
  <c r="K11" i="2"/>
  <c r="I11" i="2"/>
  <c r="H11" i="2"/>
  <c r="M11" i="2" s="1"/>
  <c r="J10" i="2"/>
  <c r="I10" i="2"/>
  <c r="H10" i="2"/>
  <c r="M10" i="2" s="1"/>
  <c r="O9" i="2"/>
  <c r="P9" i="2" s="1"/>
  <c r="M9" i="2"/>
  <c r="K9" i="2"/>
  <c r="K12" i="2" s="1"/>
  <c r="J9" i="2"/>
  <c r="J11" i="2" s="1"/>
  <c r="O11" i="2" s="1"/>
  <c r="O7" i="2"/>
  <c r="K7" i="2"/>
  <c r="J7" i="2"/>
  <c r="I7" i="2"/>
  <c r="H7" i="2"/>
  <c r="M7" i="2" s="1"/>
  <c r="K6" i="2"/>
  <c r="J6" i="2"/>
  <c r="O6" i="2" s="1"/>
  <c r="I6" i="2"/>
  <c r="H6" i="2"/>
  <c r="M6" i="2" s="1"/>
  <c r="O5" i="2"/>
  <c r="K5" i="2"/>
  <c r="J5" i="2"/>
  <c r="I5" i="2"/>
  <c r="H5" i="2"/>
  <c r="M5" i="2" s="1"/>
  <c r="O4" i="2"/>
  <c r="P4" i="2" s="1"/>
  <c r="M4" i="2"/>
  <c r="M16" i="2" s="1"/>
  <c r="K10" i="2" l="1"/>
  <c r="O10" i="2" s="1"/>
  <c r="O16" i="2" s="1"/>
  <c r="O20" i="2" s="1"/>
  <c r="R14" i="1" l="1"/>
  <c r="Q14" i="1"/>
  <c r="O18" i="1" l="1"/>
  <c r="F16" i="1"/>
  <c r="D16" i="1"/>
  <c r="S14" i="1"/>
  <c r="O14" i="1"/>
  <c r="I14" i="1"/>
  <c r="H14" i="1"/>
  <c r="I12" i="1"/>
  <c r="H12" i="1"/>
  <c r="M12" i="1" s="1"/>
  <c r="I11" i="1"/>
  <c r="H11" i="1"/>
  <c r="M11" i="1" s="1"/>
  <c r="I10" i="1"/>
  <c r="H10" i="1"/>
  <c r="M10" i="1" s="1"/>
  <c r="Q9" i="1"/>
  <c r="M9" i="1"/>
  <c r="K9" i="1"/>
  <c r="K12" i="1" s="1"/>
  <c r="J9" i="1"/>
  <c r="J11" i="1" s="1"/>
  <c r="K7" i="1"/>
  <c r="J7" i="1"/>
  <c r="I7" i="1"/>
  <c r="H7" i="1"/>
  <c r="M7" i="1" s="1"/>
  <c r="K6" i="1"/>
  <c r="J6" i="1"/>
  <c r="I6" i="1"/>
  <c r="H6" i="1"/>
  <c r="M6" i="1" s="1"/>
  <c r="K5" i="1"/>
  <c r="J5" i="1"/>
  <c r="I5" i="1"/>
  <c r="H5" i="1"/>
  <c r="M5" i="1" s="1"/>
  <c r="R4" i="1"/>
  <c r="S4" i="1" s="1"/>
  <c r="Q4" i="1"/>
  <c r="O4" i="1"/>
  <c r="M4" i="1"/>
  <c r="O5" i="1" l="1"/>
  <c r="O6" i="1"/>
  <c r="O7" i="1"/>
  <c r="K11" i="1"/>
  <c r="O11" i="1" s="1"/>
  <c r="R9" i="1"/>
  <c r="S9" i="1" s="1"/>
  <c r="J10" i="1"/>
  <c r="J12" i="1"/>
  <c r="O12" i="1" s="1"/>
  <c r="M14" i="1"/>
  <c r="M16" i="1" s="1"/>
  <c r="K10" i="1"/>
  <c r="O9" i="1"/>
  <c r="O10" i="1" l="1"/>
  <c r="O16" i="1"/>
  <c r="O20" i="1" s="1"/>
</calcChain>
</file>

<file path=xl/sharedStrings.xml><?xml version="1.0" encoding="utf-8"?>
<sst xmlns="http://schemas.openxmlformats.org/spreadsheetml/2006/main" count="52" uniqueCount="30">
  <si>
    <t>Lebanon Water Works</t>
  </si>
  <si>
    <t>Rates</t>
  </si>
  <si>
    <t>Revenue</t>
  </si>
  <si>
    <t>Cubic Ft</t>
  </si>
  <si>
    <t>Customer Category</t>
  </si>
  <si>
    <t>No. Customers</t>
  </si>
  <si>
    <t>2016 Usage</t>
  </si>
  <si>
    <t>Meter Chg</t>
  </si>
  <si>
    <t>Volume Chg</t>
  </si>
  <si>
    <t>Pro Forma Meter Chg</t>
  </si>
  <si>
    <t>Pro Forma Volume Chg</t>
  </si>
  <si>
    <t>Pro Forma</t>
  </si>
  <si>
    <t xml:space="preserve">Existing </t>
  </si>
  <si>
    <t>Proposed</t>
  </si>
  <si>
    <t>Percent +</t>
  </si>
  <si>
    <t>Residential in town</t>
  </si>
  <si>
    <t>industrial in town</t>
  </si>
  <si>
    <t>commercial in town</t>
  </si>
  <si>
    <t>irrigation in town</t>
  </si>
  <si>
    <t>residential county</t>
  </si>
  <si>
    <t>industrial county</t>
  </si>
  <si>
    <t>commercial county</t>
  </si>
  <si>
    <t>irrigation county</t>
  </si>
  <si>
    <t>MCWD</t>
  </si>
  <si>
    <t>Revenue Required</t>
  </si>
  <si>
    <t>400,000 gallons purchased/Campbellsville</t>
  </si>
  <si>
    <t>Total 2016 Usage/12 months</t>
  </si>
  <si>
    <t>Run to Equalize the Percent of Increase Among LWWC Retail Customers and Marion County</t>
  </si>
  <si>
    <t>Run to Equalize amount of Revenue Generated by All Customers</t>
  </si>
  <si>
    <t>Revenue 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</si>
</sst>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44" fontId="0" fillId="0" borderId="0" xfId="2" applyFont="1"/>
    <xf numFmtId="9" fontId="0" fillId="0" borderId="0" xfId="3" applyFont="1"/>
    <xf numFmtId="0" fontId="0" fillId="0" borderId="1" xfId="0" applyFont="1" applyBorder="1"/>
    <xf numFmtId="164" fontId="0" fillId="0" borderId="1" xfId="1" applyNumberFormat="1" applyFont="1" applyBorder="1"/>
    <xf numFmtId="43" fontId="0" fillId="0" borderId="1" xfId="1" applyFon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10" fontId="0" fillId="0" borderId="0" xfId="3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9" fontId="0" fillId="0" borderId="0" xfId="3" applyNumberFormat="1" applyFont="1"/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ellen.wimberly/AppData/Local/Microsoft/Windows/Temporary%20Internet%20Files/Content.Outlook/1M9BUJWC/Rate%20Calculations%20Revised%20June%202017-Depreciation%20100-ap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-Forma"/>
      <sheetName val="Debt Srv"/>
      <sheetName val="Debt"/>
      <sheetName val="User Analysis"/>
      <sheetName val="Campbellsville"/>
      <sheetName val="Summary"/>
      <sheetName val="Bi Annual +"/>
      <sheetName val="Cost Increases"/>
    </sheetNames>
    <sheetDataSet>
      <sheetData sheetId="0" refreshError="1"/>
      <sheetData sheetId="1" refreshError="1">
        <row r="14">
          <cell r="H14">
            <v>3473578.824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G16" sqref="G16"/>
    </sheetView>
  </sheetViews>
  <sheetFormatPr defaultRowHeight="15" x14ac:dyDescent="0.25"/>
  <cols>
    <col min="5" max="5" width="5.42578125" customWidth="1"/>
    <col min="6" max="6" width="11.5703125" bestFit="1" customWidth="1"/>
    <col min="7" max="7" width="2.85546875" customWidth="1"/>
    <col min="8" max="8" width="10.140625" bestFit="1" customWidth="1"/>
    <col min="9" max="9" width="11.7109375" bestFit="1" customWidth="1"/>
    <col min="12" max="12" width="2.42578125" customWidth="1"/>
    <col min="13" max="13" width="13.28515625" bestFit="1" customWidth="1"/>
    <col min="14" max="14" width="2.5703125" customWidth="1"/>
    <col min="15" max="15" width="13.28515625" bestFit="1" customWidth="1"/>
    <col min="16" max="16" width="3.28515625" customWidth="1"/>
    <col min="17" max="18" width="14.28515625" bestFit="1" customWidth="1"/>
  </cols>
  <sheetData>
    <row r="1" spans="1:19" x14ac:dyDescent="0.25">
      <c r="A1" t="s">
        <v>0</v>
      </c>
      <c r="H1" s="24" t="s">
        <v>27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1" t="s">
        <v>25</v>
      </c>
      <c r="H2" s="23" t="s">
        <v>1</v>
      </c>
      <c r="I2" s="23"/>
      <c r="J2" s="23"/>
      <c r="K2" s="23"/>
      <c r="M2" s="23" t="s">
        <v>2</v>
      </c>
      <c r="N2" s="23"/>
      <c r="O2" s="23"/>
      <c r="P2" s="2"/>
      <c r="Q2" s="3"/>
      <c r="R2" s="3">
        <v>534</v>
      </c>
      <c r="S2" s="3" t="s">
        <v>3</v>
      </c>
    </row>
    <row r="3" spans="1:19" ht="60" x14ac:dyDescent="0.25">
      <c r="A3" s="3" t="s">
        <v>4</v>
      </c>
      <c r="B3" s="3"/>
      <c r="D3" s="3" t="s">
        <v>5</v>
      </c>
      <c r="E3" s="3"/>
      <c r="F3" s="3" t="s">
        <v>6</v>
      </c>
      <c r="H3" s="3" t="s">
        <v>7</v>
      </c>
      <c r="I3" s="3" t="s">
        <v>8</v>
      </c>
      <c r="J3" s="4" t="s">
        <v>9</v>
      </c>
      <c r="K3" s="4" t="s">
        <v>10</v>
      </c>
      <c r="M3" s="3">
        <v>2016</v>
      </c>
      <c r="O3" s="5" t="s">
        <v>11</v>
      </c>
      <c r="P3" s="6"/>
      <c r="Q3" s="3" t="s">
        <v>12</v>
      </c>
      <c r="R3" s="3" t="s">
        <v>13</v>
      </c>
      <c r="S3" s="3" t="s">
        <v>14</v>
      </c>
    </row>
    <row r="4" spans="1:19" x14ac:dyDescent="0.25">
      <c r="A4" t="s">
        <v>15</v>
      </c>
      <c r="D4">
        <v>2231</v>
      </c>
      <c r="F4" s="7">
        <v>13305957</v>
      </c>
      <c r="H4">
        <v>6.75</v>
      </c>
      <c r="I4">
        <v>2.5</v>
      </c>
      <c r="J4">
        <v>7.35</v>
      </c>
      <c r="K4">
        <v>3.54</v>
      </c>
      <c r="M4" s="8">
        <f>(((H4*$D4)*12)+(($F4/100)*I4))</f>
        <v>513359.92500000005</v>
      </c>
      <c r="N4" s="8"/>
      <c r="O4" s="8">
        <f>(((J4*$D4)*12)+(($F4/100)*K4))</f>
        <v>667805.07779999997</v>
      </c>
      <c r="Q4" s="9">
        <f>H4+(I4*(534/100))</f>
        <v>20.100000000000001</v>
      </c>
      <c r="R4" s="9">
        <f>J4+((534/100)*K4)</f>
        <v>26.253599999999999</v>
      </c>
      <c r="S4" s="10">
        <f>(R4-Q4)/Q4</f>
        <v>0.30614925373134311</v>
      </c>
    </row>
    <row r="5" spans="1:19" x14ac:dyDescent="0.25">
      <c r="A5" t="s">
        <v>16</v>
      </c>
      <c r="D5">
        <v>36</v>
      </c>
      <c r="F5" s="7">
        <v>14029258</v>
      </c>
      <c r="H5">
        <f>H4</f>
        <v>6.75</v>
      </c>
      <c r="I5">
        <f>I4</f>
        <v>2.5</v>
      </c>
      <c r="J5">
        <f>J4</f>
        <v>7.35</v>
      </c>
      <c r="K5">
        <f>K4</f>
        <v>3.54</v>
      </c>
      <c r="M5" s="8">
        <f t="shared" ref="M5:M7" si="0">(((H5*D5)*12)+((F5/100)*I5))</f>
        <v>353647.44999999995</v>
      </c>
      <c r="O5" s="8">
        <f t="shared" ref="O5:O7" si="1">(((J5*$D5)*12)+(($F5/100)*K5))</f>
        <v>499810.93319999997</v>
      </c>
    </row>
    <row r="6" spans="1:19" x14ac:dyDescent="0.25">
      <c r="A6" t="s">
        <v>17</v>
      </c>
      <c r="D6">
        <v>34</v>
      </c>
      <c r="F6" s="7">
        <v>6094556</v>
      </c>
      <c r="H6">
        <f>H4</f>
        <v>6.75</v>
      </c>
      <c r="I6">
        <f>I4</f>
        <v>2.5</v>
      </c>
      <c r="J6">
        <f>J4</f>
        <v>7.35</v>
      </c>
      <c r="K6">
        <f>K4</f>
        <v>3.54</v>
      </c>
      <c r="M6" s="8">
        <f t="shared" si="0"/>
        <v>155117.9</v>
      </c>
      <c r="O6" s="8">
        <f t="shared" si="1"/>
        <v>218746.08239999998</v>
      </c>
    </row>
    <row r="7" spans="1:19" x14ac:dyDescent="0.25">
      <c r="A7" t="s">
        <v>18</v>
      </c>
      <c r="D7">
        <v>8</v>
      </c>
      <c r="F7" s="7">
        <v>436600</v>
      </c>
      <c r="H7">
        <f>H4</f>
        <v>6.75</v>
      </c>
      <c r="I7">
        <f>I4</f>
        <v>2.5</v>
      </c>
      <c r="J7">
        <f>J4</f>
        <v>7.35</v>
      </c>
      <c r="K7">
        <f>K4</f>
        <v>3.54</v>
      </c>
      <c r="M7" s="8">
        <f t="shared" si="0"/>
        <v>11563</v>
      </c>
      <c r="O7" s="8">
        <f t="shared" si="1"/>
        <v>16161.24</v>
      </c>
    </row>
    <row r="8" spans="1:19" x14ac:dyDescent="0.25">
      <c r="F8" s="7"/>
    </row>
    <row r="9" spans="1:19" x14ac:dyDescent="0.25">
      <c r="A9" t="s">
        <v>19</v>
      </c>
      <c r="D9">
        <v>268</v>
      </c>
      <c r="F9" s="7">
        <v>1851016</v>
      </c>
      <c r="H9">
        <v>7.4249999999999998</v>
      </c>
      <c r="I9">
        <v>2.75</v>
      </c>
      <c r="J9">
        <f>(J4*0.1)+J4</f>
        <v>8.0849999999999991</v>
      </c>
      <c r="K9">
        <f>(K4*0.1)+K4</f>
        <v>3.8940000000000001</v>
      </c>
      <c r="M9" s="8">
        <f t="shared" ref="M9:M12" si="2">(((H9*D9)*12)+((F9/100)*I9))</f>
        <v>74781.740000000005</v>
      </c>
      <c r="O9" s="8">
        <f t="shared" ref="O9:O12" si="3">(((J9*$D9)*12)+(($F9/100)*K9))</f>
        <v>98079.923040000009</v>
      </c>
      <c r="Q9" s="9">
        <f>H9+(I9*(534/100))</f>
        <v>22.11</v>
      </c>
      <c r="R9" s="9">
        <f>J9+((534/100)*K9)</f>
        <v>28.878959999999999</v>
      </c>
      <c r="S9" s="10">
        <f>(R9-Q9)/Q9</f>
        <v>0.30614925373134327</v>
      </c>
    </row>
    <row r="10" spans="1:19" x14ac:dyDescent="0.25">
      <c r="A10" t="s">
        <v>20</v>
      </c>
      <c r="D10">
        <v>5</v>
      </c>
      <c r="F10" s="7">
        <v>824080</v>
      </c>
      <c r="H10">
        <f>H9</f>
        <v>7.4249999999999998</v>
      </c>
      <c r="I10">
        <f>I9</f>
        <v>2.75</v>
      </c>
      <c r="J10">
        <f>J9</f>
        <v>8.0849999999999991</v>
      </c>
      <c r="K10">
        <f>K9</f>
        <v>3.8940000000000001</v>
      </c>
      <c r="M10" s="8">
        <f t="shared" si="2"/>
        <v>23107.699999999997</v>
      </c>
      <c r="O10" s="8">
        <f t="shared" si="3"/>
        <v>32574.775199999996</v>
      </c>
    </row>
    <row r="11" spans="1:19" x14ac:dyDescent="0.25">
      <c r="A11" t="s">
        <v>21</v>
      </c>
      <c r="D11">
        <v>1</v>
      </c>
      <c r="F11" s="7">
        <v>42520</v>
      </c>
      <c r="H11">
        <f>H9</f>
        <v>7.4249999999999998</v>
      </c>
      <c r="I11">
        <f>I9</f>
        <v>2.75</v>
      </c>
      <c r="J11">
        <f>J9</f>
        <v>8.0849999999999991</v>
      </c>
      <c r="K11">
        <f>K9</f>
        <v>3.8940000000000001</v>
      </c>
      <c r="M11" s="8">
        <f t="shared" si="2"/>
        <v>1258.3999999999999</v>
      </c>
      <c r="O11" s="8">
        <f t="shared" si="3"/>
        <v>1752.7488000000001</v>
      </c>
    </row>
    <row r="12" spans="1:19" x14ac:dyDescent="0.25">
      <c r="A12" t="s">
        <v>22</v>
      </c>
      <c r="D12">
        <v>1</v>
      </c>
      <c r="F12" s="7">
        <v>14</v>
      </c>
      <c r="H12">
        <f>H9</f>
        <v>7.4249999999999998</v>
      </c>
      <c r="I12">
        <f>I9</f>
        <v>2.75</v>
      </c>
      <c r="J12">
        <f>J9</f>
        <v>8.0849999999999991</v>
      </c>
      <c r="K12">
        <f>K9</f>
        <v>3.8940000000000001</v>
      </c>
      <c r="M12" s="8">
        <f t="shared" si="2"/>
        <v>89.484999999999999</v>
      </c>
      <c r="O12" s="8">
        <f t="shared" si="3"/>
        <v>97.565159999999977</v>
      </c>
    </row>
    <row r="13" spans="1:19" x14ac:dyDescent="0.25">
      <c r="F13" s="7"/>
      <c r="Q13" s="3"/>
      <c r="R13" s="3"/>
      <c r="S13" s="19" t="s">
        <v>26</v>
      </c>
    </row>
    <row r="14" spans="1:19" x14ac:dyDescent="0.25">
      <c r="A14" s="11" t="s">
        <v>23</v>
      </c>
      <c r="B14" s="11"/>
      <c r="C14" s="11"/>
      <c r="D14" s="11">
        <v>12</v>
      </c>
      <c r="E14" s="11"/>
      <c r="F14" s="12">
        <v>59825110</v>
      </c>
      <c r="G14" s="11"/>
      <c r="H14" s="11">
        <f>H4</f>
        <v>6.75</v>
      </c>
      <c r="I14" s="11">
        <f>I4</f>
        <v>2.5</v>
      </c>
      <c r="J14" s="11">
        <v>7.35</v>
      </c>
      <c r="K14" s="11">
        <v>3.28</v>
      </c>
      <c r="L14" s="11"/>
      <c r="M14" s="13">
        <f t="shared" ref="M14" si="4">(((H14*D14)*12)+((F14/100)*I14))</f>
        <v>1496599.75</v>
      </c>
      <c r="O14" s="13">
        <f>(((J14*$D14)*12)+(($F14/100)*K14))</f>
        <v>1963322.0079999997</v>
      </c>
      <c r="Q14" s="9">
        <f>H14+((I14*(F14/12))/100)</f>
        <v>124642.39583333331</v>
      </c>
      <c r="R14" s="9">
        <f>J14+((K14*(F14/12))/100)</f>
        <v>163529.31733333331</v>
      </c>
      <c r="S14" s="10">
        <f>(R14-Q14)/Q14</f>
        <v>0.31198791743379184</v>
      </c>
    </row>
    <row r="16" spans="1:19" x14ac:dyDescent="0.25">
      <c r="D16">
        <f>SUM(D4:D14)</f>
        <v>2596</v>
      </c>
      <c r="F16" s="14">
        <f>SUM(F4:F14)</f>
        <v>96409111</v>
      </c>
      <c r="M16" s="15">
        <f>SUM(M4:M14)</f>
        <v>2629525.35</v>
      </c>
      <c r="O16" s="15">
        <f>SUM(O4:O14)</f>
        <v>3498350.3535999996</v>
      </c>
      <c r="P16" s="7"/>
    </row>
    <row r="18" spans="12:16" x14ac:dyDescent="0.25">
      <c r="L18" s="16"/>
      <c r="M18" s="7"/>
      <c r="O18" s="14">
        <f>'[1]Debt Srv'!$H$14</f>
        <v>3473578.824</v>
      </c>
      <c r="P18" t="s">
        <v>24</v>
      </c>
    </row>
    <row r="20" spans="12:16" x14ac:dyDescent="0.25">
      <c r="L20" s="16"/>
      <c r="M20" s="17"/>
      <c r="O20" s="15">
        <f>O16-O18</f>
        <v>24771.529599999543</v>
      </c>
    </row>
  </sheetData>
  <mergeCells count="3">
    <mergeCell ref="H2:K2"/>
    <mergeCell ref="M2:O2"/>
    <mergeCell ref="H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I17" sqref="I17"/>
    </sheetView>
  </sheetViews>
  <sheetFormatPr defaultRowHeight="15" x14ac:dyDescent="0.25"/>
  <cols>
    <col min="5" max="5" width="5.42578125" customWidth="1"/>
    <col min="6" max="6" width="11.5703125" bestFit="1" customWidth="1"/>
    <col min="7" max="7" width="2.85546875" customWidth="1"/>
    <col min="8" max="8" width="10.140625" bestFit="1" customWidth="1"/>
    <col min="9" max="9" width="11.7109375" bestFit="1" customWidth="1"/>
    <col min="12" max="12" width="2.42578125" customWidth="1"/>
    <col min="13" max="13" width="13.28515625" bestFit="1" customWidth="1"/>
    <col min="14" max="14" width="2.5703125" customWidth="1"/>
    <col min="15" max="15" width="13.28515625" bestFit="1" customWidth="1"/>
    <col min="16" max="16" width="13.28515625" customWidth="1"/>
  </cols>
  <sheetData>
    <row r="1" spans="1:16" x14ac:dyDescent="0.25">
      <c r="A1" t="s">
        <v>0</v>
      </c>
      <c r="H1" s="24" t="s">
        <v>28</v>
      </c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1" t="s">
        <v>25</v>
      </c>
      <c r="H2" s="23" t="s">
        <v>1</v>
      </c>
      <c r="I2" s="23"/>
      <c r="J2" s="23"/>
      <c r="K2" s="23"/>
      <c r="M2" s="23" t="s">
        <v>2</v>
      </c>
      <c r="N2" s="23"/>
      <c r="O2" s="23"/>
      <c r="P2" s="18"/>
    </row>
    <row r="3" spans="1:16" ht="60" x14ac:dyDescent="0.25">
      <c r="A3" s="3" t="s">
        <v>4</v>
      </c>
      <c r="B3" s="3"/>
      <c r="D3" s="3" t="s">
        <v>5</v>
      </c>
      <c r="E3" s="3"/>
      <c r="F3" s="18" t="s">
        <v>6</v>
      </c>
      <c r="H3" s="18" t="s">
        <v>7</v>
      </c>
      <c r="I3" s="18" t="s">
        <v>8</v>
      </c>
      <c r="J3" s="4" t="s">
        <v>9</v>
      </c>
      <c r="K3" s="4" t="s">
        <v>10</v>
      </c>
      <c r="M3" s="18">
        <v>2016</v>
      </c>
      <c r="O3" s="20" t="s">
        <v>11</v>
      </c>
      <c r="P3" s="21" t="s">
        <v>29</v>
      </c>
    </row>
    <row r="4" spans="1:16" x14ac:dyDescent="0.25">
      <c r="A4" t="s">
        <v>15</v>
      </c>
      <c r="D4">
        <v>2231</v>
      </c>
      <c r="F4" s="7">
        <v>13305957</v>
      </c>
      <c r="H4">
        <v>6.75</v>
      </c>
      <c r="I4">
        <v>2.5</v>
      </c>
      <c r="J4">
        <v>7.35</v>
      </c>
      <c r="K4">
        <v>3.56</v>
      </c>
      <c r="M4" s="8">
        <f>(((H4*$D4)*12)+(($F4/100)*I4))</f>
        <v>513359.92500000005</v>
      </c>
      <c r="N4" s="8"/>
      <c r="O4" s="8">
        <f>(((J4*$D4)*12)+(($F4/100)*K4))</f>
        <v>670466.26919999998</v>
      </c>
      <c r="P4" s="22">
        <f>(O4-M4)/M4</f>
        <v>0.30603546663678494</v>
      </c>
    </row>
    <row r="5" spans="1:16" x14ac:dyDescent="0.25">
      <c r="A5" t="s">
        <v>16</v>
      </c>
      <c r="D5">
        <v>36</v>
      </c>
      <c r="F5" s="7">
        <v>14029258</v>
      </c>
      <c r="H5">
        <f>H4</f>
        <v>6.75</v>
      </c>
      <c r="I5">
        <f>I4</f>
        <v>2.5</v>
      </c>
      <c r="J5">
        <f>J4</f>
        <v>7.35</v>
      </c>
      <c r="K5">
        <f>K4</f>
        <v>3.56</v>
      </c>
      <c r="M5" s="8">
        <f t="shared" ref="M5:M7" si="0">(((H5*D5)*12)+((F5/100)*I5))</f>
        <v>353647.44999999995</v>
      </c>
      <c r="O5" s="8">
        <f t="shared" ref="O5:O7" si="1">(((J5*$D5)*12)+(($F5/100)*K5))</f>
        <v>502616.78479999996</v>
      </c>
      <c r="P5" s="8"/>
    </row>
    <row r="6" spans="1:16" x14ac:dyDescent="0.25">
      <c r="A6" t="s">
        <v>17</v>
      </c>
      <c r="D6">
        <v>34</v>
      </c>
      <c r="F6" s="7">
        <v>6094556</v>
      </c>
      <c r="H6">
        <f>H4</f>
        <v>6.75</v>
      </c>
      <c r="I6">
        <f>I4</f>
        <v>2.5</v>
      </c>
      <c r="J6">
        <f>J4</f>
        <v>7.35</v>
      </c>
      <c r="K6">
        <f>K4</f>
        <v>3.56</v>
      </c>
      <c r="M6" s="8">
        <f t="shared" si="0"/>
        <v>155117.9</v>
      </c>
      <c r="O6" s="8">
        <f t="shared" si="1"/>
        <v>219964.99359999999</v>
      </c>
      <c r="P6" s="8"/>
    </row>
    <row r="7" spans="1:16" x14ac:dyDescent="0.25">
      <c r="A7" t="s">
        <v>18</v>
      </c>
      <c r="D7">
        <v>8</v>
      </c>
      <c r="F7" s="7">
        <v>436600</v>
      </c>
      <c r="H7">
        <f>H4</f>
        <v>6.75</v>
      </c>
      <c r="I7">
        <f>I4</f>
        <v>2.5</v>
      </c>
      <c r="J7">
        <f>J4</f>
        <v>7.35</v>
      </c>
      <c r="K7">
        <f>K4</f>
        <v>3.56</v>
      </c>
      <c r="M7" s="8">
        <f t="shared" si="0"/>
        <v>11563</v>
      </c>
      <c r="O7" s="8">
        <f t="shared" si="1"/>
        <v>16248.560000000001</v>
      </c>
      <c r="P7" s="8"/>
    </row>
    <row r="8" spans="1:16" x14ac:dyDescent="0.25">
      <c r="F8" s="7"/>
    </row>
    <row r="9" spans="1:16" x14ac:dyDescent="0.25">
      <c r="A9" t="s">
        <v>19</v>
      </c>
      <c r="D9">
        <v>268</v>
      </c>
      <c r="F9" s="7">
        <v>1851016</v>
      </c>
      <c r="H9">
        <v>7.4249999999999998</v>
      </c>
      <c r="I9">
        <v>2.75</v>
      </c>
      <c r="J9">
        <f>(J4*0.1)+J4</f>
        <v>8.0849999999999991</v>
      </c>
      <c r="K9">
        <f>(K4*0.1)+K4</f>
        <v>3.9159999999999999</v>
      </c>
      <c r="M9" s="8">
        <f t="shared" ref="M9:M12" si="2">(((H9*D9)*12)+((F9/100)*I9))</f>
        <v>74781.740000000005</v>
      </c>
      <c r="O9" s="8">
        <f t="shared" ref="O9:O12" si="3">(((J9*$D9)*12)+(($F9/100)*K9))</f>
        <v>98487.146559999994</v>
      </c>
      <c r="P9" s="10">
        <f>(O9-M9)/M9</f>
        <v>0.31699458397196945</v>
      </c>
    </row>
    <row r="10" spans="1:16" x14ac:dyDescent="0.25">
      <c r="A10" t="s">
        <v>20</v>
      </c>
      <c r="D10">
        <v>5</v>
      </c>
      <c r="F10" s="7">
        <v>824080</v>
      </c>
      <c r="H10">
        <f>H9</f>
        <v>7.4249999999999998</v>
      </c>
      <c r="I10">
        <f>I9</f>
        <v>2.75</v>
      </c>
      <c r="J10">
        <f>J9</f>
        <v>8.0849999999999991</v>
      </c>
      <c r="K10">
        <f>K9</f>
        <v>3.9159999999999999</v>
      </c>
      <c r="M10" s="8">
        <f t="shared" si="2"/>
        <v>23107.699999999997</v>
      </c>
      <c r="O10" s="8">
        <f t="shared" si="3"/>
        <v>32756.072799999994</v>
      </c>
      <c r="P10" s="8"/>
    </row>
    <row r="11" spans="1:16" x14ac:dyDescent="0.25">
      <c r="A11" t="s">
        <v>21</v>
      </c>
      <c r="D11">
        <v>1</v>
      </c>
      <c r="F11" s="7">
        <v>42520</v>
      </c>
      <c r="H11">
        <f>H9</f>
        <v>7.4249999999999998</v>
      </c>
      <c r="I11">
        <f>I9</f>
        <v>2.75</v>
      </c>
      <c r="J11">
        <f>J9</f>
        <v>8.0849999999999991</v>
      </c>
      <c r="K11">
        <f>K9</f>
        <v>3.9159999999999999</v>
      </c>
      <c r="M11" s="8">
        <f t="shared" si="2"/>
        <v>1258.3999999999999</v>
      </c>
      <c r="O11" s="8">
        <f t="shared" si="3"/>
        <v>1762.1032</v>
      </c>
      <c r="P11" s="8"/>
    </row>
    <row r="12" spans="1:16" x14ac:dyDescent="0.25">
      <c r="A12" t="s">
        <v>22</v>
      </c>
      <c r="D12">
        <v>1</v>
      </c>
      <c r="F12" s="7">
        <v>14</v>
      </c>
      <c r="H12">
        <f>H9</f>
        <v>7.4249999999999998</v>
      </c>
      <c r="I12">
        <f>I9</f>
        <v>2.75</v>
      </c>
      <c r="J12">
        <f>J9</f>
        <v>8.0849999999999991</v>
      </c>
      <c r="K12">
        <f>K9</f>
        <v>3.9159999999999999</v>
      </c>
      <c r="M12" s="8">
        <f t="shared" si="2"/>
        <v>89.484999999999999</v>
      </c>
      <c r="O12" s="8">
        <f t="shared" si="3"/>
        <v>97.568239999999989</v>
      </c>
      <c r="P12" s="8"/>
    </row>
    <row r="13" spans="1:16" x14ac:dyDescent="0.25">
      <c r="F13" s="7"/>
    </row>
    <row r="14" spans="1:16" x14ac:dyDescent="0.25">
      <c r="A14" s="11" t="s">
        <v>23</v>
      </c>
      <c r="B14" s="11"/>
      <c r="C14" s="11"/>
      <c r="D14" s="11">
        <v>12</v>
      </c>
      <c r="E14" s="11"/>
      <c r="F14" s="12">
        <v>59825110</v>
      </c>
      <c r="G14" s="11"/>
      <c r="H14" s="11">
        <f>H4</f>
        <v>6.75</v>
      </c>
      <c r="I14" s="11">
        <f>I4</f>
        <v>2.5</v>
      </c>
      <c r="J14" s="11">
        <v>7.35</v>
      </c>
      <c r="K14" s="11">
        <v>3.28</v>
      </c>
      <c r="L14" s="11"/>
      <c r="M14" s="13">
        <f t="shared" ref="M14" si="4">(((H14*D14)*12)+((F14/100)*I14))</f>
        <v>1496599.75</v>
      </c>
      <c r="O14" s="13">
        <f>(((J14*$D14)*12)+(($F14/100)*K14))</f>
        <v>1963322.0079999997</v>
      </c>
      <c r="P14" s="10">
        <f>(O14-M14)/M14</f>
        <v>0.31185509552570734</v>
      </c>
    </row>
    <row r="16" spans="1:16" x14ac:dyDescent="0.25">
      <c r="D16">
        <f>SUM(D4:D14)</f>
        <v>2596</v>
      </c>
      <c r="F16" s="14">
        <f>SUM(F4:F14)</f>
        <v>96409111</v>
      </c>
      <c r="M16" s="15">
        <f>SUM(M4:M14)</f>
        <v>2629525.35</v>
      </c>
      <c r="O16" s="15">
        <f>SUM(O4:O14)</f>
        <v>3505721.5063999994</v>
      </c>
      <c r="P16" s="15"/>
    </row>
    <row r="18" spans="12:16" x14ac:dyDescent="0.25">
      <c r="L18" s="16"/>
      <c r="M18" s="7"/>
      <c r="O18" s="14">
        <f>'[1]Debt Srv'!$H$14</f>
        <v>3473578.824</v>
      </c>
      <c r="P18" t="s">
        <v>24</v>
      </c>
    </row>
    <row r="20" spans="12:16" x14ac:dyDescent="0.25">
      <c r="L20" s="16"/>
      <c r="M20" s="17"/>
      <c r="O20" s="15">
        <f>O16-O18</f>
        <v>32142.68239999935</v>
      </c>
      <c r="P20" s="15"/>
    </row>
  </sheetData>
  <mergeCells count="3">
    <mergeCell ref="H1:P1"/>
    <mergeCell ref="H2:K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Equal Percentage Rate</vt:lpstr>
      <vt:lpstr>Equal Revenue 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HLN</dc:creator>
  <cp:lastModifiedBy>Mary Ellen Wimberly</cp:lastModifiedBy>
  <dcterms:created xsi:type="dcterms:W3CDTF">2018-06-21T18:06:58Z</dcterms:created>
  <dcterms:modified xsi:type="dcterms:W3CDTF">2018-06-27T21:39:20Z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