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Pro-Forma" sheetId="1" r:id="rId1"/>
    <sheet name="Debt" sheetId="3" r:id="rId2"/>
    <sheet name="Campbellsville" sheetId="6" r:id="rId3"/>
    <sheet name="Debt Srv" sheetId="2" r:id="rId4"/>
    <sheet name="Summary" sheetId="7" r:id="rId5"/>
    <sheet name="User Analysis" sheetId="5" r:id="rId6"/>
  </sheets>
  <calcPr calcId="162913"/>
</workbook>
</file>

<file path=xl/calcChain.xml><?xml version="1.0" encoding="utf-8"?>
<calcChain xmlns="http://schemas.openxmlformats.org/spreadsheetml/2006/main">
  <c r="H72" i="1" l="1"/>
  <c r="G45" i="7" l="1"/>
  <c r="G44" i="7"/>
  <c r="E44" i="7"/>
  <c r="D44" i="7"/>
  <c r="G41" i="7"/>
  <c r="G40" i="7"/>
  <c r="E40" i="7"/>
  <c r="D40" i="7"/>
  <c r="G37" i="7"/>
  <c r="G36" i="7"/>
  <c r="E36" i="7"/>
  <c r="D36" i="7"/>
  <c r="G33" i="7"/>
  <c r="G32" i="7"/>
  <c r="E32" i="7"/>
  <c r="D32" i="7"/>
  <c r="G29" i="7"/>
  <c r="G28" i="7"/>
  <c r="E28" i="7"/>
  <c r="D28" i="7"/>
  <c r="G25" i="7"/>
  <c r="G24" i="7"/>
  <c r="E24" i="7"/>
  <c r="D24" i="7"/>
  <c r="G21" i="7"/>
  <c r="G20" i="7"/>
  <c r="E19" i="7"/>
  <c r="D19" i="7"/>
  <c r="G16" i="7"/>
  <c r="G15" i="7"/>
  <c r="E15" i="7"/>
  <c r="D15" i="7"/>
  <c r="F184" i="5" l="1"/>
  <c r="D184" i="5"/>
  <c r="K182" i="5"/>
  <c r="J182" i="5"/>
  <c r="I182" i="5"/>
  <c r="H182" i="5"/>
  <c r="M182" i="5" s="1"/>
  <c r="I180" i="5"/>
  <c r="H180" i="5"/>
  <c r="M180" i="5" s="1"/>
  <c r="I179" i="5"/>
  <c r="H179" i="5"/>
  <c r="M179" i="5" s="1"/>
  <c r="I178" i="5"/>
  <c r="H178" i="5"/>
  <c r="M178" i="5" s="1"/>
  <c r="Q177" i="5"/>
  <c r="M177" i="5"/>
  <c r="K177" i="5"/>
  <c r="J177" i="5"/>
  <c r="K175" i="5"/>
  <c r="J175" i="5"/>
  <c r="I175" i="5"/>
  <c r="H175" i="5"/>
  <c r="M175" i="5" s="1"/>
  <c r="K174" i="5"/>
  <c r="J174" i="5"/>
  <c r="O174" i="5" s="1"/>
  <c r="I174" i="5"/>
  <c r="H174" i="5"/>
  <c r="M174" i="5" s="1"/>
  <c r="K173" i="5"/>
  <c r="J173" i="5"/>
  <c r="O173" i="5" s="1"/>
  <c r="I173" i="5"/>
  <c r="H173" i="5"/>
  <c r="M173" i="5" s="1"/>
  <c r="R172" i="5"/>
  <c r="Q172" i="5"/>
  <c r="O172" i="5"/>
  <c r="M172" i="5"/>
  <c r="M184" i="5" s="1"/>
  <c r="F160" i="5"/>
  <c r="D160" i="5"/>
  <c r="K158" i="5"/>
  <c r="J158" i="5"/>
  <c r="I158" i="5"/>
  <c r="H158" i="5"/>
  <c r="M158" i="5" s="1"/>
  <c r="I156" i="5"/>
  <c r="H156" i="5"/>
  <c r="M156" i="5" s="1"/>
  <c r="I155" i="5"/>
  <c r="H155" i="5"/>
  <c r="M155" i="5" s="1"/>
  <c r="I154" i="5"/>
  <c r="H154" i="5"/>
  <c r="M154" i="5" s="1"/>
  <c r="Q153" i="5"/>
  <c r="M153" i="5"/>
  <c r="K153" i="5"/>
  <c r="J153" i="5"/>
  <c r="K151" i="5"/>
  <c r="J151" i="5"/>
  <c r="I151" i="5"/>
  <c r="H151" i="5"/>
  <c r="M151" i="5" s="1"/>
  <c r="K150" i="5"/>
  <c r="J150" i="5"/>
  <c r="I150" i="5"/>
  <c r="H150" i="5"/>
  <c r="M150" i="5" s="1"/>
  <c r="K149" i="5"/>
  <c r="J149" i="5"/>
  <c r="I149" i="5"/>
  <c r="H149" i="5"/>
  <c r="M149" i="5" s="1"/>
  <c r="R148" i="5"/>
  <c r="Q148" i="5"/>
  <c r="O148" i="5"/>
  <c r="M148" i="5"/>
  <c r="M160" i="5" s="1"/>
  <c r="F136" i="5"/>
  <c r="D136" i="5"/>
  <c r="K134" i="5"/>
  <c r="J134" i="5"/>
  <c r="I134" i="5"/>
  <c r="H134" i="5"/>
  <c r="M134" i="5" s="1"/>
  <c r="I132" i="5"/>
  <c r="H132" i="5"/>
  <c r="M132" i="5" s="1"/>
  <c r="I131" i="5"/>
  <c r="H131" i="5"/>
  <c r="M131" i="5" s="1"/>
  <c r="I130" i="5"/>
  <c r="H130" i="5"/>
  <c r="M130" i="5" s="1"/>
  <c r="Q129" i="5"/>
  <c r="M129" i="5"/>
  <c r="K129" i="5"/>
  <c r="J129" i="5"/>
  <c r="K127" i="5"/>
  <c r="J127" i="5"/>
  <c r="I127" i="5"/>
  <c r="H127" i="5"/>
  <c r="M127" i="5" s="1"/>
  <c r="K126" i="5"/>
  <c r="J126" i="5"/>
  <c r="I126" i="5"/>
  <c r="H126" i="5"/>
  <c r="M126" i="5" s="1"/>
  <c r="K125" i="5"/>
  <c r="J125" i="5"/>
  <c r="I125" i="5"/>
  <c r="H125" i="5"/>
  <c r="M125" i="5" s="1"/>
  <c r="R124" i="5"/>
  <c r="Q124" i="5"/>
  <c r="O124" i="5"/>
  <c r="M124" i="5"/>
  <c r="F112" i="5"/>
  <c r="D112" i="5"/>
  <c r="K110" i="5"/>
  <c r="J110" i="5"/>
  <c r="I110" i="5"/>
  <c r="H110" i="5"/>
  <c r="M110" i="5" s="1"/>
  <c r="I108" i="5"/>
  <c r="H108" i="5"/>
  <c r="M108" i="5" s="1"/>
  <c r="I107" i="5"/>
  <c r="H107" i="5"/>
  <c r="M107" i="5" s="1"/>
  <c r="I106" i="5"/>
  <c r="H106" i="5"/>
  <c r="M106" i="5" s="1"/>
  <c r="Q105" i="5"/>
  <c r="M105" i="5"/>
  <c r="K105" i="5"/>
  <c r="J105" i="5"/>
  <c r="K103" i="5"/>
  <c r="J103" i="5"/>
  <c r="I103" i="5"/>
  <c r="H103" i="5"/>
  <c r="M103" i="5" s="1"/>
  <c r="K102" i="5"/>
  <c r="J102" i="5"/>
  <c r="I102" i="5"/>
  <c r="H102" i="5"/>
  <c r="M102" i="5" s="1"/>
  <c r="K101" i="5"/>
  <c r="J101" i="5"/>
  <c r="I101" i="5"/>
  <c r="H101" i="5"/>
  <c r="M101" i="5" s="1"/>
  <c r="R100" i="5"/>
  <c r="Q100" i="5"/>
  <c r="O100" i="5"/>
  <c r="M100" i="5"/>
  <c r="F88" i="5"/>
  <c r="D88" i="5"/>
  <c r="K86" i="5"/>
  <c r="J86" i="5"/>
  <c r="I86" i="5"/>
  <c r="H86" i="5"/>
  <c r="M86" i="5" s="1"/>
  <c r="I84" i="5"/>
  <c r="H84" i="5"/>
  <c r="M84" i="5" s="1"/>
  <c r="I83" i="5"/>
  <c r="H83" i="5"/>
  <c r="M83" i="5" s="1"/>
  <c r="I82" i="5"/>
  <c r="H82" i="5"/>
  <c r="M82" i="5" s="1"/>
  <c r="Q81" i="5"/>
  <c r="M81" i="5"/>
  <c r="K81" i="5"/>
  <c r="J81" i="5"/>
  <c r="K79" i="5"/>
  <c r="J79" i="5"/>
  <c r="I79" i="5"/>
  <c r="H79" i="5"/>
  <c r="M79" i="5" s="1"/>
  <c r="K78" i="5"/>
  <c r="J78" i="5"/>
  <c r="I78" i="5"/>
  <c r="H78" i="5"/>
  <c r="M78" i="5" s="1"/>
  <c r="K77" i="5"/>
  <c r="J77" i="5"/>
  <c r="I77" i="5"/>
  <c r="H77" i="5"/>
  <c r="M77" i="5" s="1"/>
  <c r="R76" i="5"/>
  <c r="Q76" i="5"/>
  <c r="O76" i="5"/>
  <c r="M76" i="5"/>
  <c r="M52" i="5"/>
  <c r="O52" i="5"/>
  <c r="Q52" i="5"/>
  <c r="R52" i="5"/>
  <c r="H53" i="5"/>
  <c r="I53" i="5"/>
  <c r="M53" i="5" s="1"/>
  <c r="J53" i="5"/>
  <c r="K53" i="5"/>
  <c r="H54" i="5"/>
  <c r="I54" i="5"/>
  <c r="J54" i="5"/>
  <c r="K54" i="5"/>
  <c r="M54" i="5"/>
  <c r="H55" i="5"/>
  <c r="I55" i="5"/>
  <c r="M55" i="5" s="1"/>
  <c r="J55" i="5"/>
  <c r="K55" i="5"/>
  <c r="J57" i="5"/>
  <c r="D25" i="7" s="1"/>
  <c r="K57" i="5"/>
  <c r="E25" i="7" s="1"/>
  <c r="M57" i="5"/>
  <c r="Q57" i="5"/>
  <c r="H58" i="5"/>
  <c r="M58" i="5" s="1"/>
  <c r="I58" i="5"/>
  <c r="H59" i="5"/>
  <c r="I59" i="5"/>
  <c r="M59" i="5" s="1"/>
  <c r="H60" i="5"/>
  <c r="I60" i="5"/>
  <c r="M60" i="5" s="1"/>
  <c r="H62" i="5"/>
  <c r="I62" i="5"/>
  <c r="J62" i="5"/>
  <c r="K62" i="5"/>
  <c r="M62" i="5"/>
  <c r="D64" i="5"/>
  <c r="F64" i="5"/>
  <c r="F40" i="5"/>
  <c r="D40" i="5"/>
  <c r="K38" i="5"/>
  <c r="J38" i="5"/>
  <c r="O38" i="5" s="1"/>
  <c r="I38" i="5"/>
  <c r="H38" i="5"/>
  <c r="M38" i="5" s="1"/>
  <c r="I36" i="5"/>
  <c r="H36" i="5"/>
  <c r="M36" i="5" s="1"/>
  <c r="I35" i="5"/>
  <c r="H35" i="5"/>
  <c r="M35" i="5" s="1"/>
  <c r="I34" i="5"/>
  <c r="H34" i="5"/>
  <c r="M34" i="5" s="1"/>
  <c r="Q33" i="5"/>
  <c r="M33" i="5"/>
  <c r="K33" i="5"/>
  <c r="J33" i="5"/>
  <c r="K31" i="5"/>
  <c r="J31" i="5"/>
  <c r="I31" i="5"/>
  <c r="H31" i="5"/>
  <c r="M31" i="5" s="1"/>
  <c r="K30" i="5"/>
  <c r="J30" i="5"/>
  <c r="I30" i="5"/>
  <c r="H30" i="5"/>
  <c r="M30" i="5" s="1"/>
  <c r="K29" i="5"/>
  <c r="J29" i="5"/>
  <c r="I29" i="5"/>
  <c r="H29" i="5"/>
  <c r="M29" i="5" s="1"/>
  <c r="R28" i="5"/>
  <c r="Q28" i="5"/>
  <c r="O28" i="5"/>
  <c r="M28" i="5"/>
  <c r="R6" i="1"/>
  <c r="R11" i="1" s="1"/>
  <c r="P16" i="2" s="1"/>
  <c r="K9" i="5"/>
  <c r="E16" i="7" s="1"/>
  <c r="J9" i="5"/>
  <c r="D16" i="7" s="1"/>
  <c r="J17" i="1"/>
  <c r="L17" i="1" s="1"/>
  <c r="N17" i="1" s="1"/>
  <c r="P17" i="1" s="1"/>
  <c r="R17" i="1" s="1"/>
  <c r="T17" i="1" s="1"/>
  <c r="V17" i="1" s="1"/>
  <c r="J15" i="1"/>
  <c r="L15" i="1" s="1"/>
  <c r="N15" i="1" s="1"/>
  <c r="P15" i="1" s="1"/>
  <c r="R15" i="1" s="1"/>
  <c r="T15" i="1" s="1"/>
  <c r="V15" i="1" s="1"/>
  <c r="J14" i="1"/>
  <c r="L14" i="1" s="1"/>
  <c r="T10" i="2"/>
  <c r="R10" i="2"/>
  <c r="P10" i="2"/>
  <c r="N10" i="2"/>
  <c r="L10" i="2"/>
  <c r="J10" i="2"/>
  <c r="H10" i="2"/>
  <c r="F10" i="2"/>
  <c r="J72" i="1"/>
  <c r="L72" i="1" s="1"/>
  <c r="N72" i="1" s="1"/>
  <c r="P72" i="1" s="1"/>
  <c r="R72" i="1" s="1"/>
  <c r="T72" i="1" s="1"/>
  <c r="V72" i="1" s="1"/>
  <c r="G7" i="3"/>
  <c r="G5" i="3"/>
  <c r="G3" i="3"/>
  <c r="V70" i="1"/>
  <c r="T70" i="1"/>
  <c r="R70" i="1"/>
  <c r="P70" i="1"/>
  <c r="N70" i="1"/>
  <c r="L70" i="1"/>
  <c r="J70" i="1"/>
  <c r="K179" i="5" l="1"/>
  <c r="E45" i="7"/>
  <c r="O175" i="5"/>
  <c r="S172" i="5"/>
  <c r="I44" i="7" s="1"/>
  <c r="H44" i="7"/>
  <c r="J180" i="5"/>
  <c r="D45" i="7"/>
  <c r="O158" i="5"/>
  <c r="K155" i="5"/>
  <c r="E41" i="7"/>
  <c r="O149" i="5"/>
  <c r="O150" i="5"/>
  <c r="S148" i="5"/>
  <c r="I40" i="7" s="1"/>
  <c r="H40" i="7"/>
  <c r="J156" i="5"/>
  <c r="D41" i="7"/>
  <c r="K131" i="5"/>
  <c r="E37" i="7"/>
  <c r="O125" i="5"/>
  <c r="O126" i="5"/>
  <c r="S124" i="5"/>
  <c r="I36" i="7" s="1"/>
  <c r="H36" i="7"/>
  <c r="J132" i="5"/>
  <c r="D37" i="7"/>
  <c r="O110" i="5"/>
  <c r="K108" i="5"/>
  <c r="E33" i="7"/>
  <c r="J107" i="5"/>
  <c r="D33" i="7"/>
  <c r="S100" i="5"/>
  <c r="I32" i="7" s="1"/>
  <c r="H32" i="7"/>
  <c r="O86" i="5"/>
  <c r="O77" i="5"/>
  <c r="O78" i="5"/>
  <c r="K83" i="5"/>
  <c r="E29" i="7"/>
  <c r="O79" i="5"/>
  <c r="J84" i="5"/>
  <c r="D29" i="7"/>
  <c r="S76" i="5"/>
  <c r="I28" i="7" s="1"/>
  <c r="H28" i="7"/>
  <c r="K58" i="5"/>
  <c r="O55" i="5"/>
  <c r="K59" i="5"/>
  <c r="K60" i="5"/>
  <c r="O54" i="5"/>
  <c r="S52" i="5"/>
  <c r="I24" i="7" s="1"/>
  <c r="H24" i="7"/>
  <c r="K36" i="5"/>
  <c r="E20" i="7"/>
  <c r="O29" i="5"/>
  <c r="O30" i="5"/>
  <c r="O31" i="5"/>
  <c r="J35" i="5"/>
  <c r="D20" i="7"/>
  <c r="S28" i="5"/>
  <c r="I20" i="7" s="1"/>
  <c r="H20" i="7"/>
  <c r="O182" i="5"/>
  <c r="K178" i="5"/>
  <c r="K180" i="5"/>
  <c r="O180" i="5" s="1"/>
  <c r="O177" i="5"/>
  <c r="J179" i="5"/>
  <c r="O179" i="5" s="1"/>
  <c r="R177" i="5"/>
  <c r="J178" i="5"/>
  <c r="O151" i="5"/>
  <c r="K154" i="5"/>
  <c r="K156" i="5"/>
  <c r="O156" i="5" s="1"/>
  <c r="O153" i="5"/>
  <c r="J155" i="5"/>
  <c r="O155" i="5" s="1"/>
  <c r="R153" i="5"/>
  <c r="J154" i="5"/>
  <c r="O127" i="5"/>
  <c r="O134" i="5"/>
  <c r="M136" i="5"/>
  <c r="K130" i="5"/>
  <c r="K132" i="5"/>
  <c r="O129" i="5"/>
  <c r="J131" i="5"/>
  <c r="R129" i="5"/>
  <c r="J130" i="5"/>
  <c r="O101" i="5"/>
  <c r="O102" i="5"/>
  <c r="O103" i="5"/>
  <c r="K107" i="5"/>
  <c r="M112" i="5"/>
  <c r="K106" i="5"/>
  <c r="R105" i="5"/>
  <c r="J106" i="5"/>
  <c r="O106" i="5" s="1"/>
  <c r="J108" i="5"/>
  <c r="O108" i="5" s="1"/>
  <c r="O105" i="5"/>
  <c r="M88" i="5"/>
  <c r="K82" i="5"/>
  <c r="K84" i="5"/>
  <c r="O84" i="5" s="1"/>
  <c r="O81" i="5"/>
  <c r="J83" i="5"/>
  <c r="R81" i="5"/>
  <c r="J82" i="5"/>
  <c r="O53" i="5"/>
  <c r="R57" i="5"/>
  <c r="O62" i="5"/>
  <c r="M64" i="5"/>
  <c r="O57" i="5"/>
  <c r="J59" i="5"/>
  <c r="J60" i="5"/>
  <c r="O60" i="5" s="1"/>
  <c r="J58" i="5"/>
  <c r="K35" i="5"/>
  <c r="M40" i="5"/>
  <c r="J36" i="5"/>
  <c r="K34" i="5"/>
  <c r="R33" i="5"/>
  <c r="J34" i="5"/>
  <c r="O33" i="5"/>
  <c r="N6" i="1"/>
  <c r="N11" i="1" s="1"/>
  <c r="L16" i="2" s="1"/>
  <c r="P6" i="1"/>
  <c r="P11" i="1" s="1"/>
  <c r="N16" i="2" s="1"/>
  <c r="L6" i="1"/>
  <c r="L11" i="1" s="1"/>
  <c r="J16" i="2" s="1"/>
  <c r="T6" i="1"/>
  <c r="T11" i="1" s="1"/>
  <c r="R16" i="2" s="1"/>
  <c r="V6" i="1"/>
  <c r="V11" i="1" s="1"/>
  <c r="T16" i="2" s="1"/>
  <c r="J6" i="1"/>
  <c r="J11" i="1" s="1"/>
  <c r="H16" i="2" s="1"/>
  <c r="N14" i="1"/>
  <c r="L19" i="1"/>
  <c r="L21" i="1"/>
  <c r="J19" i="1"/>
  <c r="L74" i="1"/>
  <c r="J3" i="2" s="1"/>
  <c r="P74" i="1"/>
  <c r="N3" i="2" s="1"/>
  <c r="T74" i="1"/>
  <c r="R3" i="2" s="1"/>
  <c r="J74" i="1"/>
  <c r="H3" i="2" s="1"/>
  <c r="N74" i="1"/>
  <c r="L3" i="2" s="1"/>
  <c r="R74" i="1"/>
  <c r="P3" i="2" s="1"/>
  <c r="V74" i="1"/>
  <c r="T3" i="2" s="1"/>
  <c r="S177" i="5" l="1"/>
  <c r="I45" i="7" s="1"/>
  <c r="H45" i="7"/>
  <c r="S153" i="5"/>
  <c r="I41" i="7" s="1"/>
  <c r="H41" i="7"/>
  <c r="O131" i="5"/>
  <c r="O130" i="5"/>
  <c r="S129" i="5"/>
  <c r="I37" i="7" s="1"/>
  <c r="H37" i="7"/>
  <c r="O136" i="5"/>
  <c r="O132" i="5"/>
  <c r="S105" i="5"/>
  <c r="I33" i="7" s="1"/>
  <c r="H33" i="7"/>
  <c r="O107" i="5"/>
  <c r="O112" i="5" s="1"/>
  <c r="O83" i="5"/>
  <c r="S81" i="5"/>
  <c r="I29" i="7" s="1"/>
  <c r="H29" i="7"/>
  <c r="O59" i="5"/>
  <c r="O58" i="5"/>
  <c r="S57" i="5"/>
  <c r="I25" i="7" s="1"/>
  <c r="H25" i="7"/>
  <c r="O34" i="5"/>
  <c r="O36" i="5"/>
  <c r="S33" i="5"/>
  <c r="I21" i="7" s="1"/>
  <c r="H21" i="7"/>
  <c r="O35" i="5"/>
  <c r="O178" i="5"/>
  <c r="O184" i="5"/>
  <c r="O154" i="5"/>
  <c r="O160" i="5"/>
  <c r="O82" i="5"/>
  <c r="O64" i="5"/>
  <c r="O40" i="5"/>
  <c r="J21" i="1"/>
  <c r="J76" i="1" s="1"/>
  <c r="L76" i="1"/>
  <c r="N19" i="1"/>
  <c r="N21" i="1" s="1"/>
  <c r="N76" i="1" s="1"/>
  <c r="P14" i="1"/>
  <c r="O88" i="5" l="1"/>
  <c r="R14" i="1"/>
  <c r="P19" i="1"/>
  <c r="P21" i="1" s="1"/>
  <c r="P76" i="1" s="1"/>
  <c r="R19" i="1" l="1"/>
  <c r="R21" i="1" s="1"/>
  <c r="R76" i="1" s="1"/>
  <c r="T14" i="1"/>
  <c r="V14" i="1" l="1"/>
  <c r="V19" i="1" s="1"/>
  <c r="V21" i="1" s="1"/>
  <c r="V76" i="1" s="1"/>
  <c r="T19" i="1"/>
  <c r="T21" i="1" s="1"/>
  <c r="T76" i="1" s="1"/>
  <c r="H70" i="1" l="1"/>
  <c r="F72" i="1"/>
  <c r="O4" i="5" l="1"/>
  <c r="F16" i="5"/>
  <c r="H5" i="5"/>
  <c r="M4" i="5" l="1"/>
  <c r="M18" i="5"/>
  <c r="D16" i="5"/>
  <c r="K14" i="5"/>
  <c r="J14" i="5"/>
  <c r="I14" i="5"/>
  <c r="H14" i="5"/>
  <c r="K12" i="5"/>
  <c r="J12" i="5"/>
  <c r="I12" i="5"/>
  <c r="H12" i="5"/>
  <c r="M12" i="5" s="1"/>
  <c r="K11" i="5"/>
  <c r="J11" i="5"/>
  <c r="I11" i="5"/>
  <c r="H11" i="5"/>
  <c r="K10" i="5"/>
  <c r="J10" i="5"/>
  <c r="I10" i="5"/>
  <c r="H10" i="5"/>
  <c r="R9" i="5"/>
  <c r="H16" i="7" s="1"/>
  <c r="Q9" i="5"/>
  <c r="O9" i="5"/>
  <c r="M9" i="5"/>
  <c r="K7" i="5"/>
  <c r="J7" i="5"/>
  <c r="I7" i="5"/>
  <c r="H7" i="5"/>
  <c r="K6" i="5"/>
  <c r="J6" i="5"/>
  <c r="I6" i="5"/>
  <c r="H6" i="5"/>
  <c r="K5" i="5"/>
  <c r="J5" i="5"/>
  <c r="I5" i="5"/>
  <c r="M5" i="5" s="1"/>
  <c r="R4" i="5"/>
  <c r="H15" i="7" s="1"/>
  <c r="Q4" i="5"/>
  <c r="O5" i="5" l="1"/>
  <c r="O10" i="5"/>
  <c r="O11" i="5"/>
  <c r="O12" i="5"/>
  <c r="O6" i="5"/>
  <c r="O7" i="5"/>
  <c r="O14" i="5"/>
  <c r="S9" i="5"/>
  <c r="I16" i="7" s="1"/>
  <c r="M11" i="5"/>
  <c r="M10" i="5"/>
  <c r="M7" i="5"/>
  <c r="M14" i="5"/>
  <c r="M6" i="5"/>
  <c r="S4" i="5"/>
  <c r="I15" i="7" s="1"/>
  <c r="O16" i="5" l="1"/>
  <c r="M16" i="5"/>
  <c r="M20" i="5" s="1"/>
  <c r="E7" i="3" l="1"/>
  <c r="E5" i="3"/>
  <c r="E9" i="3" s="1"/>
  <c r="E3" i="3"/>
  <c r="C7" i="3"/>
  <c r="C5" i="3"/>
  <c r="C3" i="3"/>
  <c r="F19" i="1"/>
  <c r="E19" i="1"/>
  <c r="H17" i="1"/>
  <c r="H15" i="1"/>
  <c r="H14" i="1"/>
  <c r="F11" i="1"/>
  <c r="E11" i="1"/>
  <c r="H9" i="1"/>
  <c r="H8" i="1"/>
  <c r="H7" i="1"/>
  <c r="H5" i="1"/>
  <c r="C9" i="3" l="1"/>
  <c r="E70" i="1"/>
  <c r="E74" i="1" s="1"/>
  <c r="H74" i="1"/>
  <c r="F3" i="2" s="1"/>
  <c r="K9" i="3"/>
  <c r="I9" i="3"/>
  <c r="G9" i="3"/>
  <c r="H19" i="1"/>
  <c r="E21" i="1"/>
  <c r="H11" i="1"/>
  <c r="F16" i="2" s="1"/>
  <c r="E76" i="1" l="1"/>
  <c r="L9" i="3"/>
  <c r="L10" i="3" s="1"/>
  <c r="H21" i="1"/>
  <c r="H76" i="1" s="1"/>
  <c r="L15" i="3" l="1"/>
  <c r="F5" i="2" s="1"/>
  <c r="F6" i="2" l="1"/>
  <c r="T5" i="2"/>
  <c r="L5" i="2"/>
  <c r="N5" i="2"/>
  <c r="R5" i="2"/>
  <c r="J5" i="2"/>
  <c r="P5" i="2"/>
  <c r="H5" i="2"/>
  <c r="F8" i="2"/>
  <c r="F14" i="2" s="1"/>
  <c r="D23" i="5" s="1"/>
  <c r="O18" i="5" s="1"/>
  <c r="O20" i="5" s="1"/>
  <c r="P6" i="2" l="1"/>
  <c r="P8" i="2" s="1"/>
  <c r="P14" i="2" s="1"/>
  <c r="R6" i="2"/>
  <c r="R8" i="2" s="1"/>
  <c r="R14" i="2" s="1"/>
  <c r="H6" i="2"/>
  <c r="H8" i="2" s="1"/>
  <c r="H14" i="2" s="1"/>
  <c r="N6" i="2"/>
  <c r="N8" i="2" s="1"/>
  <c r="N14" i="2" s="1"/>
  <c r="L6" i="2"/>
  <c r="L8" i="2" s="1"/>
  <c r="L14" i="2" s="1"/>
  <c r="J6" i="2"/>
  <c r="J8" i="2" s="1"/>
  <c r="J14" i="2" s="1"/>
  <c r="T6" i="2"/>
  <c r="T8" i="2" s="1"/>
  <c r="T14" i="2" s="1"/>
  <c r="F18" i="2"/>
  <c r="F21" i="2" s="1"/>
  <c r="D47" i="5" l="1"/>
  <c r="O42" i="5" s="1"/>
  <c r="O44" i="5" s="1"/>
  <c r="H18" i="2"/>
  <c r="H21" i="2" s="1"/>
  <c r="D143" i="5"/>
  <c r="O138" i="5" s="1"/>
  <c r="O140" i="5" s="1"/>
  <c r="P18" i="2"/>
  <c r="P21" i="2" s="1"/>
  <c r="D167" i="5"/>
  <c r="O162" i="5" s="1"/>
  <c r="O164" i="5" s="1"/>
  <c r="R18" i="2"/>
  <c r="R21" i="2" s="1"/>
  <c r="N18" i="2"/>
  <c r="N21" i="2" s="1"/>
  <c r="D119" i="5"/>
  <c r="O114" i="5" s="1"/>
  <c r="O116" i="5" s="1"/>
  <c r="D95" i="5"/>
  <c r="O90" i="5" s="1"/>
  <c r="O92" i="5" s="1"/>
  <c r="L18" i="2"/>
  <c r="L21" i="2" s="1"/>
  <c r="D71" i="5"/>
  <c r="O66" i="5" s="1"/>
  <c r="O68" i="5" s="1"/>
  <c r="J18" i="2"/>
  <c r="J21" i="2" s="1"/>
  <c r="D191" i="5"/>
  <c r="O186" i="5" s="1"/>
  <c r="O188" i="5" s="1"/>
  <c r="T18" i="2"/>
  <c r="T21" i="2" s="1"/>
</calcChain>
</file>

<file path=xl/sharedStrings.xml><?xml version="1.0" encoding="utf-8"?>
<sst xmlns="http://schemas.openxmlformats.org/spreadsheetml/2006/main" count="383" uniqueCount="155">
  <si>
    <t>Test Year</t>
  </si>
  <si>
    <t>Adjustment</t>
  </si>
  <si>
    <t>Ref.</t>
  </si>
  <si>
    <t>Pro Forma</t>
  </si>
  <si>
    <t>Operating Revenues</t>
  </si>
  <si>
    <t>Sales of Water</t>
  </si>
  <si>
    <t xml:space="preserve">  Unmetered water sales</t>
  </si>
  <si>
    <t xml:space="preserve">  Metered water sales</t>
  </si>
  <si>
    <t xml:space="preserve">  Bulk loading stations</t>
  </si>
  <si>
    <t xml:space="preserve">  Fire protection revenue</t>
  </si>
  <si>
    <t xml:space="preserve">  Sales for resale</t>
  </si>
  <si>
    <t>Total sales of water</t>
  </si>
  <si>
    <t>Other water revenues</t>
  </si>
  <si>
    <t xml:space="preserve">  Forfeited discounts</t>
  </si>
  <si>
    <t>Miscellaneous service revenues</t>
  </si>
  <si>
    <t xml:space="preserve">  Rents from water property</t>
  </si>
  <si>
    <t xml:space="preserve"> </t>
  </si>
  <si>
    <t>Total other water revenues</t>
  </si>
  <si>
    <t>Total Operating Revenues</t>
  </si>
  <si>
    <t>Operating Expenses</t>
  </si>
  <si>
    <t>Total Operation and Maintenance Expenses</t>
  </si>
  <si>
    <t>Depreciation Expense</t>
  </si>
  <si>
    <t>Total Operating Expenses</t>
  </si>
  <si>
    <t>Utility Operating Income</t>
  </si>
  <si>
    <t>Revenue Requirement Calculation - Debt Coverage Method</t>
  </si>
  <si>
    <t>Pro Forma Operating Expenses</t>
  </si>
  <si>
    <t>Plus: Average Annual Debt P&amp;I Payments</t>
  </si>
  <si>
    <t xml:space="preserve">  Debt Coverage Requirement</t>
  </si>
  <si>
    <t>Total Revenue Requirement</t>
  </si>
  <si>
    <t>Less:  Other Operating Revenue</t>
  </si>
  <si>
    <t xml:space="preserve">  Non-operating Revenue</t>
  </si>
  <si>
    <t xml:space="preserve">  Interest Income</t>
  </si>
  <si>
    <t>Revenue Required from Rates</t>
  </si>
  <si>
    <t>Less: Revenue from Sales at Present Rates</t>
  </si>
  <si>
    <t>Required Revenue Increase</t>
  </si>
  <si>
    <t>Required Revenue Increase stated as a percentage of revenue</t>
  </si>
  <si>
    <t xml:space="preserve">  at Present Rates</t>
  </si>
  <si>
    <t>KIA B08-09</t>
  </si>
  <si>
    <t>KIA F15-057</t>
  </si>
  <si>
    <t>KIA F14-036</t>
  </si>
  <si>
    <t>CNB 97A</t>
  </si>
  <si>
    <t>CNB 97B, 02</t>
  </si>
  <si>
    <t xml:space="preserve">  Other water revenues</t>
  </si>
  <si>
    <t>Lebanon Water Works</t>
  </si>
  <si>
    <t>Rates</t>
  </si>
  <si>
    <t>Revenue</t>
  </si>
  <si>
    <t>Cubic Ft</t>
  </si>
  <si>
    <t>Customer Category</t>
  </si>
  <si>
    <t>No. Customers</t>
  </si>
  <si>
    <t>Meter Chg</t>
  </si>
  <si>
    <t>Volume Chg</t>
  </si>
  <si>
    <t>Pro Forma Meter Chg</t>
  </si>
  <si>
    <t>Pro Forma Volume Chg</t>
  </si>
  <si>
    <t xml:space="preserve">Existing </t>
  </si>
  <si>
    <t>Proposed</t>
  </si>
  <si>
    <t>Percent +</t>
  </si>
  <si>
    <t>Residential in town</t>
  </si>
  <si>
    <t>industrial in town</t>
  </si>
  <si>
    <t>commercial in town</t>
  </si>
  <si>
    <t>irrigation in town</t>
  </si>
  <si>
    <t>residential county</t>
  </si>
  <si>
    <t>industrial county</t>
  </si>
  <si>
    <t>commercial county</t>
  </si>
  <si>
    <t>irrigation county</t>
  </si>
  <si>
    <t>MCWD</t>
  </si>
  <si>
    <t>Revenue Required</t>
  </si>
  <si>
    <t>Percent Difference</t>
  </si>
  <si>
    <t>Revenue Requirement</t>
  </si>
  <si>
    <t xml:space="preserve">  Pro Forma</t>
  </si>
  <si>
    <t>2016 Usage</t>
  </si>
  <si>
    <t>2016 Revenue - Audit</t>
  </si>
  <si>
    <t>New Debt</t>
  </si>
  <si>
    <t>@ 2.0%/40 years</t>
  </si>
  <si>
    <t>Purchased Water-Cville Water &amp; Sewer</t>
  </si>
  <si>
    <t>Salaries</t>
  </si>
  <si>
    <t>Fringe Benefits - Employee ins</t>
  </si>
  <si>
    <t>KRS/CERS - Employer share</t>
  </si>
  <si>
    <t>Payroll taxes</t>
  </si>
  <si>
    <t>Office - Utilities</t>
  </si>
  <si>
    <t>Office - Repairs/Maintenance</t>
  </si>
  <si>
    <t>Office - Supplies</t>
  </si>
  <si>
    <t>Office - Miscellaneous</t>
  </si>
  <si>
    <t>Professional Fees - Legal/Accting/Surveying</t>
  </si>
  <si>
    <t>Postage</t>
  </si>
  <si>
    <t>Director fees</t>
  </si>
  <si>
    <t>Advertisements</t>
  </si>
  <si>
    <t>Uniforms/Safety Equipment</t>
  </si>
  <si>
    <t>Continuing Education Expense</t>
  </si>
  <si>
    <t>Membership Dues/Fees</t>
  </si>
  <si>
    <t>Insurance</t>
  </si>
  <si>
    <t>Bad Debts</t>
  </si>
  <si>
    <t>Interest on Customer Deposits</t>
  </si>
  <si>
    <t>Donations</t>
  </si>
  <si>
    <t>Rental House - Calvary</t>
  </si>
  <si>
    <t>Miscellaneous</t>
  </si>
  <si>
    <t>Equipment - Repairs/Maintenance</t>
  </si>
  <si>
    <t>Shop - Supplies/Expense</t>
  </si>
  <si>
    <t>Meters - Repairs</t>
  </si>
  <si>
    <t>Mains - Repairs</t>
  </si>
  <si>
    <t>Hydrants - Repairs</t>
  </si>
  <si>
    <t>Tanks - Repairs</t>
  </si>
  <si>
    <t>Tanks - Utilities</t>
  </si>
  <si>
    <t>Lab Equipment/Supplies</t>
  </si>
  <si>
    <t>Lab Testing</t>
  </si>
  <si>
    <t>Vehicle - Fuel</t>
  </si>
  <si>
    <t>Vehicle - Repairs/Maintenance</t>
  </si>
  <si>
    <t>Warehouse Rd- BPS - Repairs/Maintenance</t>
  </si>
  <si>
    <t>Power</t>
  </si>
  <si>
    <t>Chemicals</t>
  </si>
  <si>
    <t>Utilities</t>
  </si>
  <si>
    <t>Repairs/Maintenance</t>
  </si>
  <si>
    <t>Supplies</t>
  </si>
  <si>
    <t>Lab Equipment</t>
  </si>
  <si>
    <t>Pump Equipment</t>
  </si>
  <si>
    <t>Lake - Repairs/Maintenance</t>
  </si>
  <si>
    <t>Buena Vista - Utilities</t>
  </si>
  <si>
    <t>Buena Vista - Supplies</t>
  </si>
  <si>
    <t>Buena Vista - Repairs/Maintenance</t>
  </si>
  <si>
    <t>Minimum Usage</t>
  </si>
  <si>
    <t>Purchase Cost</t>
  </si>
  <si>
    <t>Total Savings at WTP</t>
  </si>
  <si>
    <t>Savings at WTP</t>
  </si>
  <si>
    <t>Run #1 - 300,000 gallons purchased/Campbellsville</t>
  </si>
  <si>
    <t>Run #2 - 400,000 gallons purchased/Campbellsville</t>
  </si>
  <si>
    <t>Run #3 - 500,000 gallons purchased/Campbellsville</t>
  </si>
  <si>
    <t>Run #4 - 600,000 gallons purchased/Campbellsville</t>
  </si>
  <si>
    <t>Run #5 - 700,000 gallons purchased/Campbellsville</t>
  </si>
  <si>
    <t>Run #6 - 800,000 gallons purchased/Campbellsville</t>
  </si>
  <si>
    <t>Run #7 - 900,000 gallons purchased/Campbellsville</t>
  </si>
  <si>
    <t>Run #8 - 1,000,000 gallons purchased/Campbellsville</t>
  </si>
  <si>
    <t>Basis for Calculations:</t>
  </si>
  <si>
    <t>Water Purchases from C-ville at varying levels</t>
  </si>
  <si>
    <t>Savings at WTP at varying levels</t>
  </si>
  <si>
    <t xml:space="preserve">Debt - </t>
  </si>
  <si>
    <t xml:space="preserve">  KIA Fund B</t>
  </si>
  <si>
    <t xml:space="preserve">  KIA Fund F14-036</t>
  </si>
  <si>
    <t xml:space="preserve">  KIA Fund F15-057</t>
  </si>
  <si>
    <t xml:space="preserve">  2 CNB Loans</t>
  </si>
  <si>
    <t>Proposed rates at:</t>
  </si>
  <si>
    <t>In Town/MCWD</t>
  </si>
  <si>
    <t>Out of Town</t>
  </si>
  <si>
    <t>300,000 gallon purchase</t>
  </si>
  <si>
    <t>400,000 gallon purchase</t>
  </si>
  <si>
    <t>500,000 gallon purchase</t>
  </si>
  <si>
    <t>600,000 gallon purchase</t>
  </si>
  <si>
    <t>700,000 gallon purchase</t>
  </si>
  <si>
    <t>800,000 gallon purchase</t>
  </si>
  <si>
    <t>900,000 gallon purchase</t>
  </si>
  <si>
    <t>1,000,000 gallon purchase</t>
  </si>
  <si>
    <t>Effect on Average Usage: 534 Cubic Feet</t>
  </si>
  <si>
    <t>Existing</t>
  </si>
  <si>
    <t>Percent Change</t>
  </si>
  <si>
    <t>Proposed June 30, 2018 Budget plus:</t>
  </si>
  <si>
    <t>Depreciation at 100% of 6/30/18 budget number</t>
  </si>
  <si>
    <t>Schedule of adjusted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</si>
</sst>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0" xfId="0" applyFill="1"/>
    <xf numFmtId="10" fontId="0" fillId="0" borderId="0" xfId="3" applyNumberFormat="1" applyFont="1"/>
    <xf numFmtId="44" fontId="0" fillId="0" borderId="0" xfId="2" applyFont="1"/>
    <xf numFmtId="9" fontId="0" fillId="0" borderId="0" xfId="3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Border="1" applyAlignment="1">
      <alignment horizontal="center"/>
    </xf>
    <xf numFmtId="43" fontId="0" fillId="0" borderId="0" xfId="1" applyFont="1"/>
    <xf numFmtId="0" fontId="0" fillId="0" borderId="1" xfId="0" applyFont="1" applyBorder="1"/>
    <xf numFmtId="164" fontId="0" fillId="0" borderId="1" xfId="1" applyNumberFormat="1" applyFont="1" applyBorder="1"/>
    <xf numFmtId="43" fontId="0" fillId="0" borderId="1" xfId="1" applyFont="1" applyBorder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0" fontId="3" fillId="0" borderId="0" xfId="0" applyFont="1"/>
    <xf numFmtId="3" fontId="3" fillId="2" borderId="0" xfId="0" applyNumberFormat="1" applyFont="1" applyFill="1"/>
    <xf numFmtId="3" fontId="3" fillId="0" borderId="0" xfId="0" applyNumberFormat="1" applyFont="1"/>
    <xf numFmtId="3" fontId="3" fillId="0" borderId="1" xfId="0" applyNumberFormat="1" applyFont="1" applyBorder="1"/>
    <xf numFmtId="3" fontId="0" fillId="0" borderId="0" xfId="0" applyNumberForma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/>
    <xf numFmtId="15" fontId="0" fillId="0" borderId="0" xfId="0" applyNumberFormat="1"/>
    <xf numFmtId="3" fontId="0" fillId="0" borderId="1" xfId="0" applyNumberFormat="1" applyBorder="1" applyAlignment="1">
      <alignment horizontal="center"/>
    </xf>
    <xf numFmtId="44" fontId="0" fillId="0" borderId="0" xfId="0" applyNumberFormat="1"/>
    <xf numFmtId="9" fontId="0" fillId="0" borderId="0" xfId="0" applyNumberFormat="1"/>
    <xf numFmtId="165" fontId="0" fillId="0" borderId="0" xfId="2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44" fontId="0" fillId="0" borderId="0" xfId="0" applyNumberFormat="1" applyFont="1"/>
    <xf numFmtId="9" fontId="0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557212</xdr:colOff>
      <xdr:row>59</xdr:row>
      <xdr:rowOff>4762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B007023-A0D7-4A16-8059-9A379B8B6398}"/>
            </a:ext>
          </a:extLst>
        </xdr:cNvPr>
        <xdr:cNvSpPr txBox="1"/>
      </xdr:nvSpPr>
      <xdr:spPr>
        <a:xfrm>
          <a:off x="5538787" y="10234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557212</xdr:colOff>
      <xdr:row>59</xdr:row>
      <xdr:rowOff>4762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8C3BC18-1151-4D35-85B4-35530FF4A126}"/>
            </a:ext>
          </a:extLst>
        </xdr:cNvPr>
        <xdr:cNvSpPr txBox="1"/>
      </xdr:nvSpPr>
      <xdr:spPr>
        <a:xfrm>
          <a:off x="319563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557212</xdr:colOff>
      <xdr:row>59</xdr:row>
      <xdr:rowOff>4762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0BC2EA6-BC20-4B49-BAF0-56130F953300}"/>
            </a:ext>
          </a:extLst>
        </xdr:cNvPr>
        <xdr:cNvSpPr txBox="1"/>
      </xdr:nvSpPr>
      <xdr:spPr>
        <a:xfrm>
          <a:off x="39862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557212</xdr:colOff>
      <xdr:row>59</xdr:row>
      <xdr:rowOff>4762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8DEE028-0BC9-4E19-8DFD-43D6C4705789}"/>
            </a:ext>
          </a:extLst>
        </xdr:cNvPr>
        <xdr:cNvSpPr txBox="1"/>
      </xdr:nvSpPr>
      <xdr:spPr>
        <a:xfrm>
          <a:off x="477678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557212</xdr:colOff>
      <xdr:row>59</xdr:row>
      <xdr:rowOff>4762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E45454A-B659-4510-811E-21E91E474E81}"/>
            </a:ext>
          </a:extLst>
        </xdr:cNvPr>
        <xdr:cNvSpPr txBox="1"/>
      </xdr:nvSpPr>
      <xdr:spPr>
        <a:xfrm>
          <a:off x="556736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</xdr:col>
      <xdr:colOff>557212</xdr:colOff>
      <xdr:row>59</xdr:row>
      <xdr:rowOff>4762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AF6862C-4ACA-4900-A7B7-BC6997A92D46}"/>
            </a:ext>
          </a:extLst>
        </xdr:cNvPr>
        <xdr:cNvSpPr txBox="1"/>
      </xdr:nvSpPr>
      <xdr:spPr>
        <a:xfrm>
          <a:off x="635793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</xdr:col>
      <xdr:colOff>557212</xdr:colOff>
      <xdr:row>59</xdr:row>
      <xdr:rowOff>4762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8EE09074-2E7D-46F8-9404-F73999E3CA4F}"/>
            </a:ext>
          </a:extLst>
        </xdr:cNvPr>
        <xdr:cNvSpPr txBox="1"/>
      </xdr:nvSpPr>
      <xdr:spPr>
        <a:xfrm>
          <a:off x="71485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557212</xdr:colOff>
      <xdr:row>59</xdr:row>
      <xdr:rowOff>4762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6729DC4B-C07D-4E48-AB6D-2EF247D8A5FA}"/>
            </a:ext>
          </a:extLst>
        </xdr:cNvPr>
        <xdr:cNvSpPr txBox="1"/>
      </xdr:nvSpPr>
      <xdr:spPr>
        <a:xfrm>
          <a:off x="83677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selection activeCell="J27" sqref="J27"/>
    </sheetView>
  </sheetViews>
  <sheetFormatPr defaultRowHeight="15" x14ac:dyDescent="0.25"/>
  <cols>
    <col min="4" max="4" width="12.140625" customWidth="1"/>
    <col min="5" max="7" width="0" hidden="1" customWidth="1"/>
    <col min="9" max="9" width="2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  <col min="19" max="19" width="2.7109375" customWidth="1"/>
    <col min="21" max="21" width="2.7109375" customWidth="1"/>
  </cols>
  <sheetData>
    <row r="1" spans="1:22" x14ac:dyDescent="0.25">
      <c r="A1" t="s">
        <v>154</v>
      </c>
    </row>
    <row r="2" spans="1:22" x14ac:dyDescent="0.25">
      <c r="E2" s="1" t="s">
        <v>0</v>
      </c>
      <c r="F2" s="1" t="s">
        <v>1</v>
      </c>
      <c r="G2" s="1" t="s">
        <v>2</v>
      </c>
      <c r="H2" s="1" t="s">
        <v>3</v>
      </c>
    </row>
    <row r="3" spans="1:22" x14ac:dyDescent="0.25">
      <c r="A3" t="s">
        <v>4</v>
      </c>
    </row>
    <row r="4" spans="1:22" x14ac:dyDescent="0.25">
      <c r="A4" t="s">
        <v>5</v>
      </c>
    </row>
    <row r="5" spans="1:22" x14ac:dyDescent="0.25">
      <c r="A5" t="s">
        <v>6</v>
      </c>
      <c r="E5">
        <v>0</v>
      </c>
      <c r="H5">
        <f>E5+F5</f>
        <v>0</v>
      </c>
    </row>
    <row r="6" spans="1:22" x14ac:dyDescent="0.25">
      <c r="A6" t="s">
        <v>7</v>
      </c>
      <c r="E6">
        <v>2672904</v>
      </c>
      <c r="H6">
        <v>2640000</v>
      </c>
      <c r="J6">
        <f>H6</f>
        <v>2640000</v>
      </c>
      <c r="L6">
        <f>H6</f>
        <v>2640000</v>
      </c>
      <c r="N6">
        <f>H6</f>
        <v>2640000</v>
      </c>
      <c r="P6">
        <f>H6</f>
        <v>2640000</v>
      </c>
      <c r="R6">
        <f>H6</f>
        <v>2640000</v>
      </c>
      <c r="T6">
        <f>H6</f>
        <v>2640000</v>
      </c>
      <c r="V6">
        <f>H6</f>
        <v>2640000</v>
      </c>
    </row>
    <row r="7" spans="1:22" x14ac:dyDescent="0.25">
      <c r="A7" t="s">
        <v>8</v>
      </c>
      <c r="E7">
        <v>0</v>
      </c>
      <c r="H7">
        <f t="shared" ref="H7:H9" si="0">E7+F7</f>
        <v>0</v>
      </c>
    </row>
    <row r="8" spans="1:22" x14ac:dyDescent="0.25">
      <c r="A8" t="s">
        <v>9</v>
      </c>
      <c r="E8">
        <v>0</v>
      </c>
      <c r="H8">
        <f t="shared" si="0"/>
        <v>0</v>
      </c>
    </row>
    <row r="9" spans="1:22" x14ac:dyDescent="0.25">
      <c r="A9" t="s">
        <v>10</v>
      </c>
      <c r="E9">
        <v>0</v>
      </c>
      <c r="H9">
        <f t="shared" si="0"/>
        <v>0</v>
      </c>
    </row>
    <row r="11" spans="1:22" x14ac:dyDescent="0.25">
      <c r="A11" t="s">
        <v>11</v>
      </c>
      <c r="E11">
        <f>SUM(E5:E9)</f>
        <v>2672904</v>
      </c>
      <c r="F11">
        <f>SUM(F5:F9)</f>
        <v>0</v>
      </c>
      <c r="H11">
        <f>SUM(H5:H9)</f>
        <v>2640000</v>
      </c>
      <c r="J11">
        <f>SUM(J5:J9)</f>
        <v>2640000</v>
      </c>
      <c r="L11">
        <f>SUM(L5:L9)</f>
        <v>2640000</v>
      </c>
      <c r="N11">
        <f>SUM(N5:N9)</f>
        <v>2640000</v>
      </c>
      <c r="P11">
        <f>SUM(P5:P9)</f>
        <v>2640000</v>
      </c>
      <c r="R11">
        <f>SUM(R5:R9)</f>
        <v>2640000</v>
      </c>
      <c r="T11">
        <f>SUM(T5:T9)</f>
        <v>2640000</v>
      </c>
      <c r="V11">
        <f>SUM(V5:V9)</f>
        <v>2640000</v>
      </c>
    </row>
    <row r="12" spans="1:22" hidden="1" x14ac:dyDescent="0.25"/>
    <row r="13" spans="1:22" hidden="1" x14ac:dyDescent="0.25">
      <c r="A13" t="s">
        <v>12</v>
      </c>
    </row>
    <row r="14" spans="1:22" hidden="1" x14ac:dyDescent="0.25">
      <c r="A14" t="s">
        <v>13</v>
      </c>
      <c r="F14">
        <v>0</v>
      </c>
      <c r="H14">
        <f>E14+F14</f>
        <v>0</v>
      </c>
      <c r="J14">
        <f>G14+H14</f>
        <v>0</v>
      </c>
      <c r="L14">
        <f>I14+J14</f>
        <v>0</v>
      </c>
      <c r="N14">
        <f>K14+L14</f>
        <v>0</v>
      </c>
      <c r="P14">
        <f>M14+N14</f>
        <v>0</v>
      </c>
      <c r="R14">
        <f>O14+P14</f>
        <v>0</v>
      </c>
      <c r="T14">
        <f>Q14+R14</f>
        <v>0</v>
      </c>
      <c r="V14">
        <f>S14+T14</f>
        <v>0</v>
      </c>
    </row>
    <row r="15" spans="1:22" hidden="1" x14ac:dyDescent="0.25">
      <c r="A15" t="s">
        <v>14</v>
      </c>
      <c r="F15">
        <v>0</v>
      </c>
      <c r="H15">
        <f t="shared" ref="H15:V17" si="1">E15+F15</f>
        <v>0</v>
      </c>
      <c r="J15">
        <f t="shared" si="1"/>
        <v>0</v>
      </c>
      <c r="L15">
        <f t="shared" si="1"/>
        <v>0</v>
      </c>
      <c r="N15">
        <f t="shared" si="1"/>
        <v>0</v>
      </c>
      <c r="P15">
        <f t="shared" si="1"/>
        <v>0</v>
      </c>
      <c r="R15">
        <f t="shared" si="1"/>
        <v>0</v>
      </c>
      <c r="T15">
        <f t="shared" si="1"/>
        <v>0</v>
      </c>
      <c r="V15">
        <f t="shared" si="1"/>
        <v>0</v>
      </c>
    </row>
    <row r="16" spans="1:22" hidden="1" x14ac:dyDescent="0.25">
      <c r="A16" t="s">
        <v>15</v>
      </c>
      <c r="E16">
        <v>2000</v>
      </c>
      <c r="F16">
        <v>0</v>
      </c>
    </row>
    <row r="17" spans="1:22" hidden="1" x14ac:dyDescent="0.25">
      <c r="A17" t="s">
        <v>42</v>
      </c>
      <c r="F17">
        <v>0</v>
      </c>
      <c r="H17">
        <f t="shared" si="1"/>
        <v>0</v>
      </c>
      <c r="J17">
        <f t="shared" si="1"/>
        <v>0</v>
      </c>
      <c r="L17">
        <f t="shared" si="1"/>
        <v>0</v>
      </c>
      <c r="N17">
        <f t="shared" si="1"/>
        <v>0</v>
      </c>
      <c r="P17">
        <f t="shared" si="1"/>
        <v>0</v>
      </c>
      <c r="R17">
        <f t="shared" si="1"/>
        <v>0</v>
      </c>
      <c r="T17">
        <f t="shared" si="1"/>
        <v>0</v>
      </c>
      <c r="V17">
        <f t="shared" si="1"/>
        <v>0</v>
      </c>
    </row>
    <row r="18" spans="1:22" hidden="1" x14ac:dyDescent="0.25">
      <c r="A18" t="s">
        <v>16</v>
      </c>
    </row>
    <row r="19" spans="1:22" hidden="1" x14ac:dyDescent="0.25">
      <c r="A19" t="s">
        <v>17</v>
      </c>
      <c r="E19">
        <f>SUM(E14:E18)</f>
        <v>2000</v>
      </c>
      <c r="F19">
        <f>SUM(F14:F18)</f>
        <v>0</v>
      </c>
      <c r="H19">
        <f>SUM(H14:H18)</f>
        <v>0</v>
      </c>
      <c r="J19">
        <f>SUM(J14:J18)</f>
        <v>0</v>
      </c>
      <c r="L19">
        <f>SUM(L14:L18)</f>
        <v>0</v>
      </c>
      <c r="N19">
        <f>SUM(N14:N18)</f>
        <v>0</v>
      </c>
      <c r="P19">
        <f>SUM(P14:P18)</f>
        <v>0</v>
      </c>
      <c r="R19">
        <f>SUM(R14:R18)</f>
        <v>0</v>
      </c>
      <c r="T19">
        <f>SUM(T14:T18)</f>
        <v>0</v>
      </c>
      <c r="V19">
        <f>SUM(V14:V18)</f>
        <v>0</v>
      </c>
    </row>
    <row r="21" spans="1:22" x14ac:dyDescent="0.25">
      <c r="A21" t="s">
        <v>18</v>
      </c>
      <c r="E21">
        <f>E11+E19</f>
        <v>2674904</v>
      </c>
      <c r="H21">
        <f>H11+H19</f>
        <v>2640000</v>
      </c>
      <c r="J21">
        <f>J11+J19</f>
        <v>2640000</v>
      </c>
      <c r="L21">
        <f>L11+L19</f>
        <v>2640000</v>
      </c>
      <c r="N21">
        <f>N11+N19</f>
        <v>2640000</v>
      </c>
      <c r="P21">
        <f>P11+P19</f>
        <v>2640000</v>
      </c>
      <c r="R21">
        <f>R11+R19</f>
        <v>2640000</v>
      </c>
      <c r="T21">
        <f>T11+T19</f>
        <v>2640000</v>
      </c>
      <c r="V21">
        <f>V11+V19</f>
        <v>2640000</v>
      </c>
    </row>
    <row r="23" spans="1:22" x14ac:dyDescent="0.25">
      <c r="A23" s="25" t="s">
        <v>19</v>
      </c>
    </row>
    <row r="24" spans="1:22" x14ac:dyDescent="0.25">
      <c r="A24" s="19" t="s">
        <v>73</v>
      </c>
      <c r="B24" s="19"/>
      <c r="H24" s="20">
        <v>433620</v>
      </c>
      <c r="J24" s="20">
        <v>490560</v>
      </c>
      <c r="L24" s="20">
        <v>545675</v>
      </c>
      <c r="N24" s="20">
        <v>602250</v>
      </c>
      <c r="P24" s="20">
        <v>656635</v>
      </c>
      <c r="R24" s="20">
        <v>712480</v>
      </c>
      <c r="T24" s="20">
        <v>768690</v>
      </c>
      <c r="V24" s="20">
        <v>824900</v>
      </c>
    </row>
    <row r="25" spans="1:22" x14ac:dyDescent="0.25">
      <c r="A25" s="19" t="s">
        <v>121</v>
      </c>
      <c r="B25" s="19"/>
      <c r="H25" s="20">
        <v>-29950</v>
      </c>
      <c r="J25" s="20">
        <v>-39733</v>
      </c>
      <c r="L25" s="20">
        <v>-49517</v>
      </c>
      <c r="N25" s="20">
        <v>-59300</v>
      </c>
      <c r="P25" s="20">
        <v>-69183</v>
      </c>
      <c r="R25" s="20">
        <v>-78967</v>
      </c>
      <c r="T25" s="20">
        <v>-88750</v>
      </c>
      <c r="V25" s="20">
        <v>-98533</v>
      </c>
    </row>
    <row r="26" spans="1:22" x14ac:dyDescent="0.25">
      <c r="A26" s="19" t="s">
        <v>74</v>
      </c>
      <c r="B26" s="19"/>
      <c r="H26" s="21">
        <v>615200</v>
      </c>
      <c r="J26" s="21">
        <v>615200</v>
      </c>
      <c r="L26" s="21">
        <v>615200</v>
      </c>
      <c r="N26" s="21">
        <v>615200</v>
      </c>
      <c r="P26" s="21">
        <v>615200</v>
      </c>
      <c r="R26" s="21">
        <v>615200</v>
      </c>
      <c r="T26" s="21">
        <v>615200</v>
      </c>
      <c r="V26" s="21">
        <v>615200</v>
      </c>
    </row>
    <row r="27" spans="1:22" x14ac:dyDescent="0.25">
      <c r="A27" s="19" t="s">
        <v>75</v>
      </c>
      <c r="B27" s="19"/>
      <c r="H27" s="21">
        <v>188400</v>
      </c>
      <c r="J27" s="21">
        <v>188400</v>
      </c>
      <c r="L27" s="21">
        <v>188400</v>
      </c>
      <c r="N27" s="21">
        <v>188400</v>
      </c>
      <c r="P27" s="21">
        <v>188400</v>
      </c>
      <c r="R27" s="21">
        <v>188400</v>
      </c>
      <c r="T27" s="21">
        <v>188400</v>
      </c>
      <c r="V27" s="21">
        <v>188400</v>
      </c>
    </row>
    <row r="28" spans="1:22" x14ac:dyDescent="0.25">
      <c r="A28" s="19" t="s">
        <v>76</v>
      </c>
      <c r="B28" s="19"/>
      <c r="H28" s="21">
        <v>118000</v>
      </c>
      <c r="J28" s="21">
        <v>118000</v>
      </c>
      <c r="L28" s="21">
        <v>118000</v>
      </c>
      <c r="N28" s="21">
        <v>118000</v>
      </c>
      <c r="P28" s="21">
        <v>118000</v>
      </c>
      <c r="R28" s="21">
        <v>118000</v>
      </c>
      <c r="T28" s="21">
        <v>118000</v>
      </c>
      <c r="V28" s="21">
        <v>118000</v>
      </c>
    </row>
    <row r="29" spans="1:22" x14ac:dyDescent="0.25">
      <c r="A29" s="19" t="s">
        <v>77</v>
      </c>
      <c r="B29" s="19"/>
      <c r="H29" s="21">
        <v>47100</v>
      </c>
      <c r="J29" s="21">
        <v>47100</v>
      </c>
      <c r="L29" s="21">
        <v>47100</v>
      </c>
      <c r="N29" s="21">
        <v>47100</v>
      </c>
      <c r="P29" s="21">
        <v>47100</v>
      </c>
      <c r="R29" s="21">
        <v>47100</v>
      </c>
      <c r="T29" s="21">
        <v>47100</v>
      </c>
      <c r="V29" s="21">
        <v>47100</v>
      </c>
    </row>
    <row r="30" spans="1:22" x14ac:dyDescent="0.25">
      <c r="A30" s="19" t="s">
        <v>78</v>
      </c>
      <c r="B30" s="19"/>
      <c r="H30" s="21">
        <v>12000</v>
      </c>
      <c r="J30" s="21">
        <v>12000</v>
      </c>
      <c r="L30" s="21">
        <v>12000</v>
      </c>
      <c r="N30" s="21">
        <v>12000</v>
      </c>
      <c r="P30" s="21">
        <v>12000</v>
      </c>
      <c r="R30" s="21">
        <v>12000</v>
      </c>
      <c r="T30" s="21">
        <v>12000</v>
      </c>
      <c r="V30" s="21">
        <v>12000</v>
      </c>
    </row>
    <row r="31" spans="1:22" x14ac:dyDescent="0.25">
      <c r="A31" s="19" t="s">
        <v>79</v>
      </c>
      <c r="B31" s="19"/>
      <c r="H31" s="21">
        <v>33200</v>
      </c>
      <c r="J31" s="21">
        <v>33200</v>
      </c>
      <c r="L31" s="21">
        <v>33200</v>
      </c>
      <c r="N31" s="21">
        <v>33200</v>
      </c>
      <c r="P31" s="21">
        <v>33200</v>
      </c>
      <c r="R31" s="21">
        <v>33200</v>
      </c>
      <c r="T31" s="21">
        <v>33200</v>
      </c>
      <c r="V31" s="21">
        <v>33200</v>
      </c>
    </row>
    <row r="32" spans="1:22" x14ac:dyDescent="0.25">
      <c r="A32" s="19" t="s">
        <v>80</v>
      </c>
      <c r="B32" s="19"/>
      <c r="H32" s="21">
        <v>6100</v>
      </c>
      <c r="J32" s="21">
        <v>6100</v>
      </c>
      <c r="L32" s="21">
        <v>6100</v>
      </c>
      <c r="N32" s="21">
        <v>6100</v>
      </c>
      <c r="P32" s="21">
        <v>6100</v>
      </c>
      <c r="R32" s="21">
        <v>6100</v>
      </c>
      <c r="T32" s="21">
        <v>6100</v>
      </c>
      <c r="V32" s="21">
        <v>6100</v>
      </c>
    </row>
    <row r="33" spans="1:22" x14ac:dyDescent="0.25">
      <c r="A33" s="19" t="s">
        <v>81</v>
      </c>
      <c r="B33" s="19"/>
      <c r="H33" s="21">
        <v>15900</v>
      </c>
      <c r="J33" s="21">
        <v>15900</v>
      </c>
      <c r="L33" s="21">
        <v>15900</v>
      </c>
      <c r="N33" s="21">
        <v>15900</v>
      </c>
      <c r="P33" s="21">
        <v>15900</v>
      </c>
      <c r="R33" s="21">
        <v>15900</v>
      </c>
      <c r="T33" s="21">
        <v>15900</v>
      </c>
      <c r="V33" s="21">
        <v>15900</v>
      </c>
    </row>
    <row r="34" spans="1:22" x14ac:dyDescent="0.25">
      <c r="A34" s="19" t="s">
        <v>82</v>
      </c>
      <c r="B34" s="19"/>
      <c r="H34" s="21">
        <v>65400</v>
      </c>
      <c r="J34" s="21">
        <v>65400</v>
      </c>
      <c r="L34" s="21">
        <v>65400</v>
      </c>
      <c r="N34" s="21">
        <v>65400</v>
      </c>
      <c r="P34" s="21">
        <v>65400</v>
      </c>
      <c r="R34" s="21">
        <v>65400</v>
      </c>
      <c r="T34" s="21">
        <v>65400</v>
      </c>
      <c r="V34" s="21">
        <v>65400</v>
      </c>
    </row>
    <row r="35" spans="1:22" x14ac:dyDescent="0.25">
      <c r="A35" s="19" t="s">
        <v>83</v>
      </c>
      <c r="B35" s="19"/>
      <c r="H35" s="21">
        <v>10700</v>
      </c>
      <c r="J35" s="21">
        <v>10700</v>
      </c>
      <c r="L35" s="21">
        <v>10700</v>
      </c>
      <c r="N35" s="21">
        <v>10700</v>
      </c>
      <c r="P35" s="21">
        <v>10700</v>
      </c>
      <c r="R35" s="21">
        <v>10700</v>
      </c>
      <c r="T35" s="21">
        <v>10700</v>
      </c>
      <c r="V35" s="21">
        <v>10700</v>
      </c>
    </row>
    <row r="36" spans="1:22" x14ac:dyDescent="0.25">
      <c r="A36" s="19" t="s">
        <v>84</v>
      </c>
      <c r="B36" s="19"/>
      <c r="H36" s="21">
        <v>12600</v>
      </c>
      <c r="J36" s="21">
        <v>12600</v>
      </c>
      <c r="L36" s="21">
        <v>12600</v>
      </c>
      <c r="N36" s="21">
        <v>12600</v>
      </c>
      <c r="P36" s="21">
        <v>12600</v>
      </c>
      <c r="R36" s="21">
        <v>12600</v>
      </c>
      <c r="T36" s="21">
        <v>12600</v>
      </c>
      <c r="V36" s="21">
        <v>12600</v>
      </c>
    </row>
    <row r="37" spans="1:22" x14ac:dyDescent="0.25">
      <c r="A37" s="19" t="s">
        <v>85</v>
      </c>
      <c r="B37" s="19"/>
      <c r="H37" s="21">
        <v>900</v>
      </c>
      <c r="J37" s="21">
        <v>900</v>
      </c>
      <c r="L37" s="21">
        <v>900</v>
      </c>
      <c r="N37" s="21">
        <v>900</v>
      </c>
      <c r="P37" s="21">
        <v>900</v>
      </c>
      <c r="R37" s="21">
        <v>900</v>
      </c>
      <c r="T37" s="21">
        <v>900</v>
      </c>
      <c r="V37" s="21">
        <v>900</v>
      </c>
    </row>
    <row r="38" spans="1:22" x14ac:dyDescent="0.25">
      <c r="A38" s="19" t="s">
        <v>86</v>
      </c>
      <c r="B38" s="19"/>
      <c r="H38" s="21">
        <v>10100</v>
      </c>
      <c r="J38" s="21">
        <v>10100</v>
      </c>
      <c r="L38" s="21">
        <v>10100</v>
      </c>
      <c r="N38" s="21">
        <v>10100</v>
      </c>
      <c r="P38" s="21">
        <v>10100</v>
      </c>
      <c r="R38" s="21">
        <v>10100</v>
      </c>
      <c r="T38" s="21">
        <v>10100</v>
      </c>
      <c r="V38" s="21">
        <v>10100</v>
      </c>
    </row>
    <row r="39" spans="1:22" x14ac:dyDescent="0.25">
      <c r="A39" s="19" t="s">
        <v>87</v>
      </c>
      <c r="B39" s="19"/>
      <c r="H39" s="21">
        <v>6800</v>
      </c>
      <c r="J39" s="21">
        <v>6800</v>
      </c>
      <c r="L39" s="21">
        <v>6800</v>
      </c>
      <c r="N39" s="21">
        <v>6800</v>
      </c>
      <c r="P39" s="21">
        <v>6800</v>
      </c>
      <c r="R39" s="21">
        <v>6800</v>
      </c>
      <c r="T39" s="21">
        <v>6800</v>
      </c>
      <c r="V39" s="21">
        <v>6800</v>
      </c>
    </row>
    <row r="40" spans="1:22" x14ac:dyDescent="0.25">
      <c r="A40" s="19" t="s">
        <v>88</v>
      </c>
      <c r="B40" s="19"/>
      <c r="H40" s="21">
        <v>5000</v>
      </c>
      <c r="J40" s="21">
        <v>5000</v>
      </c>
      <c r="L40" s="21">
        <v>5000</v>
      </c>
      <c r="N40" s="21">
        <v>5000</v>
      </c>
      <c r="P40" s="21">
        <v>5000</v>
      </c>
      <c r="R40" s="21">
        <v>5000</v>
      </c>
      <c r="T40" s="21">
        <v>5000</v>
      </c>
      <c r="V40" s="21">
        <v>5000</v>
      </c>
    </row>
    <row r="41" spans="1:22" x14ac:dyDescent="0.25">
      <c r="A41" s="19" t="s">
        <v>89</v>
      </c>
      <c r="B41" s="19"/>
      <c r="H41" s="21">
        <v>49100</v>
      </c>
      <c r="J41" s="21">
        <v>49100</v>
      </c>
      <c r="L41" s="21">
        <v>49100</v>
      </c>
      <c r="N41" s="21">
        <v>49100</v>
      </c>
      <c r="P41" s="21">
        <v>49100</v>
      </c>
      <c r="R41" s="21">
        <v>49100</v>
      </c>
      <c r="T41" s="21">
        <v>49100</v>
      </c>
      <c r="V41" s="21">
        <v>49100</v>
      </c>
    </row>
    <row r="42" spans="1:22" x14ac:dyDescent="0.25">
      <c r="A42" s="19" t="s">
        <v>90</v>
      </c>
      <c r="B42" s="19"/>
      <c r="H42" s="21">
        <v>0</v>
      </c>
      <c r="J42" s="21">
        <v>0</v>
      </c>
      <c r="L42" s="21">
        <v>0</v>
      </c>
      <c r="N42" s="21">
        <v>0</v>
      </c>
      <c r="P42" s="21">
        <v>0</v>
      </c>
      <c r="R42" s="21">
        <v>0</v>
      </c>
      <c r="T42" s="21">
        <v>0</v>
      </c>
      <c r="V42" s="21">
        <v>0</v>
      </c>
    </row>
    <row r="43" spans="1:22" x14ac:dyDescent="0.25">
      <c r="A43" s="19" t="s">
        <v>91</v>
      </c>
      <c r="B43" s="19"/>
      <c r="H43" s="21">
        <v>1200</v>
      </c>
      <c r="J43" s="21">
        <v>1200</v>
      </c>
      <c r="L43" s="21">
        <v>1200</v>
      </c>
      <c r="N43" s="21">
        <v>1200</v>
      </c>
      <c r="P43" s="21">
        <v>1200</v>
      </c>
      <c r="R43" s="21">
        <v>1200</v>
      </c>
      <c r="T43" s="21">
        <v>1200</v>
      </c>
      <c r="V43" s="21">
        <v>1200</v>
      </c>
    </row>
    <row r="44" spans="1:22" x14ac:dyDescent="0.25">
      <c r="A44" s="19" t="s">
        <v>92</v>
      </c>
      <c r="B44" s="19"/>
      <c r="H44" s="21">
        <v>400</v>
      </c>
      <c r="J44" s="21">
        <v>400</v>
      </c>
      <c r="L44" s="21">
        <v>400</v>
      </c>
      <c r="N44" s="21">
        <v>400</v>
      </c>
      <c r="P44" s="21">
        <v>400</v>
      </c>
      <c r="R44" s="21">
        <v>400</v>
      </c>
      <c r="T44" s="21">
        <v>400</v>
      </c>
      <c r="V44" s="21">
        <v>400</v>
      </c>
    </row>
    <row r="45" spans="1:22" x14ac:dyDescent="0.25">
      <c r="A45" s="19" t="s">
        <v>93</v>
      </c>
      <c r="B45" s="19"/>
      <c r="H45" s="21">
        <v>800</v>
      </c>
      <c r="J45" s="21">
        <v>800</v>
      </c>
      <c r="L45" s="21">
        <v>800</v>
      </c>
      <c r="N45" s="21">
        <v>800</v>
      </c>
      <c r="P45" s="21">
        <v>800</v>
      </c>
      <c r="R45" s="21">
        <v>800</v>
      </c>
      <c r="T45" s="21">
        <v>800</v>
      </c>
      <c r="V45" s="21">
        <v>800</v>
      </c>
    </row>
    <row r="46" spans="1:22" x14ac:dyDescent="0.25">
      <c r="A46" s="19" t="s">
        <v>94</v>
      </c>
      <c r="B46" s="19"/>
      <c r="H46" s="24">
        <v>4000</v>
      </c>
      <c r="J46" s="24">
        <v>4000</v>
      </c>
      <c r="L46" s="24">
        <v>4000</v>
      </c>
      <c r="N46" s="24">
        <v>4000</v>
      </c>
      <c r="P46" s="24">
        <v>4000</v>
      </c>
      <c r="R46" s="24">
        <v>4000</v>
      </c>
      <c r="T46" s="24">
        <v>4000</v>
      </c>
      <c r="V46" s="24">
        <v>4000</v>
      </c>
    </row>
    <row r="47" spans="1:22" x14ac:dyDescent="0.25">
      <c r="A47" s="19" t="s">
        <v>95</v>
      </c>
      <c r="H47" s="21">
        <v>2000</v>
      </c>
      <c r="J47" s="21">
        <v>2000</v>
      </c>
      <c r="L47" s="21">
        <v>2000</v>
      </c>
      <c r="N47" s="21">
        <v>2000</v>
      </c>
      <c r="P47" s="21">
        <v>2000</v>
      </c>
      <c r="R47" s="21">
        <v>2000</v>
      </c>
      <c r="T47" s="21">
        <v>2000</v>
      </c>
      <c r="V47" s="21">
        <v>2000</v>
      </c>
    </row>
    <row r="48" spans="1:22" x14ac:dyDescent="0.25">
      <c r="A48" s="19" t="s">
        <v>96</v>
      </c>
      <c r="H48" s="21">
        <v>13100</v>
      </c>
      <c r="J48" s="21">
        <v>13100</v>
      </c>
      <c r="L48" s="21">
        <v>13100</v>
      </c>
      <c r="N48" s="21">
        <v>13100</v>
      </c>
      <c r="P48" s="21">
        <v>13100</v>
      </c>
      <c r="R48" s="21">
        <v>13100</v>
      </c>
      <c r="T48" s="21">
        <v>13100</v>
      </c>
      <c r="V48" s="21">
        <v>13100</v>
      </c>
    </row>
    <row r="49" spans="1:22" x14ac:dyDescent="0.25">
      <c r="A49" s="19" t="s">
        <v>97</v>
      </c>
      <c r="H49" s="21">
        <v>60900</v>
      </c>
      <c r="J49" s="21">
        <v>60900</v>
      </c>
      <c r="L49" s="21">
        <v>60900</v>
      </c>
      <c r="N49" s="21">
        <v>60900</v>
      </c>
      <c r="P49" s="21">
        <v>60900</v>
      </c>
      <c r="R49" s="21">
        <v>60900</v>
      </c>
      <c r="T49" s="21">
        <v>60900</v>
      </c>
      <c r="V49" s="21">
        <v>60900</v>
      </c>
    </row>
    <row r="50" spans="1:22" x14ac:dyDescent="0.25">
      <c r="A50" s="19" t="s">
        <v>98</v>
      </c>
      <c r="H50" s="21">
        <v>20000</v>
      </c>
      <c r="J50" s="21">
        <v>20000</v>
      </c>
      <c r="L50" s="21">
        <v>20000</v>
      </c>
      <c r="N50" s="21">
        <v>20000</v>
      </c>
      <c r="P50" s="21">
        <v>20000</v>
      </c>
      <c r="R50" s="21">
        <v>20000</v>
      </c>
      <c r="T50" s="21">
        <v>20000</v>
      </c>
      <c r="V50" s="21">
        <v>20000</v>
      </c>
    </row>
    <row r="51" spans="1:22" x14ac:dyDescent="0.25">
      <c r="A51" s="19" t="s">
        <v>99</v>
      </c>
      <c r="H51" s="21">
        <v>16400</v>
      </c>
      <c r="J51" s="21">
        <v>16400</v>
      </c>
      <c r="L51" s="21">
        <v>16400</v>
      </c>
      <c r="N51" s="21">
        <v>16400</v>
      </c>
      <c r="P51" s="21">
        <v>16400</v>
      </c>
      <c r="R51" s="21">
        <v>16400</v>
      </c>
      <c r="T51" s="21">
        <v>16400</v>
      </c>
      <c r="V51" s="21">
        <v>16400</v>
      </c>
    </row>
    <row r="52" spans="1:22" x14ac:dyDescent="0.25">
      <c r="A52" s="19" t="s">
        <v>100</v>
      </c>
      <c r="H52" s="21">
        <v>10000</v>
      </c>
      <c r="J52" s="21">
        <v>10000</v>
      </c>
      <c r="L52" s="21">
        <v>10000</v>
      </c>
      <c r="N52" s="21">
        <v>10000</v>
      </c>
      <c r="P52" s="21">
        <v>10000</v>
      </c>
      <c r="R52" s="21">
        <v>10000</v>
      </c>
      <c r="T52" s="21">
        <v>10000</v>
      </c>
      <c r="V52" s="21">
        <v>10000</v>
      </c>
    </row>
    <row r="53" spans="1:22" x14ac:dyDescent="0.25">
      <c r="A53" s="19" t="s">
        <v>101</v>
      </c>
      <c r="H53" s="21">
        <v>4000</v>
      </c>
      <c r="J53" s="21">
        <v>4000</v>
      </c>
      <c r="L53" s="21">
        <v>4000</v>
      </c>
      <c r="N53" s="21">
        <v>4000</v>
      </c>
      <c r="P53" s="21">
        <v>4000</v>
      </c>
      <c r="R53" s="21">
        <v>4000</v>
      </c>
      <c r="T53" s="21">
        <v>4000</v>
      </c>
      <c r="V53" s="21">
        <v>4000</v>
      </c>
    </row>
    <row r="54" spans="1:22" x14ac:dyDescent="0.25">
      <c r="A54" s="19" t="s">
        <v>102</v>
      </c>
      <c r="H54" s="21">
        <v>2200</v>
      </c>
      <c r="J54" s="21">
        <v>2200</v>
      </c>
      <c r="L54" s="21">
        <v>2200</v>
      </c>
      <c r="N54" s="21">
        <v>2200</v>
      </c>
      <c r="P54" s="21">
        <v>2200</v>
      </c>
      <c r="R54" s="21">
        <v>2200</v>
      </c>
      <c r="T54" s="21">
        <v>2200</v>
      </c>
      <c r="V54" s="21">
        <v>2200</v>
      </c>
    </row>
    <row r="55" spans="1:22" x14ac:dyDescent="0.25">
      <c r="A55" s="19" t="s">
        <v>103</v>
      </c>
      <c r="H55" s="21">
        <v>18600</v>
      </c>
      <c r="J55" s="21">
        <v>18600</v>
      </c>
      <c r="L55" s="21">
        <v>18600</v>
      </c>
      <c r="N55" s="21">
        <v>18600</v>
      </c>
      <c r="P55" s="21">
        <v>18600</v>
      </c>
      <c r="R55" s="21">
        <v>18600</v>
      </c>
      <c r="T55" s="21">
        <v>18600</v>
      </c>
      <c r="V55" s="21">
        <v>18600</v>
      </c>
    </row>
    <row r="56" spans="1:22" x14ac:dyDescent="0.25">
      <c r="A56" s="19" t="s">
        <v>104</v>
      </c>
      <c r="H56" s="21">
        <v>13800</v>
      </c>
      <c r="J56" s="21">
        <v>13800</v>
      </c>
      <c r="L56" s="21">
        <v>13800</v>
      </c>
      <c r="N56" s="21">
        <v>13800</v>
      </c>
      <c r="P56" s="21">
        <v>13800</v>
      </c>
      <c r="R56" s="21">
        <v>13800</v>
      </c>
      <c r="T56" s="21">
        <v>13800</v>
      </c>
      <c r="V56" s="21">
        <v>13800</v>
      </c>
    </row>
    <row r="57" spans="1:22" x14ac:dyDescent="0.25">
      <c r="A57" s="19" t="s">
        <v>105</v>
      </c>
      <c r="H57" s="21">
        <v>16700</v>
      </c>
      <c r="J57" s="21">
        <v>16700</v>
      </c>
      <c r="L57" s="21">
        <v>16700</v>
      </c>
      <c r="N57" s="21">
        <v>16700</v>
      </c>
      <c r="P57" s="21">
        <v>16700</v>
      </c>
      <c r="R57" s="21">
        <v>16700</v>
      </c>
      <c r="T57" s="21">
        <v>16700</v>
      </c>
      <c r="V57" s="21">
        <v>16700</v>
      </c>
    </row>
    <row r="58" spans="1:22" x14ac:dyDescent="0.25">
      <c r="A58" s="19" t="s">
        <v>106</v>
      </c>
      <c r="E58" s="2"/>
      <c r="H58" s="24">
        <v>0</v>
      </c>
      <c r="J58" s="24">
        <v>0</v>
      </c>
      <c r="L58" s="24">
        <v>0</v>
      </c>
      <c r="N58" s="24">
        <v>0</v>
      </c>
      <c r="P58" s="24">
        <v>0</v>
      </c>
      <c r="R58" s="24">
        <v>0</v>
      </c>
      <c r="T58" s="24">
        <v>0</v>
      </c>
      <c r="V58" s="24">
        <v>0</v>
      </c>
    </row>
    <row r="59" spans="1:22" x14ac:dyDescent="0.25">
      <c r="A59" s="19" t="s">
        <v>107</v>
      </c>
      <c r="H59" s="21">
        <v>230000</v>
      </c>
      <c r="J59" s="21">
        <v>230000</v>
      </c>
      <c r="L59" s="21">
        <v>230000</v>
      </c>
      <c r="N59" s="21">
        <v>230000</v>
      </c>
      <c r="P59" s="21">
        <v>230000</v>
      </c>
      <c r="R59" s="21">
        <v>230000</v>
      </c>
      <c r="T59" s="21">
        <v>230000</v>
      </c>
      <c r="V59" s="21">
        <v>230000</v>
      </c>
    </row>
    <row r="60" spans="1:22" x14ac:dyDescent="0.25">
      <c r="A60" s="19" t="s">
        <v>108</v>
      </c>
      <c r="H60" s="21">
        <v>170000</v>
      </c>
      <c r="J60" s="21">
        <v>170000</v>
      </c>
      <c r="L60" s="21">
        <v>170000</v>
      </c>
      <c r="N60" s="21">
        <v>170000</v>
      </c>
      <c r="P60" s="21">
        <v>170000</v>
      </c>
      <c r="R60" s="21">
        <v>170000</v>
      </c>
      <c r="T60" s="21">
        <v>170000</v>
      </c>
      <c r="V60" s="21">
        <v>170000</v>
      </c>
    </row>
    <row r="61" spans="1:22" x14ac:dyDescent="0.25">
      <c r="A61" s="19" t="s">
        <v>109</v>
      </c>
      <c r="H61" s="21">
        <v>10500</v>
      </c>
      <c r="J61" s="21">
        <v>10500</v>
      </c>
      <c r="L61" s="21">
        <v>10500</v>
      </c>
      <c r="N61" s="21">
        <v>10500</v>
      </c>
      <c r="P61" s="21">
        <v>10500</v>
      </c>
      <c r="R61" s="21">
        <v>10500</v>
      </c>
      <c r="T61" s="21">
        <v>10500</v>
      </c>
      <c r="V61" s="21">
        <v>10500</v>
      </c>
    </row>
    <row r="62" spans="1:22" x14ac:dyDescent="0.25">
      <c r="A62" s="19" t="s">
        <v>110</v>
      </c>
      <c r="F62" s="2"/>
      <c r="H62" s="21">
        <v>38000</v>
      </c>
      <c r="J62" s="21">
        <v>38000</v>
      </c>
      <c r="L62" s="21">
        <v>38000</v>
      </c>
      <c r="N62" s="21">
        <v>38000</v>
      </c>
      <c r="P62" s="21">
        <v>38000</v>
      </c>
      <c r="R62" s="21">
        <v>38000</v>
      </c>
      <c r="T62" s="21">
        <v>38000</v>
      </c>
      <c r="V62" s="21">
        <v>38000</v>
      </c>
    </row>
    <row r="63" spans="1:22" x14ac:dyDescent="0.25">
      <c r="A63" s="19" t="s">
        <v>111</v>
      </c>
      <c r="H63" s="21">
        <v>8900</v>
      </c>
      <c r="J63" s="21">
        <v>8900</v>
      </c>
      <c r="L63" s="21">
        <v>8900</v>
      </c>
      <c r="N63" s="21">
        <v>8900</v>
      </c>
      <c r="P63" s="21">
        <v>8900</v>
      </c>
      <c r="R63" s="21">
        <v>8900</v>
      </c>
      <c r="T63" s="21">
        <v>8900</v>
      </c>
      <c r="V63" s="21">
        <v>8900</v>
      </c>
    </row>
    <row r="64" spans="1:22" x14ac:dyDescent="0.25">
      <c r="A64" s="19" t="s">
        <v>112</v>
      </c>
      <c r="H64" s="21">
        <v>11000</v>
      </c>
      <c r="J64" s="21">
        <v>11000</v>
      </c>
      <c r="L64" s="21">
        <v>11000</v>
      </c>
      <c r="N64" s="21">
        <v>11000</v>
      </c>
      <c r="P64" s="21">
        <v>11000</v>
      </c>
      <c r="R64" s="21">
        <v>11000</v>
      </c>
      <c r="T64" s="21">
        <v>11000</v>
      </c>
      <c r="V64" s="21">
        <v>11000</v>
      </c>
    </row>
    <row r="65" spans="1:22" x14ac:dyDescent="0.25">
      <c r="A65" s="19" t="s">
        <v>113</v>
      </c>
      <c r="H65" s="21">
        <v>0</v>
      </c>
      <c r="J65" s="21">
        <v>0</v>
      </c>
      <c r="L65" s="21">
        <v>0</v>
      </c>
      <c r="N65" s="21">
        <v>0</v>
      </c>
      <c r="P65" s="21">
        <v>0</v>
      </c>
      <c r="R65" s="21">
        <v>0</v>
      </c>
      <c r="T65" s="21">
        <v>0</v>
      </c>
      <c r="V65" s="21">
        <v>0</v>
      </c>
    </row>
    <row r="66" spans="1:22" x14ac:dyDescent="0.25">
      <c r="A66" s="19" t="s">
        <v>114</v>
      </c>
      <c r="H66" s="21">
        <v>1800</v>
      </c>
      <c r="J66" s="21">
        <v>1800</v>
      </c>
      <c r="L66" s="21">
        <v>1800</v>
      </c>
      <c r="N66" s="21">
        <v>1800</v>
      </c>
      <c r="P66" s="21">
        <v>1800</v>
      </c>
      <c r="R66" s="21">
        <v>1800</v>
      </c>
      <c r="T66" s="21">
        <v>1800</v>
      </c>
      <c r="V66" s="21">
        <v>1800</v>
      </c>
    </row>
    <row r="67" spans="1:22" x14ac:dyDescent="0.25">
      <c r="A67" s="19" t="s">
        <v>115</v>
      </c>
      <c r="H67" s="21">
        <v>1000</v>
      </c>
      <c r="J67" s="21">
        <v>1000</v>
      </c>
      <c r="L67" s="21">
        <v>1000</v>
      </c>
      <c r="N67" s="21">
        <v>1000</v>
      </c>
      <c r="P67" s="21">
        <v>1000</v>
      </c>
      <c r="R67" s="21">
        <v>1000</v>
      </c>
      <c r="T67" s="21">
        <v>1000</v>
      </c>
      <c r="V67" s="21">
        <v>1000</v>
      </c>
    </row>
    <row r="68" spans="1:22" x14ac:dyDescent="0.25">
      <c r="A68" s="19" t="s">
        <v>116</v>
      </c>
      <c r="H68" s="21">
        <v>0</v>
      </c>
      <c r="J68" s="21">
        <v>0</v>
      </c>
      <c r="L68" s="21">
        <v>0</v>
      </c>
      <c r="N68" s="21">
        <v>0</v>
      </c>
      <c r="P68" s="21">
        <v>0</v>
      </c>
      <c r="R68" s="21">
        <v>0</v>
      </c>
      <c r="T68" s="21">
        <v>0</v>
      </c>
      <c r="V68" s="21">
        <v>0</v>
      </c>
    </row>
    <row r="69" spans="1:22" x14ac:dyDescent="0.25">
      <c r="A69" s="19" t="s">
        <v>117</v>
      </c>
      <c r="H69" s="22">
        <v>2500</v>
      </c>
      <c r="J69" s="22">
        <v>2500</v>
      </c>
      <c r="L69" s="22">
        <v>2500</v>
      </c>
      <c r="N69" s="22">
        <v>2500</v>
      </c>
      <c r="P69" s="22">
        <v>2500</v>
      </c>
      <c r="R69" s="22">
        <v>2500</v>
      </c>
      <c r="T69" s="22">
        <v>2500</v>
      </c>
      <c r="V69" s="22">
        <v>2500</v>
      </c>
    </row>
    <row r="70" spans="1:22" x14ac:dyDescent="0.25">
      <c r="A70" t="s">
        <v>20</v>
      </c>
      <c r="E70">
        <f>SUM(E56:E69)</f>
        <v>0</v>
      </c>
      <c r="H70" s="23">
        <f>SUM(H24:H69)</f>
        <v>2257970</v>
      </c>
      <c r="J70" s="23">
        <f>SUM(J24:J69)</f>
        <v>2305127</v>
      </c>
      <c r="L70" s="23">
        <f>SUM(L24:L69)</f>
        <v>2350458</v>
      </c>
      <c r="N70" s="23">
        <f>SUM(N24:N69)</f>
        <v>2397250</v>
      </c>
      <c r="P70" s="23">
        <f>SUM(P24:P69)</f>
        <v>2441752</v>
      </c>
      <c r="R70" s="23">
        <f>SUM(R24:R69)</f>
        <v>2487813</v>
      </c>
      <c r="T70" s="23">
        <f>SUM(T24:T69)</f>
        <v>2534240</v>
      </c>
      <c r="V70" s="23">
        <f>SUM(V24:V69)</f>
        <v>2580667</v>
      </c>
    </row>
    <row r="72" spans="1:22" x14ac:dyDescent="0.25">
      <c r="A72" t="s">
        <v>21</v>
      </c>
      <c r="E72">
        <v>575320</v>
      </c>
      <c r="F72">
        <f>E72*0.03</f>
        <v>17259.599999999999</v>
      </c>
      <c r="H72">
        <f>600000</f>
        <v>600000</v>
      </c>
      <c r="J72">
        <f>G72+H72</f>
        <v>600000</v>
      </c>
      <c r="L72">
        <f>I72+J72</f>
        <v>600000</v>
      </c>
      <c r="N72">
        <f>K72+L72</f>
        <v>600000</v>
      </c>
      <c r="P72">
        <f>M72+N72</f>
        <v>600000</v>
      </c>
      <c r="R72">
        <f>O72+P72</f>
        <v>600000</v>
      </c>
      <c r="T72">
        <f>Q72+R72</f>
        <v>600000</v>
      </c>
      <c r="V72">
        <f>S72+T72</f>
        <v>600000</v>
      </c>
    </row>
    <row r="74" spans="1:22" x14ac:dyDescent="0.25">
      <c r="A74" t="s">
        <v>22</v>
      </c>
      <c r="E74">
        <f>SUM(E70:E72)</f>
        <v>575320</v>
      </c>
      <c r="H74">
        <f>H70+SUM(H72:H72)</f>
        <v>2857970</v>
      </c>
      <c r="J74">
        <f>J70+SUM(J72:J72)</f>
        <v>2905127</v>
      </c>
      <c r="L74">
        <f>L70+SUM(L72:L72)</f>
        <v>2950458</v>
      </c>
      <c r="N74">
        <f>N70+SUM(N72:N72)</f>
        <v>2997250</v>
      </c>
      <c r="P74">
        <f>P70+SUM(P72:P72)</f>
        <v>3041752</v>
      </c>
      <c r="R74">
        <f>R70+SUM(R72:R72)</f>
        <v>3087813</v>
      </c>
      <c r="T74">
        <f>T70+SUM(T72:T72)</f>
        <v>3134240</v>
      </c>
      <c r="V74">
        <f>V70+SUM(V72:V72)</f>
        <v>3180667</v>
      </c>
    </row>
    <row r="76" spans="1:22" x14ac:dyDescent="0.25">
      <c r="A76" t="s">
        <v>23</v>
      </c>
      <c r="E76">
        <f>E21-E74</f>
        <v>2099584</v>
      </c>
      <c r="H76">
        <f>H21-H74</f>
        <v>-217970</v>
      </c>
      <c r="J76">
        <f>J21-J74</f>
        <v>-265127</v>
      </c>
      <c r="L76">
        <f>L21-L74</f>
        <v>-310458</v>
      </c>
      <c r="N76">
        <f>N21-N74</f>
        <v>-357250</v>
      </c>
      <c r="P76">
        <f>P21-P74</f>
        <v>-401752</v>
      </c>
      <c r="R76">
        <f>R21-R74</f>
        <v>-447813</v>
      </c>
      <c r="T76">
        <f>T21-T74</f>
        <v>-494240</v>
      </c>
      <c r="V76">
        <f>V21-V74</f>
        <v>-540667</v>
      </c>
    </row>
  </sheetData>
  <pageMargins left="0.25" right="0.25" top="0.75" bottom="0.75" header="0.3" footer="0.3"/>
  <pageSetup orientation="landscape" horizontalDpi="0" verticalDpi="0" r:id="rId1"/>
  <headerFooter>
    <oddFooter>&amp;RPro Forma
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8" sqref="K8"/>
    </sheetView>
  </sheetViews>
  <sheetFormatPr defaultRowHeight="15" x14ac:dyDescent="0.25"/>
  <sheetData>
    <row r="1" spans="1:12" x14ac:dyDescent="0.25">
      <c r="B1" s="38" t="s">
        <v>37</v>
      </c>
      <c r="C1" s="38"/>
      <c r="D1" s="38" t="s">
        <v>38</v>
      </c>
      <c r="E1" s="38"/>
      <c r="F1" s="38" t="s">
        <v>39</v>
      </c>
      <c r="G1" s="38"/>
      <c r="H1" s="38" t="s">
        <v>40</v>
      </c>
      <c r="I1" s="38"/>
      <c r="J1" s="38" t="s">
        <v>41</v>
      </c>
      <c r="K1" s="38"/>
    </row>
    <row r="3" spans="1:12" x14ac:dyDescent="0.25">
      <c r="A3">
        <v>2017</v>
      </c>
      <c r="C3">
        <f>16618.52+16604.39</f>
        <v>33222.910000000003</v>
      </c>
      <c r="E3">
        <f>20103.91+20087.06</f>
        <v>40190.97</v>
      </c>
      <c r="G3">
        <f>47971+47922</f>
        <v>95893</v>
      </c>
      <c r="I3">
        <v>60099.519999999997</v>
      </c>
      <c r="K3">
        <v>304735.09999999998</v>
      </c>
    </row>
    <row r="5" spans="1:12" x14ac:dyDescent="0.25">
      <c r="A5">
        <v>2018</v>
      </c>
      <c r="C5">
        <f>16590.19+16575.92</f>
        <v>33166.11</v>
      </c>
      <c r="E5">
        <f>20070.16+20053.19</f>
        <v>40123.35</v>
      </c>
      <c r="G5">
        <f>47872+47823</f>
        <v>95695</v>
      </c>
      <c r="I5">
        <v>60099.519999999997</v>
      </c>
      <c r="K5">
        <v>304735.09999999998</v>
      </c>
    </row>
    <row r="7" spans="1:12" x14ac:dyDescent="0.25">
      <c r="A7">
        <v>2019</v>
      </c>
      <c r="C7">
        <f>16561.57+16547.14</f>
        <v>33108.71</v>
      </c>
      <c r="E7">
        <f>20036.15+20019.06</f>
        <v>40055.210000000006</v>
      </c>
      <c r="G7">
        <f>47773+47723</f>
        <v>95496</v>
      </c>
      <c r="I7">
        <v>54757.08</v>
      </c>
      <c r="K7">
        <v>304735.09999999998</v>
      </c>
    </row>
    <row r="8" spans="1:12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C9">
        <f>SUM(C3:C8)</f>
        <v>99497.73000000001</v>
      </c>
      <c r="E9">
        <f>SUM(E3:E8)</f>
        <v>120369.53000000001</v>
      </c>
      <c r="G9">
        <f>SUM(G3:G8)</f>
        <v>287084</v>
      </c>
      <c r="I9">
        <f>SUM(I3:I8)</f>
        <v>174956.12</v>
      </c>
      <c r="K9">
        <f t="shared" ref="K9" si="0">SUM(K3:K8)</f>
        <v>914205.29999999993</v>
      </c>
      <c r="L9">
        <f>SUM(B9:K9)</f>
        <v>1596112.68</v>
      </c>
    </row>
    <row r="10" spans="1:12" x14ac:dyDescent="0.25">
      <c r="L10">
        <f>L9/3</f>
        <v>532037.55999999994</v>
      </c>
    </row>
    <row r="12" spans="1:12" x14ac:dyDescent="0.25">
      <c r="A12" t="s">
        <v>71</v>
      </c>
    </row>
    <row r="13" spans="1:12" x14ac:dyDescent="0.25">
      <c r="C13">
        <v>2000000</v>
      </c>
      <c r="D13" s="18" t="s">
        <v>72</v>
      </c>
    </row>
    <row r="15" spans="1:12" x14ac:dyDescent="0.25">
      <c r="L15">
        <f>L10+L13</f>
        <v>532037.55999999994</v>
      </c>
    </row>
  </sheetData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landscape" horizontalDpi="0" verticalDpi="0" r:id="rId1"/>
  <headerFooter>
    <oddFooter>&amp;RDebt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C3" sqref="C3"/>
    </sheetView>
  </sheetViews>
  <sheetFormatPr defaultRowHeight="15" x14ac:dyDescent="0.25"/>
  <sheetData>
    <row r="2" spans="1:10" x14ac:dyDescent="0.25">
      <c r="A2" t="s">
        <v>118</v>
      </c>
      <c r="C2">
        <v>300000</v>
      </c>
      <c r="D2">
        <v>400000</v>
      </c>
      <c r="E2">
        <v>500000</v>
      </c>
      <c r="F2">
        <v>600000</v>
      </c>
      <c r="G2">
        <v>700000</v>
      </c>
      <c r="H2">
        <v>800000</v>
      </c>
      <c r="I2">
        <v>900000</v>
      </c>
      <c r="J2">
        <v>1000000</v>
      </c>
    </row>
    <row r="3" spans="1:10" x14ac:dyDescent="0.25">
      <c r="A3" t="s">
        <v>119</v>
      </c>
      <c r="C3">
        <v>433620</v>
      </c>
      <c r="D3">
        <v>490560</v>
      </c>
      <c r="E3">
        <v>545675</v>
      </c>
      <c r="F3">
        <v>602250</v>
      </c>
      <c r="G3">
        <v>656635</v>
      </c>
      <c r="H3">
        <v>712480</v>
      </c>
      <c r="I3">
        <v>768690</v>
      </c>
      <c r="J3">
        <v>824900</v>
      </c>
    </row>
    <row r="5" spans="1:10" x14ac:dyDescent="0.25">
      <c r="A5" t="s">
        <v>120</v>
      </c>
      <c r="C5">
        <v>29950</v>
      </c>
      <c r="D5">
        <v>39733</v>
      </c>
      <c r="E5">
        <v>49517</v>
      </c>
      <c r="F5">
        <v>59300</v>
      </c>
      <c r="G5">
        <v>69183</v>
      </c>
      <c r="H5">
        <v>78967</v>
      </c>
      <c r="I5">
        <v>88750</v>
      </c>
      <c r="J5">
        <v>98533</v>
      </c>
    </row>
  </sheetData>
  <pageMargins left="0.7" right="0.7" top="0.75" bottom="0.75" header="0.3" footer="0.3"/>
  <pageSetup orientation="landscape" horizontalDpi="0" verticalDpi="0" r:id="rId1"/>
  <headerFooter>
    <oddFooter>&amp;RCampbellsville Info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H6" sqref="H6"/>
    </sheetView>
  </sheetViews>
  <sheetFormatPr defaultRowHeight="15" x14ac:dyDescent="0.25"/>
  <cols>
    <col min="7" max="7" width="2.7109375" customWidth="1"/>
    <col min="9" max="9" width="2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  <col min="19" max="19" width="2.7109375" customWidth="1"/>
  </cols>
  <sheetData>
    <row r="1" spans="1:20" x14ac:dyDescent="0.25">
      <c r="A1" t="s">
        <v>24</v>
      </c>
    </row>
    <row r="3" spans="1:20" x14ac:dyDescent="0.25">
      <c r="A3" t="s">
        <v>25</v>
      </c>
      <c r="F3">
        <f>'Pro-Forma'!H74</f>
        <v>2857970</v>
      </c>
      <c r="H3">
        <f>'Pro-Forma'!J74</f>
        <v>2905127</v>
      </c>
      <c r="J3">
        <f>'Pro-Forma'!L74</f>
        <v>2950458</v>
      </c>
      <c r="L3">
        <f>'Pro-Forma'!N74</f>
        <v>2997250</v>
      </c>
      <c r="N3">
        <f>'Pro-Forma'!P74</f>
        <v>3041752</v>
      </c>
      <c r="P3">
        <f>'Pro-Forma'!R74</f>
        <v>3087813</v>
      </c>
      <c r="R3">
        <f>'Pro-Forma'!T74</f>
        <v>3134240</v>
      </c>
      <c r="T3">
        <f>'Pro-Forma'!V74</f>
        <v>3180667</v>
      </c>
    </row>
    <row r="5" spans="1:20" x14ac:dyDescent="0.25">
      <c r="A5" t="s">
        <v>26</v>
      </c>
      <c r="F5">
        <f>Debt!L15</f>
        <v>532037.55999999994</v>
      </c>
      <c r="H5">
        <f>F5</f>
        <v>532037.55999999994</v>
      </c>
      <c r="J5">
        <f>F5</f>
        <v>532037.55999999994</v>
      </c>
      <c r="L5">
        <f>F5</f>
        <v>532037.55999999994</v>
      </c>
      <c r="N5">
        <f>F5</f>
        <v>532037.55999999994</v>
      </c>
      <c r="P5">
        <f>F5</f>
        <v>532037.55999999994</v>
      </c>
      <c r="R5">
        <f>F5</f>
        <v>532037.55999999994</v>
      </c>
      <c r="T5">
        <f>F5</f>
        <v>532037.55999999994</v>
      </c>
    </row>
    <row r="6" spans="1:20" x14ac:dyDescent="0.25">
      <c r="A6" t="s">
        <v>27</v>
      </c>
      <c r="F6">
        <f>F5*0.12</f>
        <v>63844.507199999993</v>
      </c>
      <c r="H6">
        <f>H5*0.12</f>
        <v>63844.507199999993</v>
      </c>
      <c r="J6">
        <f>J5*0.12</f>
        <v>63844.507199999993</v>
      </c>
      <c r="L6">
        <f>L5*0.12</f>
        <v>63844.507199999993</v>
      </c>
      <c r="N6">
        <f>N5*0.12</f>
        <v>63844.507199999993</v>
      </c>
      <c r="P6">
        <f>P5*0.12</f>
        <v>63844.507199999993</v>
      </c>
      <c r="R6">
        <f>R5*0.12</f>
        <v>63844.507199999993</v>
      </c>
      <c r="T6">
        <f>T5*0.12</f>
        <v>63844.507199999993</v>
      </c>
    </row>
    <row r="8" spans="1:20" x14ac:dyDescent="0.25">
      <c r="A8" t="s">
        <v>28</v>
      </c>
      <c r="F8">
        <f>F3+F5+F6</f>
        <v>3453852.0671999999</v>
      </c>
      <c r="H8">
        <f>H3+H5+H6</f>
        <v>3501009.0671999999</v>
      </c>
      <c r="J8">
        <f>J3+J5+J6</f>
        <v>3546340.0671999999</v>
      </c>
      <c r="L8">
        <f>L3+L5+L6</f>
        <v>3593132.0671999999</v>
      </c>
      <c r="N8">
        <f>N3+N5+N6</f>
        <v>3637634.0671999999</v>
      </c>
      <c r="P8">
        <f>P3+P5+P6</f>
        <v>3683695.0671999999</v>
      </c>
      <c r="R8">
        <f>R3+R5+R6</f>
        <v>3730122.0671999999</v>
      </c>
      <c r="T8">
        <f>T3+T5+T6</f>
        <v>3776549.0671999999</v>
      </c>
    </row>
    <row r="10" spans="1:20" x14ac:dyDescent="0.25">
      <c r="A10" t="s">
        <v>29</v>
      </c>
      <c r="F10">
        <f>-(18000+24000+11400)</f>
        <v>-53400</v>
      </c>
      <c r="H10">
        <f>F10</f>
        <v>-53400</v>
      </c>
      <c r="J10">
        <f>F10</f>
        <v>-53400</v>
      </c>
      <c r="L10">
        <f>F10</f>
        <v>-53400</v>
      </c>
      <c r="N10">
        <f>F10</f>
        <v>-53400</v>
      </c>
      <c r="P10">
        <f>F10</f>
        <v>-53400</v>
      </c>
      <c r="R10">
        <f>F10</f>
        <v>-53400</v>
      </c>
      <c r="T10">
        <f>F10</f>
        <v>-53400</v>
      </c>
    </row>
    <row r="11" spans="1:20" x14ac:dyDescent="0.25">
      <c r="A11" t="s">
        <v>30</v>
      </c>
    </row>
    <row r="12" spans="1:20" x14ac:dyDescent="0.25">
      <c r="A12" t="s">
        <v>31</v>
      </c>
      <c r="F12">
        <v>-9400</v>
      </c>
      <c r="H12">
        <v>-9400</v>
      </c>
      <c r="J12">
        <v>-9400</v>
      </c>
      <c r="L12">
        <v>-9400</v>
      </c>
      <c r="N12">
        <v>-9400</v>
      </c>
      <c r="P12">
        <v>-9400</v>
      </c>
      <c r="R12">
        <v>-9400</v>
      </c>
      <c r="T12">
        <v>-9400</v>
      </c>
    </row>
    <row r="14" spans="1:20" x14ac:dyDescent="0.25">
      <c r="A14" t="s">
        <v>32</v>
      </c>
      <c r="F14">
        <f>F8+(F10+F11+F12)</f>
        <v>3391052.0671999999</v>
      </c>
      <c r="H14">
        <f>H8+(H10+H11+H12)</f>
        <v>3438209.0671999999</v>
      </c>
      <c r="J14">
        <f>J8+(J10+J11+J12)</f>
        <v>3483540.0671999999</v>
      </c>
      <c r="L14">
        <f>L8+(L10+L11+L12)</f>
        <v>3530332.0671999999</v>
      </c>
      <c r="N14">
        <f>N8+(N10+N11+N12)</f>
        <v>3574834.0671999999</v>
      </c>
      <c r="P14">
        <f>P8+(P10+P11+P12)</f>
        <v>3620895.0671999999</v>
      </c>
      <c r="R14">
        <f>R8+(R10+R11+R12)</f>
        <v>3667322.0671999999</v>
      </c>
      <c r="T14">
        <f>T8+(T10+T11+T12)</f>
        <v>3713749.0671999999</v>
      </c>
    </row>
    <row r="16" spans="1:20" x14ac:dyDescent="0.25">
      <c r="A16" t="s">
        <v>33</v>
      </c>
      <c r="F16">
        <f>'Pro-Forma'!H11</f>
        <v>2640000</v>
      </c>
      <c r="H16">
        <f>'Pro-Forma'!J11</f>
        <v>2640000</v>
      </c>
      <c r="J16">
        <f>'Pro-Forma'!L11</f>
        <v>2640000</v>
      </c>
      <c r="L16">
        <f>'Pro-Forma'!N11</f>
        <v>2640000</v>
      </c>
      <c r="N16">
        <f>'Pro-Forma'!P11</f>
        <v>2640000</v>
      </c>
      <c r="P16">
        <f>'Pro-Forma'!R11</f>
        <v>2640000</v>
      </c>
      <c r="R16">
        <f>'Pro-Forma'!T11</f>
        <v>2640000</v>
      </c>
      <c r="T16">
        <f>'Pro-Forma'!V11</f>
        <v>2640000</v>
      </c>
    </row>
    <row r="18" spans="1:20" x14ac:dyDescent="0.25">
      <c r="A18" t="s">
        <v>34</v>
      </c>
      <c r="F18">
        <f>F14-F16</f>
        <v>751052.06719999993</v>
      </c>
      <c r="H18">
        <f>H14-H16</f>
        <v>798209.06719999993</v>
      </c>
      <c r="J18">
        <f>J14-J16</f>
        <v>843540.06719999993</v>
      </c>
      <c r="L18">
        <f>L14-L16</f>
        <v>890332.06719999993</v>
      </c>
      <c r="N18">
        <f>N14-N16</f>
        <v>934834.06719999993</v>
      </c>
      <c r="P18">
        <f>P14-P16</f>
        <v>980895.06719999993</v>
      </c>
      <c r="R18">
        <f>R14-R16</f>
        <v>1027322.0671999999</v>
      </c>
      <c r="T18">
        <f>T14-T16</f>
        <v>1073749.0671999999</v>
      </c>
    </row>
    <row r="20" spans="1:20" x14ac:dyDescent="0.25">
      <c r="A20" t="s">
        <v>35</v>
      </c>
    </row>
    <row r="21" spans="1:20" x14ac:dyDescent="0.25">
      <c r="A21" t="s">
        <v>36</v>
      </c>
      <c r="F21" s="3">
        <f>F18/F16</f>
        <v>0.28448941939393935</v>
      </c>
      <c r="H21" s="3">
        <f>H18/H16</f>
        <v>0.30235191939393935</v>
      </c>
      <c r="J21" s="3">
        <f>J18/J16</f>
        <v>0.31952275272727271</v>
      </c>
      <c r="L21" s="3">
        <f>L18/L16</f>
        <v>0.33724699515151513</v>
      </c>
      <c r="N21" s="3">
        <f>N18/N16</f>
        <v>0.35410381333333329</v>
      </c>
      <c r="P21" s="3">
        <f>P18/P16</f>
        <v>0.37155116181818182</v>
      </c>
      <c r="R21" s="3">
        <f>R18/R16</f>
        <v>0.38913714666666666</v>
      </c>
      <c r="T21" s="3">
        <f>T18/T16</f>
        <v>0.40672313151515149</v>
      </c>
    </row>
  </sheetData>
  <pageMargins left="0.25" right="0.25" top="0.75" bottom="0.75" header="0.3" footer="0.3"/>
  <pageSetup scale="97" orientation="landscape" horizontalDpi="0" verticalDpi="0" r:id="rId1"/>
  <headerFooter>
    <oddFooter>&amp;RRevenue Requiremnt Calculation - Debt Service Method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15" sqref="D15"/>
    </sheetView>
  </sheetViews>
  <sheetFormatPr defaultRowHeight="15" x14ac:dyDescent="0.25"/>
  <cols>
    <col min="1" max="1" width="9.42578125" bestFit="1" customWidth="1"/>
    <col min="4" max="4" width="10.28515625" customWidth="1"/>
    <col min="5" max="5" width="11" customWidth="1"/>
  </cols>
  <sheetData>
    <row r="1" spans="1:9" ht="15.75" x14ac:dyDescent="0.25">
      <c r="A1" s="37" t="s">
        <v>130</v>
      </c>
    </row>
    <row r="3" spans="1:9" x14ac:dyDescent="0.25">
      <c r="A3" s="27" t="s">
        <v>152</v>
      </c>
    </row>
    <row r="4" spans="1:9" x14ac:dyDescent="0.25">
      <c r="A4" t="s">
        <v>131</v>
      </c>
    </row>
    <row r="5" spans="1:9" x14ac:dyDescent="0.25">
      <c r="A5" t="s">
        <v>132</v>
      </c>
    </row>
    <row r="6" spans="1:9" x14ac:dyDescent="0.25">
      <c r="A6" t="s">
        <v>133</v>
      </c>
    </row>
    <row r="7" spans="1:9" x14ac:dyDescent="0.25">
      <c r="A7" t="s">
        <v>134</v>
      </c>
    </row>
    <row r="8" spans="1:9" x14ac:dyDescent="0.25">
      <c r="A8" t="s">
        <v>135</v>
      </c>
    </row>
    <row r="9" spans="1:9" x14ac:dyDescent="0.25">
      <c r="A9" t="s">
        <v>136</v>
      </c>
    </row>
    <row r="10" spans="1:9" x14ac:dyDescent="0.25">
      <c r="A10" t="s">
        <v>137</v>
      </c>
    </row>
    <row r="11" spans="1:9" x14ac:dyDescent="0.25">
      <c r="A11" t="s">
        <v>153</v>
      </c>
    </row>
    <row r="13" spans="1:9" x14ac:dyDescent="0.25">
      <c r="A13" s="32" t="s">
        <v>138</v>
      </c>
      <c r="G13" s="32" t="s">
        <v>149</v>
      </c>
    </row>
    <row r="14" spans="1:9" x14ac:dyDescent="0.25">
      <c r="A14" t="s">
        <v>141</v>
      </c>
      <c r="D14" s="28" t="s">
        <v>49</v>
      </c>
      <c r="E14" s="28" t="s">
        <v>50</v>
      </c>
      <c r="G14" s="33" t="s">
        <v>150</v>
      </c>
      <c r="H14" s="33" t="s">
        <v>54</v>
      </c>
      <c r="I14" s="33" t="s">
        <v>151</v>
      </c>
    </row>
    <row r="15" spans="1:9" x14ac:dyDescent="0.25">
      <c r="B15" t="s">
        <v>139</v>
      </c>
      <c r="D15" s="4">
        <f>'User Analysis'!J4</f>
        <v>7.3</v>
      </c>
      <c r="E15" s="4">
        <f>'User Analysis'!K4</f>
        <v>3.3</v>
      </c>
      <c r="G15" s="35">
        <f>'User Analysis'!Q4</f>
        <v>20.100000000000001</v>
      </c>
      <c r="H15" s="35">
        <f>'User Analysis'!R4</f>
        <v>24.922000000000001</v>
      </c>
      <c r="I15" s="36">
        <f>'User Analysis'!S4</f>
        <v>0.23990049751243775</v>
      </c>
    </row>
    <row r="16" spans="1:9" x14ac:dyDescent="0.25">
      <c r="B16" t="s">
        <v>140</v>
      </c>
      <c r="D16" s="4">
        <f>'User Analysis'!J9</f>
        <v>8.0299999999999994</v>
      </c>
      <c r="E16" s="31">
        <f>'User Analysis'!K9</f>
        <v>3.63</v>
      </c>
      <c r="G16" s="29">
        <f>'User Analysis'!Q9</f>
        <v>22.11</v>
      </c>
      <c r="H16" s="29">
        <f>'User Analysis'!R9</f>
        <v>27.414200000000001</v>
      </c>
      <c r="I16" s="30">
        <f>'User Analysis'!S9</f>
        <v>0.23990049751243789</v>
      </c>
    </row>
    <row r="18" spans="1:10" x14ac:dyDescent="0.25">
      <c r="A18" t="s">
        <v>142</v>
      </c>
    </row>
    <row r="19" spans="1:10" x14ac:dyDescent="0.25">
      <c r="B19" t="s">
        <v>139</v>
      </c>
      <c r="D19" s="4">
        <f>'User Analysis'!J28</f>
        <v>7.35</v>
      </c>
      <c r="E19" s="4">
        <f>'User Analysis'!K28</f>
        <v>3.35</v>
      </c>
      <c r="G19" s="33" t="s">
        <v>150</v>
      </c>
      <c r="H19" s="33" t="s">
        <v>54</v>
      </c>
      <c r="I19" s="33" t="s">
        <v>151</v>
      </c>
      <c r="J19" s="34"/>
    </row>
    <row r="20" spans="1:10" x14ac:dyDescent="0.25">
      <c r="B20" t="s">
        <v>140</v>
      </c>
      <c r="D20" s="31">
        <f>'User Analysis'!J33</f>
        <v>8.0849999999999991</v>
      </c>
      <c r="E20" s="4">
        <f>'User Analysis'!K33</f>
        <v>3.6850000000000001</v>
      </c>
      <c r="G20" s="35">
        <f>'User Analysis'!Q28</f>
        <v>20.100000000000001</v>
      </c>
      <c r="H20" s="29">
        <f>'User Analysis'!R28</f>
        <v>25.238999999999997</v>
      </c>
      <c r="I20" s="30">
        <f>'User Analysis'!S28</f>
        <v>0.25567164179104457</v>
      </c>
    </row>
    <row r="21" spans="1:10" x14ac:dyDescent="0.25">
      <c r="G21" s="29">
        <f>'User Analysis'!Q33</f>
        <v>22.11</v>
      </c>
      <c r="H21" s="29">
        <f>'User Analysis'!R33</f>
        <v>27.762900000000002</v>
      </c>
      <c r="I21" s="30">
        <f>'User Analysis'!S33</f>
        <v>0.2556716417910449</v>
      </c>
    </row>
    <row r="22" spans="1:10" x14ac:dyDescent="0.25">
      <c r="G22" s="29"/>
      <c r="H22" s="29"/>
      <c r="I22" s="30"/>
    </row>
    <row r="23" spans="1:10" x14ac:dyDescent="0.25">
      <c r="A23" t="s">
        <v>143</v>
      </c>
      <c r="G23" s="33" t="s">
        <v>150</v>
      </c>
      <c r="H23" s="33" t="s">
        <v>54</v>
      </c>
      <c r="I23" s="33" t="s">
        <v>151</v>
      </c>
    </row>
    <row r="24" spans="1:10" x14ac:dyDescent="0.25">
      <c r="B24" t="s">
        <v>139</v>
      </c>
      <c r="D24" s="4">
        <f>'User Analysis'!J52</f>
        <v>7.4</v>
      </c>
      <c r="E24" s="4">
        <f>'User Analysis'!K52</f>
        <v>3.4</v>
      </c>
      <c r="G24" s="29">
        <f>'User Analysis'!Q52</f>
        <v>20.100000000000001</v>
      </c>
      <c r="H24" s="29">
        <f>'User Analysis'!R52</f>
        <v>25.555999999999997</v>
      </c>
      <c r="I24" s="30">
        <f>'User Analysis'!S52</f>
        <v>0.2714427860696515</v>
      </c>
    </row>
    <row r="25" spans="1:10" x14ac:dyDescent="0.25">
      <c r="B25" t="s">
        <v>140</v>
      </c>
      <c r="D25" s="4">
        <f>'User Analysis'!J57</f>
        <v>8.14</v>
      </c>
      <c r="E25" s="31">
        <f>'User Analysis'!K57</f>
        <v>3.7399999999999998</v>
      </c>
      <c r="G25" s="29">
        <f>'User Analysis'!Q57</f>
        <v>22.11</v>
      </c>
      <c r="H25" s="29">
        <f>'User Analysis'!R57</f>
        <v>28.111599999999999</v>
      </c>
      <c r="I25" s="30">
        <f>'User Analysis'!S57</f>
        <v>0.27144278606965172</v>
      </c>
    </row>
    <row r="27" spans="1:10" x14ac:dyDescent="0.25">
      <c r="A27" t="s">
        <v>144</v>
      </c>
      <c r="G27" s="33" t="s">
        <v>150</v>
      </c>
      <c r="H27" s="33" t="s">
        <v>54</v>
      </c>
      <c r="I27" s="33" t="s">
        <v>151</v>
      </c>
    </row>
    <row r="28" spans="1:10" x14ac:dyDescent="0.25">
      <c r="B28" t="s">
        <v>139</v>
      </c>
      <c r="D28" s="4">
        <f>'User Analysis'!J76</f>
        <v>7.45</v>
      </c>
      <c r="E28" s="4">
        <f>'User Analysis'!K76</f>
        <v>3.45</v>
      </c>
      <c r="G28" s="29">
        <f>'User Analysis'!Q76</f>
        <v>20.100000000000001</v>
      </c>
      <c r="H28" s="29">
        <f>'User Analysis'!R76</f>
        <v>25.873000000000001</v>
      </c>
      <c r="I28" s="30">
        <f>'User Analysis'!S76</f>
        <v>0.28721393034825865</v>
      </c>
    </row>
    <row r="29" spans="1:10" x14ac:dyDescent="0.25">
      <c r="B29" t="s">
        <v>140</v>
      </c>
      <c r="D29" s="31">
        <f>'User Analysis'!J81</f>
        <v>8.1950000000000003</v>
      </c>
      <c r="E29" s="4">
        <f>'User Analysis'!K81</f>
        <v>3.7950000000000004</v>
      </c>
      <c r="G29" s="29">
        <f>'User Analysis'!Q81</f>
        <v>22.11</v>
      </c>
      <c r="H29" s="29">
        <f>'User Analysis'!R81</f>
        <v>28.4603</v>
      </c>
      <c r="I29" s="30">
        <f>'User Analysis'!S81</f>
        <v>0.28721393034825876</v>
      </c>
    </row>
    <row r="31" spans="1:10" x14ac:dyDescent="0.25">
      <c r="A31" t="s">
        <v>145</v>
      </c>
      <c r="G31" s="33" t="s">
        <v>150</v>
      </c>
      <c r="H31" s="33" t="s">
        <v>54</v>
      </c>
      <c r="I31" s="33" t="s">
        <v>151</v>
      </c>
    </row>
    <row r="32" spans="1:10" x14ac:dyDescent="0.25">
      <c r="B32" t="s">
        <v>139</v>
      </c>
      <c r="D32" s="4">
        <f>'User Analysis'!J100</f>
        <v>7.45</v>
      </c>
      <c r="E32" s="4">
        <f>'User Analysis'!K100</f>
        <v>3.5</v>
      </c>
      <c r="G32" s="29">
        <f>'User Analysis'!Q100</f>
        <v>20.100000000000001</v>
      </c>
      <c r="H32" s="29">
        <f>'User Analysis'!R100</f>
        <v>26.139999999999997</v>
      </c>
      <c r="I32" s="30">
        <f>'User Analysis'!S100</f>
        <v>0.3004975124378107</v>
      </c>
    </row>
    <row r="33" spans="1:9" x14ac:dyDescent="0.25">
      <c r="B33" t="s">
        <v>140</v>
      </c>
      <c r="D33" s="4">
        <f>'User Analysis'!J105</f>
        <v>8.1950000000000003</v>
      </c>
      <c r="E33" s="31">
        <f>'User Analysis'!K105</f>
        <v>3.85</v>
      </c>
      <c r="G33" s="29">
        <f>'User Analysis'!Q105</f>
        <v>22.11</v>
      </c>
      <c r="H33" s="29">
        <f>'User Analysis'!R105</f>
        <v>28.754000000000001</v>
      </c>
      <c r="I33" s="30">
        <f>'User Analysis'!S105</f>
        <v>0.30049751243781103</v>
      </c>
    </row>
    <row r="35" spans="1:9" x14ac:dyDescent="0.25">
      <c r="A35" t="s">
        <v>146</v>
      </c>
      <c r="G35" s="33" t="s">
        <v>150</v>
      </c>
      <c r="H35" s="33" t="s">
        <v>54</v>
      </c>
      <c r="I35" s="33" t="s">
        <v>151</v>
      </c>
    </row>
    <row r="36" spans="1:9" x14ac:dyDescent="0.25">
      <c r="B36" t="s">
        <v>139</v>
      </c>
      <c r="D36" s="4">
        <f>'User Analysis'!J124</f>
        <v>7.45</v>
      </c>
      <c r="E36" s="4">
        <f>'User Analysis'!K124</f>
        <v>3.55</v>
      </c>
      <c r="G36" s="29">
        <f>'User Analysis'!Q124</f>
        <v>20.100000000000001</v>
      </c>
      <c r="H36" s="29">
        <f>'User Analysis'!R124</f>
        <v>26.406999999999996</v>
      </c>
      <c r="I36" s="30">
        <f>'User Analysis'!S124</f>
        <v>0.31378109452736291</v>
      </c>
    </row>
    <row r="37" spans="1:9" x14ac:dyDescent="0.25">
      <c r="B37" t="s">
        <v>140</v>
      </c>
      <c r="D37" s="4">
        <f>'User Analysis'!J129</f>
        <v>8.1950000000000003</v>
      </c>
      <c r="E37" s="4">
        <f>'User Analysis'!K129</f>
        <v>3.9049999999999998</v>
      </c>
      <c r="G37" s="29">
        <f>'User Analysis'!Q129</f>
        <v>22.11</v>
      </c>
      <c r="H37" s="29">
        <f>'User Analysis'!R129</f>
        <v>29.047699999999999</v>
      </c>
      <c r="I37" s="30">
        <f>'User Analysis'!S129</f>
        <v>0.31378109452736319</v>
      </c>
    </row>
    <row r="38" spans="1:9" x14ac:dyDescent="0.25">
      <c r="D38" s="4"/>
      <c r="E38" s="4"/>
    </row>
    <row r="39" spans="1:9" x14ac:dyDescent="0.25">
      <c r="A39" t="s">
        <v>147</v>
      </c>
      <c r="D39" s="4"/>
      <c r="E39" s="4"/>
      <c r="G39" s="33" t="s">
        <v>150</v>
      </c>
      <c r="H39" s="33" t="s">
        <v>54</v>
      </c>
      <c r="I39" s="33" t="s">
        <v>151</v>
      </c>
    </row>
    <row r="40" spans="1:9" x14ac:dyDescent="0.25">
      <c r="B40" t="s">
        <v>139</v>
      </c>
      <c r="D40" s="4">
        <f>'User Analysis'!J148</f>
        <v>7.55</v>
      </c>
      <c r="E40" s="4">
        <f>'User Analysis'!K148</f>
        <v>3.55</v>
      </c>
      <c r="G40" s="29">
        <f>'User Analysis'!Q148</f>
        <v>20.100000000000001</v>
      </c>
      <c r="H40" s="29">
        <f>'User Analysis'!R148</f>
        <v>26.506999999999998</v>
      </c>
      <c r="I40" s="30">
        <f>'User Analysis'!S148</f>
        <v>0.31875621890547245</v>
      </c>
    </row>
    <row r="41" spans="1:9" x14ac:dyDescent="0.25">
      <c r="B41" t="s">
        <v>140</v>
      </c>
      <c r="D41" s="4">
        <f>'User Analysis'!J153</f>
        <v>8.3049999999999997</v>
      </c>
      <c r="E41" s="31">
        <f>'User Analysis'!K153</f>
        <v>3.9049999999999998</v>
      </c>
      <c r="G41" s="29">
        <f>'User Analysis'!Q153</f>
        <v>22.11</v>
      </c>
      <c r="H41" s="29">
        <f>'User Analysis'!R153</f>
        <v>29.157699999999998</v>
      </c>
      <c r="I41" s="30">
        <f>'User Analysis'!S153</f>
        <v>0.31875621890547262</v>
      </c>
    </row>
    <row r="43" spans="1:9" x14ac:dyDescent="0.25">
      <c r="A43" t="s">
        <v>148</v>
      </c>
      <c r="G43" s="33" t="s">
        <v>150</v>
      </c>
      <c r="H43" s="33" t="s">
        <v>54</v>
      </c>
      <c r="I43" s="33" t="s">
        <v>151</v>
      </c>
    </row>
    <row r="44" spans="1:9" x14ac:dyDescent="0.25">
      <c r="B44" t="s">
        <v>139</v>
      </c>
      <c r="D44" s="4">
        <f>'User Analysis'!J172</f>
        <v>7.6</v>
      </c>
      <c r="E44" s="4">
        <f>'User Analysis'!K172</f>
        <v>3.6</v>
      </c>
      <c r="G44" s="29">
        <f>'User Analysis'!Q172</f>
        <v>20.100000000000001</v>
      </c>
      <c r="H44" s="29">
        <f>'User Analysis'!R172</f>
        <v>26.823999999999998</v>
      </c>
      <c r="I44" s="30">
        <f>'User Analysis'!S172</f>
        <v>0.33452736318407938</v>
      </c>
    </row>
    <row r="45" spans="1:9" x14ac:dyDescent="0.25">
      <c r="B45" t="s">
        <v>140</v>
      </c>
      <c r="D45" s="31">
        <f>'User Analysis'!J177</f>
        <v>8.36</v>
      </c>
      <c r="E45" s="31">
        <f>'User Analysis'!K177</f>
        <v>3.96</v>
      </c>
      <c r="G45" s="29">
        <f>'User Analysis'!Q177</f>
        <v>22.11</v>
      </c>
      <c r="H45" s="29">
        <f>'User Analysis'!R177</f>
        <v>29.506399999999999</v>
      </c>
      <c r="I45" s="30">
        <f>'User Analysis'!S177</f>
        <v>0.33452736318407961</v>
      </c>
    </row>
  </sheetData>
  <pageMargins left="0.7" right="0.7" top="0.5" bottom="0.5" header="0.3" footer="0.3"/>
  <pageSetup orientation="landscape" horizontalDpi="0" verticalDpi="0" r:id="rId1"/>
  <headerFooter>
    <oddFooter>&amp;RSummary 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workbookViewId="0">
      <selection activeCell="N110" sqref="N110"/>
    </sheetView>
  </sheetViews>
  <sheetFormatPr defaultRowHeight="15" x14ac:dyDescent="0.25"/>
  <cols>
    <col min="3" max="3" width="2" customWidth="1"/>
    <col min="4" max="4" width="11.7109375" customWidth="1"/>
    <col min="5" max="5" width="5.28515625" customWidth="1"/>
    <col min="6" max="6" width="11.5703125" bestFit="1" customWidth="1"/>
    <col min="7" max="7" width="2" customWidth="1"/>
    <col min="8" max="8" width="10.140625" bestFit="1" customWidth="1"/>
    <col min="9" max="9" width="11.7109375" bestFit="1" customWidth="1"/>
    <col min="10" max="10" width="6.5703125" bestFit="1" customWidth="1"/>
    <col min="13" max="13" width="13.28515625" bestFit="1" customWidth="1"/>
    <col min="15" max="15" width="13.28515625" bestFit="1" customWidth="1"/>
  </cols>
  <sheetData>
    <row r="1" spans="1:19" x14ac:dyDescent="0.25">
      <c r="A1" t="s">
        <v>43</v>
      </c>
    </row>
    <row r="2" spans="1:19" x14ac:dyDescent="0.25">
      <c r="A2" s="26" t="s">
        <v>122</v>
      </c>
      <c r="H2" s="39" t="s">
        <v>44</v>
      </c>
      <c r="I2" s="39"/>
      <c r="J2" s="39"/>
      <c r="K2" s="39"/>
      <c r="M2" s="38" t="s">
        <v>45</v>
      </c>
      <c r="N2" s="38"/>
      <c r="O2" s="38"/>
      <c r="P2" s="8"/>
      <c r="R2">
        <v>534</v>
      </c>
      <c r="S2" t="s">
        <v>46</v>
      </c>
    </row>
    <row r="3" spans="1:19" ht="60" x14ac:dyDescent="0.25">
      <c r="A3" s="1" t="s">
        <v>47</v>
      </c>
      <c r="B3" s="1"/>
      <c r="D3" s="1" t="s">
        <v>48</v>
      </c>
      <c r="F3" s="1" t="s">
        <v>69</v>
      </c>
      <c r="H3" s="1" t="s">
        <v>49</v>
      </c>
      <c r="I3" s="1" t="s">
        <v>50</v>
      </c>
      <c r="J3" s="9" t="s">
        <v>51</v>
      </c>
      <c r="K3" s="9" t="s">
        <v>52</v>
      </c>
      <c r="M3" s="1">
        <v>2016</v>
      </c>
      <c r="O3" s="10" t="s">
        <v>3</v>
      </c>
      <c r="P3" s="11"/>
      <c r="Q3" t="s">
        <v>53</v>
      </c>
      <c r="R3" t="s">
        <v>54</v>
      </c>
      <c r="S3" t="s">
        <v>55</v>
      </c>
    </row>
    <row r="4" spans="1:19" x14ac:dyDescent="0.25">
      <c r="A4" t="s">
        <v>56</v>
      </c>
      <c r="D4">
        <v>2231</v>
      </c>
      <c r="F4" s="6">
        <v>13305957</v>
      </c>
      <c r="H4">
        <v>6.75</v>
      </c>
      <c r="I4">
        <v>2.5</v>
      </c>
      <c r="J4">
        <v>7.3</v>
      </c>
      <c r="K4">
        <v>3.3</v>
      </c>
      <c r="M4" s="12">
        <f>(((H4*$D4)*12)+(($F4/100)*I4))</f>
        <v>513359.92500000005</v>
      </c>
      <c r="N4" s="12"/>
      <c r="O4" s="12">
        <f>(((J4*$D4)*12)+(($F4/100)*K4))</f>
        <v>634532.18099999998</v>
      </c>
      <c r="Q4" s="4">
        <f>H4+(I4*(534/100))</f>
        <v>20.100000000000001</v>
      </c>
      <c r="R4" s="4">
        <f>J4+((534/100)*K4)</f>
        <v>24.922000000000001</v>
      </c>
      <c r="S4" s="5">
        <f>(R4-Q4)/Q4</f>
        <v>0.23990049751243775</v>
      </c>
    </row>
    <row r="5" spans="1:19" x14ac:dyDescent="0.25">
      <c r="A5" t="s">
        <v>57</v>
      </c>
      <c r="D5">
        <v>36</v>
      </c>
      <c r="F5" s="6">
        <v>14029258</v>
      </c>
      <c r="H5">
        <f>H4</f>
        <v>6.75</v>
      </c>
      <c r="I5">
        <f>I4</f>
        <v>2.5</v>
      </c>
      <c r="J5">
        <f>J4</f>
        <v>7.3</v>
      </c>
      <c r="K5">
        <f>K4</f>
        <v>3.3</v>
      </c>
      <c r="M5" s="12">
        <f t="shared" ref="M5:M14" si="0">(((H5*D5)*12)+((F5/100)*I5))</f>
        <v>353647.44999999995</v>
      </c>
      <c r="O5" s="12">
        <f t="shared" ref="O5:O7" si="1">(((J5*$D5)*12)+(($F5/100)*K5))</f>
        <v>466119.11399999988</v>
      </c>
    </row>
    <row r="6" spans="1:19" x14ac:dyDescent="0.25">
      <c r="A6" t="s">
        <v>58</v>
      </c>
      <c r="D6">
        <v>34</v>
      </c>
      <c r="F6" s="6">
        <v>6094556</v>
      </c>
      <c r="H6">
        <f>H4</f>
        <v>6.75</v>
      </c>
      <c r="I6">
        <f>I4</f>
        <v>2.5</v>
      </c>
      <c r="J6">
        <f>J4</f>
        <v>7.3</v>
      </c>
      <c r="K6">
        <f>K4</f>
        <v>3.3</v>
      </c>
      <c r="M6" s="12">
        <f t="shared" si="0"/>
        <v>155117.9</v>
      </c>
      <c r="O6" s="12">
        <f t="shared" si="1"/>
        <v>204098.74799999996</v>
      </c>
    </row>
    <row r="7" spans="1:19" x14ac:dyDescent="0.25">
      <c r="A7" t="s">
        <v>59</v>
      </c>
      <c r="D7">
        <v>8</v>
      </c>
      <c r="F7" s="6">
        <v>436600</v>
      </c>
      <c r="H7">
        <f>H4</f>
        <v>6.75</v>
      </c>
      <c r="I7">
        <f>I4</f>
        <v>2.5</v>
      </c>
      <c r="J7">
        <f>J4</f>
        <v>7.3</v>
      </c>
      <c r="K7">
        <f>K4</f>
        <v>3.3</v>
      </c>
      <c r="M7" s="12">
        <f t="shared" si="0"/>
        <v>11563</v>
      </c>
      <c r="O7" s="12">
        <f t="shared" si="1"/>
        <v>15108.599999999999</v>
      </c>
    </row>
    <row r="8" spans="1:19" x14ac:dyDescent="0.25">
      <c r="F8" s="6"/>
    </row>
    <row r="9" spans="1:19" x14ac:dyDescent="0.25">
      <c r="A9" t="s">
        <v>60</v>
      </c>
      <c r="D9">
        <v>268</v>
      </c>
      <c r="F9" s="6">
        <v>1851016</v>
      </c>
      <c r="H9">
        <v>7.4249999999999998</v>
      </c>
      <c r="I9">
        <v>2.75</v>
      </c>
      <c r="J9">
        <f>(J4*0.1)+J4</f>
        <v>8.0299999999999994</v>
      </c>
      <c r="K9">
        <f>(K4*0.1)+K4</f>
        <v>3.63</v>
      </c>
      <c r="M9" s="12">
        <f t="shared" si="0"/>
        <v>74781.740000000005</v>
      </c>
      <c r="O9" s="12">
        <f t="shared" ref="O9:O12" si="2">(((J9*$D9)*12)+(($F9/100)*K9))</f>
        <v>93016.360799999995</v>
      </c>
      <c r="Q9" s="4">
        <f>H9+(I9*(534/100))</f>
        <v>22.11</v>
      </c>
      <c r="R9" s="4">
        <f>J9+((534/100)*K9)</f>
        <v>27.414200000000001</v>
      </c>
      <c r="S9" s="5">
        <f>(R9-Q9)/Q9</f>
        <v>0.23990049751243789</v>
      </c>
    </row>
    <row r="10" spans="1:19" x14ac:dyDescent="0.25">
      <c r="A10" t="s">
        <v>61</v>
      </c>
      <c r="D10">
        <v>5</v>
      </c>
      <c r="F10" s="6">
        <v>824080</v>
      </c>
      <c r="H10">
        <f>H9</f>
        <v>7.4249999999999998</v>
      </c>
      <c r="I10">
        <f>I9</f>
        <v>2.75</v>
      </c>
      <c r="J10">
        <f>J9</f>
        <v>8.0299999999999994</v>
      </c>
      <c r="K10">
        <f>K9</f>
        <v>3.63</v>
      </c>
      <c r="M10" s="12">
        <f t="shared" si="0"/>
        <v>23107.699999999997</v>
      </c>
      <c r="O10" s="12">
        <f t="shared" si="2"/>
        <v>30395.903999999995</v>
      </c>
    </row>
    <row r="11" spans="1:19" x14ac:dyDescent="0.25">
      <c r="A11" t="s">
        <v>62</v>
      </c>
      <c r="D11">
        <v>1</v>
      </c>
      <c r="F11" s="6">
        <v>42520</v>
      </c>
      <c r="H11">
        <f>H9</f>
        <v>7.4249999999999998</v>
      </c>
      <c r="I11">
        <f>I9</f>
        <v>2.75</v>
      </c>
      <c r="J11">
        <f>J9</f>
        <v>8.0299999999999994</v>
      </c>
      <c r="K11">
        <f>K9</f>
        <v>3.63</v>
      </c>
      <c r="M11" s="12">
        <f t="shared" si="0"/>
        <v>1258.3999999999999</v>
      </c>
      <c r="O11" s="12">
        <f t="shared" si="2"/>
        <v>1639.8359999999998</v>
      </c>
    </row>
    <row r="12" spans="1:19" x14ac:dyDescent="0.25">
      <c r="A12" t="s">
        <v>63</v>
      </c>
      <c r="D12">
        <v>1</v>
      </c>
      <c r="F12" s="6">
        <v>14</v>
      </c>
      <c r="H12">
        <f>H9</f>
        <v>7.4249999999999998</v>
      </c>
      <c r="I12">
        <f>I9</f>
        <v>2.75</v>
      </c>
      <c r="J12">
        <f>J9</f>
        <v>8.0299999999999994</v>
      </c>
      <c r="K12">
        <f>K9</f>
        <v>3.63</v>
      </c>
      <c r="M12" s="12">
        <f t="shared" si="0"/>
        <v>89.484999999999999</v>
      </c>
      <c r="O12" s="12">
        <f t="shared" si="2"/>
        <v>96.868199999999987</v>
      </c>
    </row>
    <row r="13" spans="1:19" x14ac:dyDescent="0.25">
      <c r="F13" s="6"/>
    </row>
    <row r="14" spans="1:19" x14ac:dyDescent="0.25">
      <c r="A14" s="13" t="s">
        <v>64</v>
      </c>
      <c r="B14" s="13"/>
      <c r="C14" s="13"/>
      <c r="D14" s="13">
        <v>11</v>
      </c>
      <c r="E14" s="13"/>
      <c r="F14" s="14">
        <v>59825110</v>
      </c>
      <c r="G14" s="13"/>
      <c r="H14" s="13">
        <f>H4</f>
        <v>6.75</v>
      </c>
      <c r="I14" s="13">
        <f>I4</f>
        <v>2.5</v>
      </c>
      <c r="J14" s="13">
        <f>J4</f>
        <v>7.3</v>
      </c>
      <c r="K14" s="13">
        <f>K4</f>
        <v>3.3</v>
      </c>
      <c r="L14" s="13"/>
      <c r="M14" s="15">
        <f t="shared" si="0"/>
        <v>1496518.75</v>
      </c>
      <c r="O14" s="15">
        <f>(((J14*$D14)*12)+(($F14/100)*K14))</f>
        <v>1975192.23</v>
      </c>
    </row>
    <row r="16" spans="1:19" x14ac:dyDescent="0.25">
      <c r="D16">
        <f>SUM(D4:D14)</f>
        <v>2595</v>
      </c>
      <c r="F16" s="7">
        <f>SUM(F4:F14)</f>
        <v>96409111</v>
      </c>
      <c r="M16" s="16">
        <f>SUM(M4:M14)</f>
        <v>2629444.35</v>
      </c>
      <c r="O16" s="16">
        <f>SUM(O4:O14)</f>
        <v>3420199.8419999997</v>
      </c>
      <c r="P16" s="6"/>
    </row>
    <row r="18" spans="1:19" x14ac:dyDescent="0.25">
      <c r="L18" s="17" t="s">
        <v>70</v>
      </c>
      <c r="M18" s="6">
        <f>'Pro-Forma'!E6</f>
        <v>2672904</v>
      </c>
      <c r="O18" s="7">
        <f>D23</f>
        <v>3391052.0671999999</v>
      </c>
      <c r="P18" t="s">
        <v>65</v>
      </c>
    </row>
    <row r="20" spans="1:19" x14ac:dyDescent="0.25">
      <c r="L20" s="17" t="s">
        <v>66</v>
      </c>
      <c r="M20" s="3">
        <f>(M18-M16)/M18</f>
        <v>1.6259338158048291E-2</v>
      </c>
      <c r="O20" s="16">
        <f>O16-O18</f>
        <v>29147.774799999781</v>
      </c>
    </row>
    <row r="22" spans="1:19" x14ac:dyDescent="0.25">
      <c r="A22" t="s">
        <v>67</v>
      </c>
    </row>
    <row r="23" spans="1:19" x14ac:dyDescent="0.25">
      <c r="A23" t="s">
        <v>68</v>
      </c>
      <c r="D23" s="6">
        <f>'Debt Srv'!F14</f>
        <v>3391052.0671999999</v>
      </c>
    </row>
    <row r="25" spans="1:19" x14ac:dyDescent="0.25">
      <c r="A25" t="s">
        <v>43</v>
      </c>
    </row>
    <row r="26" spans="1:19" x14ac:dyDescent="0.25">
      <c r="A26" s="26" t="s">
        <v>123</v>
      </c>
      <c r="H26" s="39" t="s">
        <v>44</v>
      </c>
      <c r="I26" s="39"/>
      <c r="J26" s="39"/>
      <c r="K26" s="39"/>
      <c r="M26" s="38" t="s">
        <v>45</v>
      </c>
      <c r="N26" s="38"/>
      <c r="O26" s="38"/>
      <c r="P26" s="8"/>
      <c r="R26">
        <v>534</v>
      </c>
      <c r="S26" t="s">
        <v>46</v>
      </c>
    </row>
    <row r="27" spans="1:19" ht="60" x14ac:dyDescent="0.25">
      <c r="A27" s="1" t="s">
        <v>47</v>
      </c>
      <c r="B27" s="1"/>
      <c r="D27" s="1" t="s">
        <v>48</v>
      </c>
      <c r="F27" s="1" t="s">
        <v>69</v>
      </c>
      <c r="H27" s="1" t="s">
        <v>49</v>
      </c>
      <c r="I27" s="1" t="s">
        <v>50</v>
      </c>
      <c r="J27" s="9" t="s">
        <v>51</v>
      </c>
      <c r="K27" s="9" t="s">
        <v>52</v>
      </c>
      <c r="M27" s="1">
        <v>2016</v>
      </c>
      <c r="O27" s="10" t="s">
        <v>3</v>
      </c>
      <c r="P27" s="11"/>
      <c r="Q27" t="s">
        <v>53</v>
      </c>
      <c r="R27" t="s">
        <v>54</v>
      </c>
      <c r="S27" t="s">
        <v>55</v>
      </c>
    </row>
    <row r="28" spans="1:19" x14ac:dyDescent="0.25">
      <c r="A28" t="s">
        <v>56</v>
      </c>
      <c r="D28">
        <v>2231</v>
      </c>
      <c r="F28" s="6">
        <v>13305957</v>
      </c>
      <c r="H28">
        <v>6.75</v>
      </c>
      <c r="I28">
        <v>2.5</v>
      </c>
      <c r="J28">
        <v>7.35</v>
      </c>
      <c r="K28">
        <v>3.35</v>
      </c>
      <c r="M28" s="12">
        <f>(((H28*$D28)*12)+(($F28/100)*I28))</f>
        <v>513359.92500000005</v>
      </c>
      <c r="N28" s="12"/>
      <c r="O28" s="12">
        <f>(((J28*$D28)*12)+(($F28/100)*K28))</f>
        <v>642523.75950000004</v>
      </c>
      <c r="Q28" s="4">
        <f>H28+(I28*(534/100))</f>
        <v>20.100000000000001</v>
      </c>
      <c r="R28" s="4">
        <f>J28+((534/100)*K28)</f>
        <v>25.238999999999997</v>
      </c>
      <c r="S28" s="5">
        <f>(R28-Q28)/Q28</f>
        <v>0.25567164179104457</v>
      </c>
    </row>
    <row r="29" spans="1:19" x14ac:dyDescent="0.25">
      <c r="A29" t="s">
        <v>57</v>
      </c>
      <c r="D29">
        <v>36</v>
      </c>
      <c r="F29" s="6">
        <v>14029258</v>
      </c>
      <c r="H29">
        <f>H28</f>
        <v>6.75</v>
      </c>
      <c r="I29">
        <f>I28</f>
        <v>2.5</v>
      </c>
      <c r="J29">
        <f>J28</f>
        <v>7.35</v>
      </c>
      <c r="K29">
        <f>K28</f>
        <v>3.35</v>
      </c>
      <c r="M29" s="12">
        <f t="shared" ref="M29:M31" si="3">(((H29*D29)*12)+((F29/100)*I29))</f>
        <v>353647.44999999995</v>
      </c>
      <c r="O29" s="12">
        <f t="shared" ref="O29:O31" si="4">(((J29*$D29)*12)+(($F29/100)*K29))</f>
        <v>473155.34299999999</v>
      </c>
    </row>
    <row r="30" spans="1:19" x14ac:dyDescent="0.25">
      <c r="A30" t="s">
        <v>58</v>
      </c>
      <c r="D30">
        <v>34</v>
      </c>
      <c r="F30" s="6">
        <v>6094556</v>
      </c>
      <c r="H30">
        <f>H28</f>
        <v>6.75</v>
      </c>
      <c r="I30">
        <f>I28</f>
        <v>2.5</v>
      </c>
      <c r="J30">
        <f>J28</f>
        <v>7.35</v>
      </c>
      <c r="K30">
        <f>K28</f>
        <v>3.35</v>
      </c>
      <c r="M30" s="12">
        <f t="shared" si="3"/>
        <v>155117.9</v>
      </c>
      <c r="O30" s="12">
        <f t="shared" si="4"/>
        <v>207166.42599999998</v>
      </c>
    </row>
    <row r="31" spans="1:19" x14ac:dyDescent="0.25">
      <c r="A31" t="s">
        <v>59</v>
      </c>
      <c r="D31">
        <v>8</v>
      </c>
      <c r="F31" s="6">
        <v>436600</v>
      </c>
      <c r="H31">
        <f>H28</f>
        <v>6.75</v>
      </c>
      <c r="I31">
        <f>I28</f>
        <v>2.5</v>
      </c>
      <c r="J31">
        <f>J28</f>
        <v>7.35</v>
      </c>
      <c r="K31">
        <f>K28</f>
        <v>3.35</v>
      </c>
      <c r="M31" s="12">
        <f t="shared" si="3"/>
        <v>11563</v>
      </c>
      <c r="O31" s="12">
        <f t="shared" si="4"/>
        <v>15331.7</v>
      </c>
    </row>
    <row r="32" spans="1:19" x14ac:dyDescent="0.25">
      <c r="F32" s="6"/>
    </row>
    <row r="33" spans="1:19" x14ac:dyDescent="0.25">
      <c r="A33" t="s">
        <v>60</v>
      </c>
      <c r="D33">
        <v>268</v>
      </c>
      <c r="F33" s="6">
        <v>1851016</v>
      </c>
      <c r="H33">
        <v>7.4249999999999998</v>
      </c>
      <c r="I33">
        <v>2.75</v>
      </c>
      <c r="J33">
        <f>(J28*0.1)+J28</f>
        <v>8.0849999999999991</v>
      </c>
      <c r="K33">
        <f>(K28*0.1)+K28</f>
        <v>3.6850000000000001</v>
      </c>
      <c r="M33" s="12">
        <f t="shared" ref="M33:M36" si="5">(((H33*D33)*12)+((F33/100)*I33))</f>
        <v>74781.740000000005</v>
      </c>
      <c r="O33" s="12">
        <f t="shared" ref="O33:O36" si="6">(((J33*$D33)*12)+(($F33/100)*K33))</f>
        <v>94211.299599999998</v>
      </c>
      <c r="Q33" s="4">
        <f>H33+(I33*(534/100))</f>
        <v>22.11</v>
      </c>
      <c r="R33" s="4">
        <f>J33+((534/100)*K33)</f>
        <v>27.762900000000002</v>
      </c>
      <c r="S33" s="5">
        <f>(R33-Q33)/Q33</f>
        <v>0.2556716417910449</v>
      </c>
    </row>
    <row r="34" spans="1:19" x14ac:dyDescent="0.25">
      <c r="A34" t="s">
        <v>61</v>
      </c>
      <c r="D34">
        <v>5</v>
      </c>
      <c r="F34" s="6">
        <v>824080</v>
      </c>
      <c r="H34">
        <f>H33</f>
        <v>7.4249999999999998</v>
      </c>
      <c r="I34">
        <f>I33</f>
        <v>2.75</v>
      </c>
      <c r="J34">
        <f>J33</f>
        <v>8.0849999999999991</v>
      </c>
      <c r="K34">
        <f>K33</f>
        <v>3.6850000000000001</v>
      </c>
      <c r="M34" s="12">
        <f t="shared" si="5"/>
        <v>23107.699999999997</v>
      </c>
      <c r="O34" s="12">
        <f t="shared" si="6"/>
        <v>30852.447999999997</v>
      </c>
    </row>
    <row r="35" spans="1:19" x14ac:dyDescent="0.25">
      <c r="A35" t="s">
        <v>62</v>
      </c>
      <c r="D35">
        <v>1</v>
      </c>
      <c r="F35" s="6">
        <v>42520</v>
      </c>
      <c r="H35">
        <f>H33</f>
        <v>7.4249999999999998</v>
      </c>
      <c r="I35">
        <f>I33</f>
        <v>2.75</v>
      </c>
      <c r="J35">
        <f>J33</f>
        <v>8.0849999999999991</v>
      </c>
      <c r="K35">
        <f>K33</f>
        <v>3.6850000000000001</v>
      </c>
      <c r="M35" s="12">
        <f t="shared" si="5"/>
        <v>1258.3999999999999</v>
      </c>
      <c r="O35" s="12">
        <f t="shared" si="6"/>
        <v>1663.8820000000001</v>
      </c>
    </row>
    <row r="36" spans="1:19" x14ac:dyDescent="0.25">
      <c r="A36" t="s">
        <v>63</v>
      </c>
      <c r="D36">
        <v>1</v>
      </c>
      <c r="F36" s="6">
        <v>14</v>
      </c>
      <c r="H36">
        <f>H33</f>
        <v>7.4249999999999998</v>
      </c>
      <c r="I36">
        <f>I33</f>
        <v>2.75</v>
      </c>
      <c r="J36">
        <f>J33</f>
        <v>8.0849999999999991</v>
      </c>
      <c r="K36">
        <f>K33</f>
        <v>3.6850000000000001</v>
      </c>
      <c r="M36" s="12">
        <f t="shared" si="5"/>
        <v>89.484999999999999</v>
      </c>
      <c r="O36" s="12">
        <f t="shared" si="6"/>
        <v>97.535899999999984</v>
      </c>
    </row>
    <row r="37" spans="1:19" x14ac:dyDescent="0.25">
      <c r="F37" s="6"/>
    </row>
    <row r="38" spans="1:19" x14ac:dyDescent="0.25">
      <c r="A38" s="13" t="s">
        <v>64</v>
      </c>
      <c r="B38" s="13"/>
      <c r="C38" s="13"/>
      <c r="D38" s="13">
        <v>11</v>
      </c>
      <c r="E38" s="13"/>
      <c r="F38" s="14">
        <v>59825110</v>
      </c>
      <c r="G38" s="13"/>
      <c r="H38" s="13">
        <f>H28</f>
        <v>6.75</v>
      </c>
      <c r="I38" s="13">
        <f>I28</f>
        <v>2.5</v>
      </c>
      <c r="J38" s="13">
        <f>J28</f>
        <v>7.35</v>
      </c>
      <c r="K38" s="13">
        <f>K28</f>
        <v>3.35</v>
      </c>
      <c r="L38" s="13"/>
      <c r="M38" s="15">
        <f t="shared" ref="M38" si="7">(((H38*D38)*12)+((F38/100)*I38))</f>
        <v>1496518.75</v>
      </c>
      <c r="O38" s="15">
        <f>(((J38*$D38)*12)+(($F38/100)*K38))</f>
        <v>2005111.385</v>
      </c>
    </row>
    <row r="40" spans="1:19" x14ac:dyDescent="0.25">
      <c r="D40">
        <f>SUM(D28:D38)</f>
        <v>2595</v>
      </c>
      <c r="F40" s="7">
        <f>SUM(F28:F38)</f>
        <v>96409111</v>
      </c>
      <c r="M40" s="16">
        <f>SUM(M28:M38)</f>
        <v>2629444.35</v>
      </c>
      <c r="O40" s="16">
        <f>SUM(O28:O38)</f>
        <v>3470113.7790000001</v>
      </c>
      <c r="P40" s="6"/>
    </row>
    <row r="42" spans="1:19" x14ac:dyDescent="0.25">
      <c r="L42" s="17"/>
      <c r="M42" s="6"/>
      <c r="O42" s="7">
        <f>D47</f>
        <v>3438209.0671999999</v>
      </c>
      <c r="P42" t="s">
        <v>65</v>
      </c>
    </row>
    <row r="44" spans="1:19" x14ac:dyDescent="0.25">
      <c r="L44" s="17"/>
      <c r="M44" s="3"/>
      <c r="O44" s="16">
        <f>O40-O42</f>
        <v>31904.711800000165</v>
      </c>
    </row>
    <row r="46" spans="1:19" x14ac:dyDescent="0.25">
      <c r="A46" t="s">
        <v>67</v>
      </c>
    </row>
    <row r="47" spans="1:19" x14ac:dyDescent="0.25">
      <c r="A47" t="s">
        <v>68</v>
      </c>
      <c r="D47" s="6">
        <f>'Debt Srv'!H14</f>
        <v>3438209.0671999999</v>
      </c>
    </row>
    <row r="49" spans="1:19" x14ac:dyDescent="0.25">
      <c r="A49" t="s">
        <v>43</v>
      </c>
    </row>
    <row r="50" spans="1:19" x14ac:dyDescent="0.25">
      <c r="A50" s="26" t="s">
        <v>124</v>
      </c>
      <c r="H50" s="39" t="s">
        <v>44</v>
      </c>
      <c r="I50" s="39"/>
      <c r="J50" s="39"/>
      <c r="K50" s="39"/>
      <c r="M50" s="38" t="s">
        <v>45</v>
      </c>
      <c r="N50" s="38"/>
      <c r="O50" s="38"/>
      <c r="P50" s="8"/>
      <c r="R50">
        <v>534</v>
      </c>
      <c r="S50" t="s">
        <v>46</v>
      </c>
    </row>
    <row r="51" spans="1:19" ht="60" x14ac:dyDescent="0.25">
      <c r="A51" s="1" t="s">
        <v>47</v>
      </c>
      <c r="B51" s="1"/>
      <c r="D51" s="1" t="s">
        <v>48</v>
      </c>
      <c r="F51" s="1" t="s">
        <v>69</v>
      </c>
      <c r="H51" s="1" t="s">
        <v>49</v>
      </c>
      <c r="I51" s="1" t="s">
        <v>50</v>
      </c>
      <c r="J51" s="9" t="s">
        <v>51</v>
      </c>
      <c r="K51" s="9" t="s">
        <v>52</v>
      </c>
      <c r="M51" s="1">
        <v>2016</v>
      </c>
      <c r="O51" s="10" t="s">
        <v>3</v>
      </c>
      <c r="P51" s="11"/>
      <c r="Q51" t="s">
        <v>53</v>
      </c>
      <c r="R51" t="s">
        <v>54</v>
      </c>
      <c r="S51" t="s">
        <v>55</v>
      </c>
    </row>
    <row r="52" spans="1:19" x14ac:dyDescent="0.25">
      <c r="A52" t="s">
        <v>56</v>
      </c>
      <c r="D52">
        <v>2231</v>
      </c>
      <c r="F52" s="6">
        <v>13305957</v>
      </c>
      <c r="H52">
        <v>6.75</v>
      </c>
      <c r="I52">
        <v>2.5</v>
      </c>
      <c r="J52">
        <v>7.4</v>
      </c>
      <c r="K52">
        <v>3.4</v>
      </c>
      <c r="M52" s="12">
        <f>(((H52*$D52)*12)+(($F52/100)*I52))</f>
        <v>513359.92500000005</v>
      </c>
      <c r="N52" s="12"/>
      <c r="O52" s="12">
        <f>(((J52*$D52)*12)+(($F52/100)*K52))</f>
        <v>650515.33799999999</v>
      </c>
      <c r="Q52" s="4">
        <f>H52+(I52*(534/100))</f>
        <v>20.100000000000001</v>
      </c>
      <c r="R52" s="4">
        <f>J52+((534/100)*K52)</f>
        <v>25.555999999999997</v>
      </c>
      <c r="S52" s="5">
        <f>(R52-Q52)/Q52</f>
        <v>0.2714427860696515</v>
      </c>
    </row>
    <row r="53" spans="1:19" x14ac:dyDescent="0.25">
      <c r="A53" t="s">
        <v>57</v>
      </c>
      <c r="D53">
        <v>36</v>
      </c>
      <c r="F53" s="6">
        <v>14029258</v>
      </c>
      <c r="H53">
        <f>H52</f>
        <v>6.75</v>
      </c>
      <c r="I53">
        <f>I52</f>
        <v>2.5</v>
      </c>
      <c r="J53">
        <f>J52</f>
        <v>7.4</v>
      </c>
      <c r="K53">
        <f>K52</f>
        <v>3.4</v>
      </c>
      <c r="M53" s="12">
        <f t="shared" ref="M53:M55" si="8">(((H53*D53)*12)+((F53/100)*I53))</f>
        <v>353647.44999999995</v>
      </c>
      <c r="O53" s="12">
        <f t="shared" ref="O53:O55" si="9">(((J53*$D53)*12)+(($F53/100)*K53))</f>
        <v>480191.57199999993</v>
      </c>
    </row>
    <row r="54" spans="1:19" x14ac:dyDescent="0.25">
      <c r="A54" t="s">
        <v>58</v>
      </c>
      <c r="D54">
        <v>34</v>
      </c>
      <c r="F54" s="6">
        <v>6094556</v>
      </c>
      <c r="H54">
        <f>H52</f>
        <v>6.75</v>
      </c>
      <c r="I54">
        <f>I52</f>
        <v>2.5</v>
      </c>
      <c r="J54">
        <f>J52</f>
        <v>7.4</v>
      </c>
      <c r="K54">
        <f>K52</f>
        <v>3.4</v>
      </c>
      <c r="M54" s="12">
        <f t="shared" si="8"/>
        <v>155117.9</v>
      </c>
      <c r="O54" s="12">
        <f t="shared" si="9"/>
        <v>210234.10399999999</v>
      </c>
    </row>
    <row r="55" spans="1:19" x14ac:dyDescent="0.25">
      <c r="A55" t="s">
        <v>59</v>
      </c>
      <c r="D55">
        <v>8</v>
      </c>
      <c r="F55" s="6">
        <v>436600</v>
      </c>
      <c r="H55">
        <f>H52</f>
        <v>6.75</v>
      </c>
      <c r="I55">
        <f>I52</f>
        <v>2.5</v>
      </c>
      <c r="J55">
        <f>J52</f>
        <v>7.4</v>
      </c>
      <c r="K55">
        <f>K52</f>
        <v>3.4</v>
      </c>
      <c r="M55" s="12">
        <f t="shared" si="8"/>
        <v>11563</v>
      </c>
      <c r="O55" s="12">
        <f t="shared" si="9"/>
        <v>15554.8</v>
      </c>
    </row>
    <row r="56" spans="1:19" x14ac:dyDescent="0.25">
      <c r="F56" s="6"/>
    </row>
    <row r="57" spans="1:19" x14ac:dyDescent="0.25">
      <c r="A57" t="s">
        <v>60</v>
      </c>
      <c r="D57">
        <v>268</v>
      </c>
      <c r="F57" s="6">
        <v>1851016</v>
      </c>
      <c r="H57">
        <v>7.4249999999999998</v>
      </c>
      <c r="I57">
        <v>2.75</v>
      </c>
      <c r="J57">
        <f>(J52*0.1)+J52</f>
        <v>8.14</v>
      </c>
      <c r="K57">
        <f>(K52*0.1)+K52</f>
        <v>3.7399999999999998</v>
      </c>
      <c r="M57" s="12">
        <f t="shared" ref="M57:M60" si="10">(((H57*D57)*12)+((F57/100)*I57))</f>
        <v>74781.740000000005</v>
      </c>
      <c r="O57" s="12">
        <f t="shared" ref="O57:O60" si="11">(((J57*$D57)*12)+(($F57/100)*K57))</f>
        <v>95406.238400000002</v>
      </c>
      <c r="Q57" s="4">
        <f>H57+(I57*(534/100))</f>
        <v>22.11</v>
      </c>
      <c r="R57" s="4">
        <f>J57+((534/100)*K57)</f>
        <v>28.111599999999999</v>
      </c>
      <c r="S57" s="5">
        <f>(R57-Q57)/Q57</f>
        <v>0.27144278606965172</v>
      </c>
    </row>
    <row r="58" spans="1:19" x14ac:dyDescent="0.25">
      <c r="A58" t="s">
        <v>61</v>
      </c>
      <c r="D58">
        <v>5</v>
      </c>
      <c r="F58" s="6">
        <v>824080</v>
      </c>
      <c r="H58">
        <f>H57</f>
        <v>7.4249999999999998</v>
      </c>
      <c r="I58">
        <f>I57</f>
        <v>2.75</v>
      </c>
      <c r="J58">
        <f>J57</f>
        <v>8.14</v>
      </c>
      <c r="K58">
        <f>K57</f>
        <v>3.7399999999999998</v>
      </c>
      <c r="M58" s="12">
        <f t="shared" si="10"/>
        <v>23107.699999999997</v>
      </c>
      <c r="O58" s="12">
        <f t="shared" si="11"/>
        <v>31308.991999999998</v>
      </c>
    </row>
    <row r="59" spans="1:19" x14ac:dyDescent="0.25">
      <c r="A59" t="s">
        <v>62</v>
      </c>
      <c r="D59">
        <v>1</v>
      </c>
      <c r="F59" s="6">
        <v>42520</v>
      </c>
      <c r="H59">
        <f>H57</f>
        <v>7.4249999999999998</v>
      </c>
      <c r="I59">
        <f>I57</f>
        <v>2.75</v>
      </c>
      <c r="J59">
        <f>J57</f>
        <v>8.14</v>
      </c>
      <c r="K59">
        <f>K57</f>
        <v>3.7399999999999998</v>
      </c>
      <c r="M59" s="12">
        <f t="shared" si="10"/>
        <v>1258.3999999999999</v>
      </c>
      <c r="O59" s="12">
        <f t="shared" si="11"/>
        <v>1687.9279999999999</v>
      </c>
    </row>
    <row r="60" spans="1:19" x14ac:dyDescent="0.25">
      <c r="A60" t="s">
        <v>63</v>
      </c>
      <c r="D60">
        <v>1</v>
      </c>
      <c r="F60" s="6">
        <v>14</v>
      </c>
      <c r="H60">
        <f>H57</f>
        <v>7.4249999999999998</v>
      </c>
      <c r="I60">
        <f>I57</f>
        <v>2.75</v>
      </c>
      <c r="J60">
        <f>J57</f>
        <v>8.14</v>
      </c>
      <c r="K60">
        <f>K57</f>
        <v>3.7399999999999998</v>
      </c>
      <c r="M60" s="12">
        <f t="shared" si="10"/>
        <v>89.484999999999999</v>
      </c>
      <c r="O60" s="12">
        <f t="shared" si="11"/>
        <v>98.203600000000009</v>
      </c>
    </row>
    <row r="61" spans="1:19" x14ac:dyDescent="0.25">
      <c r="F61" s="6"/>
    </row>
    <row r="62" spans="1:19" x14ac:dyDescent="0.25">
      <c r="A62" s="13" t="s">
        <v>64</v>
      </c>
      <c r="B62" s="13"/>
      <c r="C62" s="13"/>
      <c r="D62" s="13">
        <v>11</v>
      </c>
      <c r="E62" s="13"/>
      <c r="F62" s="14">
        <v>59825110</v>
      </c>
      <c r="G62" s="13"/>
      <c r="H62" s="13">
        <f>H52</f>
        <v>6.75</v>
      </c>
      <c r="I62" s="13">
        <f>I52</f>
        <v>2.5</v>
      </c>
      <c r="J62" s="13">
        <f>J52</f>
        <v>7.4</v>
      </c>
      <c r="K62" s="13">
        <f>K52</f>
        <v>3.4</v>
      </c>
      <c r="L62" s="13"/>
      <c r="M62" s="15">
        <f t="shared" ref="M62" si="12">(((H62*D62)*12)+((F62/100)*I62))</f>
        <v>1496518.75</v>
      </c>
      <c r="O62" s="15">
        <f>(((J62*$D62)*12)+(($F62/100)*K62))</f>
        <v>2035030.5399999998</v>
      </c>
    </row>
    <row r="64" spans="1:19" x14ac:dyDescent="0.25">
      <c r="D64">
        <f>SUM(D52:D62)</f>
        <v>2595</v>
      </c>
      <c r="F64" s="7">
        <f>SUM(F52:F62)</f>
        <v>96409111</v>
      </c>
      <c r="M64" s="16">
        <f>SUM(M52:M62)</f>
        <v>2629444.35</v>
      </c>
      <c r="O64" s="16">
        <f>SUM(O52:O62)</f>
        <v>3520027.716</v>
      </c>
      <c r="P64" s="6"/>
    </row>
    <row r="66" spans="1:19" x14ac:dyDescent="0.25">
      <c r="L66" s="17"/>
      <c r="M66" s="6"/>
      <c r="O66" s="7">
        <f>D71</f>
        <v>3483540.0671999999</v>
      </c>
      <c r="P66" t="s">
        <v>65</v>
      </c>
    </row>
    <row r="68" spans="1:19" x14ac:dyDescent="0.25">
      <c r="L68" s="17"/>
      <c r="M68" s="3"/>
      <c r="O68" s="16">
        <f>O64-O66</f>
        <v>36487.648800000083</v>
      </c>
    </row>
    <row r="70" spans="1:19" x14ac:dyDescent="0.25">
      <c r="A70" t="s">
        <v>67</v>
      </c>
    </row>
    <row r="71" spans="1:19" x14ac:dyDescent="0.25">
      <c r="A71" t="s">
        <v>68</v>
      </c>
      <c r="D71" s="6">
        <f>'Debt Srv'!J14</f>
        <v>3483540.0671999999</v>
      </c>
    </row>
    <row r="73" spans="1:19" x14ac:dyDescent="0.25">
      <c r="A73" t="s">
        <v>43</v>
      </c>
    </row>
    <row r="74" spans="1:19" x14ac:dyDescent="0.25">
      <c r="A74" s="26" t="s">
        <v>125</v>
      </c>
      <c r="H74" s="39" t="s">
        <v>44</v>
      </c>
      <c r="I74" s="39"/>
      <c r="J74" s="39"/>
      <c r="K74" s="39"/>
      <c r="M74" s="38" t="s">
        <v>45</v>
      </c>
      <c r="N74" s="38"/>
      <c r="O74" s="38"/>
      <c r="P74" s="8"/>
      <c r="R74">
        <v>534</v>
      </c>
      <c r="S74" t="s">
        <v>46</v>
      </c>
    </row>
    <row r="75" spans="1:19" ht="60" x14ac:dyDescent="0.25">
      <c r="A75" s="1" t="s">
        <v>47</v>
      </c>
      <c r="B75" s="1"/>
      <c r="D75" s="1" t="s">
        <v>48</v>
      </c>
      <c r="F75" s="1" t="s">
        <v>69</v>
      </c>
      <c r="H75" s="1" t="s">
        <v>49</v>
      </c>
      <c r="I75" s="1" t="s">
        <v>50</v>
      </c>
      <c r="J75" s="9" t="s">
        <v>51</v>
      </c>
      <c r="K75" s="9" t="s">
        <v>52</v>
      </c>
      <c r="M75" s="1">
        <v>2016</v>
      </c>
      <c r="O75" s="10" t="s">
        <v>3</v>
      </c>
      <c r="P75" s="11"/>
      <c r="Q75" t="s">
        <v>53</v>
      </c>
      <c r="R75" t="s">
        <v>54</v>
      </c>
      <c r="S75" t="s">
        <v>55</v>
      </c>
    </row>
    <row r="76" spans="1:19" x14ac:dyDescent="0.25">
      <c r="A76" t="s">
        <v>56</v>
      </c>
      <c r="D76">
        <v>2231</v>
      </c>
      <c r="F76" s="6">
        <v>13305957</v>
      </c>
      <c r="H76">
        <v>6.75</v>
      </c>
      <c r="I76">
        <v>2.5</v>
      </c>
      <c r="J76">
        <v>7.45</v>
      </c>
      <c r="K76">
        <v>3.45</v>
      </c>
      <c r="M76" s="12">
        <f>(((H76*$D76)*12)+(($F76/100)*I76))</f>
        <v>513359.92500000005</v>
      </c>
      <c r="N76" s="12"/>
      <c r="O76" s="12">
        <f>(((J76*$D76)*12)+(($F76/100)*K76))</f>
        <v>658506.91650000005</v>
      </c>
      <c r="Q76" s="4">
        <f>H76+(I76*(534/100))</f>
        <v>20.100000000000001</v>
      </c>
      <c r="R76" s="4">
        <f>J76+((534/100)*K76)</f>
        <v>25.873000000000001</v>
      </c>
      <c r="S76" s="5">
        <f>(R76-Q76)/Q76</f>
        <v>0.28721393034825865</v>
      </c>
    </row>
    <row r="77" spans="1:19" x14ac:dyDescent="0.25">
      <c r="A77" t="s">
        <v>57</v>
      </c>
      <c r="D77">
        <v>36</v>
      </c>
      <c r="F77" s="6">
        <v>14029258</v>
      </c>
      <c r="H77">
        <f>H76</f>
        <v>6.75</v>
      </c>
      <c r="I77">
        <f>I76</f>
        <v>2.5</v>
      </c>
      <c r="J77">
        <f>J76</f>
        <v>7.45</v>
      </c>
      <c r="K77">
        <f>K76</f>
        <v>3.45</v>
      </c>
      <c r="M77" s="12">
        <f t="shared" ref="M77:M79" si="13">(((H77*D77)*12)+((F77/100)*I77))</f>
        <v>353647.44999999995</v>
      </c>
      <c r="O77" s="12">
        <f t="shared" ref="O77:O79" si="14">(((J77*$D77)*12)+(($F77/100)*K77))</f>
        <v>487227.80099999998</v>
      </c>
    </row>
    <row r="78" spans="1:19" x14ac:dyDescent="0.25">
      <c r="A78" t="s">
        <v>58</v>
      </c>
      <c r="D78">
        <v>34</v>
      </c>
      <c r="F78" s="6">
        <v>6094556</v>
      </c>
      <c r="H78">
        <f>H76</f>
        <v>6.75</v>
      </c>
      <c r="I78">
        <f>I76</f>
        <v>2.5</v>
      </c>
      <c r="J78">
        <f>J76</f>
        <v>7.45</v>
      </c>
      <c r="K78">
        <f>K76</f>
        <v>3.45</v>
      </c>
      <c r="M78" s="12">
        <f t="shared" si="13"/>
        <v>155117.9</v>
      </c>
      <c r="O78" s="12">
        <f t="shared" si="14"/>
        <v>213301.78200000001</v>
      </c>
    </row>
    <row r="79" spans="1:19" x14ac:dyDescent="0.25">
      <c r="A79" t="s">
        <v>59</v>
      </c>
      <c r="D79">
        <v>8</v>
      </c>
      <c r="F79" s="6">
        <v>436600</v>
      </c>
      <c r="H79">
        <f>H76</f>
        <v>6.75</v>
      </c>
      <c r="I79">
        <f>I76</f>
        <v>2.5</v>
      </c>
      <c r="J79">
        <f>J76</f>
        <v>7.45</v>
      </c>
      <c r="K79">
        <f>K76</f>
        <v>3.45</v>
      </c>
      <c r="M79" s="12">
        <f t="shared" si="13"/>
        <v>11563</v>
      </c>
      <c r="O79" s="12">
        <f t="shared" si="14"/>
        <v>15777.900000000001</v>
      </c>
    </row>
    <row r="80" spans="1:19" x14ac:dyDescent="0.25">
      <c r="F80" s="6"/>
    </row>
    <row r="81" spans="1:19" x14ac:dyDescent="0.25">
      <c r="A81" t="s">
        <v>60</v>
      </c>
      <c r="D81">
        <v>268</v>
      </c>
      <c r="F81" s="6">
        <v>1851016</v>
      </c>
      <c r="H81">
        <v>7.4249999999999998</v>
      </c>
      <c r="I81">
        <v>2.75</v>
      </c>
      <c r="J81">
        <f>(J76*0.1)+J76</f>
        <v>8.1950000000000003</v>
      </c>
      <c r="K81">
        <f>(K76*0.1)+K76</f>
        <v>3.7950000000000004</v>
      </c>
      <c r="M81" s="12">
        <f t="shared" ref="M81:M84" si="15">(((H81*D81)*12)+((F81/100)*I81))</f>
        <v>74781.740000000005</v>
      </c>
      <c r="O81" s="12">
        <f t="shared" ref="O81:O84" si="16">(((J81*$D81)*12)+(($F81/100)*K81))</f>
        <v>96601.177200000006</v>
      </c>
      <c r="Q81" s="4">
        <f>H81+(I81*(534/100))</f>
        <v>22.11</v>
      </c>
      <c r="R81" s="4">
        <f>J81+((534/100)*K81)</f>
        <v>28.4603</v>
      </c>
      <c r="S81" s="5">
        <f>(R81-Q81)/Q81</f>
        <v>0.28721393034825876</v>
      </c>
    </row>
    <row r="82" spans="1:19" x14ac:dyDescent="0.25">
      <c r="A82" t="s">
        <v>61</v>
      </c>
      <c r="D82">
        <v>5</v>
      </c>
      <c r="F82" s="6">
        <v>824080</v>
      </c>
      <c r="H82">
        <f>H81</f>
        <v>7.4249999999999998</v>
      </c>
      <c r="I82">
        <f>I81</f>
        <v>2.75</v>
      </c>
      <c r="J82">
        <f>J81</f>
        <v>8.1950000000000003</v>
      </c>
      <c r="K82">
        <f>K81</f>
        <v>3.7950000000000004</v>
      </c>
      <c r="M82" s="12">
        <f t="shared" si="15"/>
        <v>23107.699999999997</v>
      </c>
      <c r="O82" s="12">
        <f t="shared" si="16"/>
        <v>31765.536</v>
      </c>
    </row>
    <row r="83" spans="1:19" x14ac:dyDescent="0.25">
      <c r="A83" t="s">
        <v>62</v>
      </c>
      <c r="D83">
        <v>1</v>
      </c>
      <c r="F83" s="6">
        <v>42520</v>
      </c>
      <c r="H83">
        <f>H81</f>
        <v>7.4249999999999998</v>
      </c>
      <c r="I83">
        <f>I81</f>
        <v>2.75</v>
      </c>
      <c r="J83">
        <f>J81</f>
        <v>8.1950000000000003</v>
      </c>
      <c r="K83">
        <f>K81</f>
        <v>3.7950000000000004</v>
      </c>
      <c r="M83" s="12">
        <f t="shared" si="15"/>
        <v>1258.3999999999999</v>
      </c>
      <c r="O83" s="12">
        <f t="shared" si="16"/>
        <v>1711.9739999999999</v>
      </c>
    </row>
    <row r="84" spans="1:19" x14ac:dyDescent="0.25">
      <c r="A84" t="s">
        <v>63</v>
      </c>
      <c r="D84">
        <v>1</v>
      </c>
      <c r="F84" s="6">
        <v>14</v>
      </c>
      <c r="H84">
        <f>H81</f>
        <v>7.4249999999999998</v>
      </c>
      <c r="I84">
        <f>I81</f>
        <v>2.75</v>
      </c>
      <c r="J84">
        <f>J81</f>
        <v>8.1950000000000003</v>
      </c>
      <c r="K84">
        <f>K81</f>
        <v>3.7950000000000004</v>
      </c>
      <c r="M84" s="12">
        <f t="shared" si="15"/>
        <v>89.484999999999999</v>
      </c>
      <c r="O84" s="12">
        <f t="shared" si="16"/>
        <v>98.871300000000005</v>
      </c>
    </row>
    <row r="85" spans="1:19" x14ac:dyDescent="0.25">
      <c r="F85" s="6"/>
    </row>
    <row r="86" spans="1:19" x14ac:dyDescent="0.25">
      <c r="A86" s="13" t="s">
        <v>64</v>
      </c>
      <c r="B86" s="13"/>
      <c r="C86" s="13"/>
      <c r="D86" s="13">
        <v>11</v>
      </c>
      <c r="E86" s="13"/>
      <c r="F86" s="14">
        <v>59825110</v>
      </c>
      <c r="G86" s="13"/>
      <c r="H86" s="13">
        <f>H76</f>
        <v>6.75</v>
      </c>
      <c r="I86" s="13">
        <f>I76</f>
        <v>2.5</v>
      </c>
      <c r="J86" s="13">
        <f>J76</f>
        <v>7.45</v>
      </c>
      <c r="K86" s="13">
        <f>K76</f>
        <v>3.45</v>
      </c>
      <c r="L86" s="13"/>
      <c r="M86" s="15">
        <f t="shared" ref="M86" si="17">(((H86*D86)*12)+((F86/100)*I86))</f>
        <v>1496518.75</v>
      </c>
      <c r="O86" s="15">
        <f>(((J86*$D86)*12)+(($F86/100)*K86))</f>
        <v>2064949.6949999998</v>
      </c>
    </row>
    <row r="88" spans="1:19" x14ac:dyDescent="0.25">
      <c r="D88">
        <f>SUM(D76:D86)</f>
        <v>2595</v>
      </c>
      <c r="F88" s="7">
        <f>SUM(F76:F86)</f>
        <v>96409111</v>
      </c>
      <c r="M88" s="16">
        <f>SUM(M76:M86)</f>
        <v>2629444.35</v>
      </c>
      <c r="O88" s="16">
        <f>SUM(O76:O86)</f>
        <v>3569941.6529999999</v>
      </c>
      <c r="P88" s="6"/>
    </row>
    <row r="90" spans="1:19" x14ac:dyDescent="0.25">
      <c r="L90" s="17"/>
      <c r="M90" s="6"/>
      <c r="O90" s="7">
        <f>D95</f>
        <v>3530332.0671999999</v>
      </c>
      <c r="P90" t="s">
        <v>65</v>
      </c>
    </row>
    <row r="92" spans="1:19" x14ac:dyDescent="0.25">
      <c r="L92" s="17"/>
      <c r="M92" s="3"/>
      <c r="O92" s="16">
        <f>O88-O90</f>
        <v>39609.585800000001</v>
      </c>
    </row>
    <row r="94" spans="1:19" x14ac:dyDescent="0.25">
      <c r="A94" t="s">
        <v>67</v>
      </c>
    </row>
    <row r="95" spans="1:19" x14ac:dyDescent="0.25">
      <c r="A95" t="s">
        <v>68</v>
      </c>
      <c r="D95" s="6">
        <f>'Debt Srv'!L14</f>
        <v>3530332.0671999999</v>
      </c>
    </row>
    <row r="97" spans="1:19" x14ac:dyDescent="0.25">
      <c r="A97" t="s">
        <v>43</v>
      </c>
    </row>
    <row r="98" spans="1:19" x14ac:dyDescent="0.25">
      <c r="A98" s="26" t="s">
        <v>126</v>
      </c>
      <c r="H98" s="39" t="s">
        <v>44</v>
      </c>
      <c r="I98" s="39"/>
      <c r="J98" s="39"/>
      <c r="K98" s="39"/>
      <c r="M98" s="38" t="s">
        <v>45</v>
      </c>
      <c r="N98" s="38"/>
      <c r="O98" s="38"/>
      <c r="P98" s="8"/>
      <c r="R98">
        <v>534</v>
      </c>
      <c r="S98" t="s">
        <v>46</v>
      </c>
    </row>
    <row r="99" spans="1:19" ht="60" x14ac:dyDescent="0.25">
      <c r="A99" s="1" t="s">
        <v>47</v>
      </c>
      <c r="B99" s="1"/>
      <c r="D99" s="1" t="s">
        <v>48</v>
      </c>
      <c r="F99" s="1" t="s">
        <v>69</v>
      </c>
      <c r="H99" s="1" t="s">
        <v>49</v>
      </c>
      <c r="I99" s="1" t="s">
        <v>50</v>
      </c>
      <c r="J99" s="9" t="s">
        <v>51</v>
      </c>
      <c r="K99" s="9" t="s">
        <v>52</v>
      </c>
      <c r="M99" s="1">
        <v>2016</v>
      </c>
      <c r="O99" s="10" t="s">
        <v>3</v>
      </c>
      <c r="P99" s="11"/>
      <c r="Q99" t="s">
        <v>53</v>
      </c>
      <c r="R99" t="s">
        <v>54</v>
      </c>
      <c r="S99" t="s">
        <v>55</v>
      </c>
    </row>
    <row r="100" spans="1:19" x14ac:dyDescent="0.25">
      <c r="A100" t="s">
        <v>56</v>
      </c>
      <c r="D100">
        <v>2231</v>
      </c>
      <c r="F100" s="6">
        <v>13305957</v>
      </c>
      <c r="H100">
        <v>6.75</v>
      </c>
      <c r="I100">
        <v>2.5</v>
      </c>
      <c r="J100">
        <v>7.45</v>
      </c>
      <c r="K100">
        <v>3.5</v>
      </c>
      <c r="M100" s="12">
        <f>(((H100*$D100)*12)+(($F100/100)*I100))</f>
        <v>513359.92500000005</v>
      </c>
      <c r="N100" s="12"/>
      <c r="O100" s="12">
        <f>(((J100*$D100)*12)+(($F100/100)*K100))</f>
        <v>665159.89500000002</v>
      </c>
      <c r="Q100" s="4">
        <f>H100+(I100*(534/100))</f>
        <v>20.100000000000001</v>
      </c>
      <c r="R100" s="4">
        <f>J100+((534/100)*K100)</f>
        <v>26.139999999999997</v>
      </c>
      <c r="S100" s="5">
        <f>(R100-Q100)/Q100</f>
        <v>0.3004975124378107</v>
      </c>
    </row>
    <row r="101" spans="1:19" x14ac:dyDescent="0.25">
      <c r="A101" t="s">
        <v>57</v>
      </c>
      <c r="D101">
        <v>36</v>
      </c>
      <c r="F101" s="6">
        <v>14029258</v>
      </c>
      <c r="H101">
        <f>H100</f>
        <v>6.75</v>
      </c>
      <c r="I101">
        <f>I100</f>
        <v>2.5</v>
      </c>
      <c r="J101">
        <f>J100</f>
        <v>7.45</v>
      </c>
      <c r="K101">
        <f>K100</f>
        <v>3.5</v>
      </c>
      <c r="M101" s="12">
        <f t="shared" ref="M101:M103" si="18">(((H101*D101)*12)+((F101/100)*I101))</f>
        <v>353647.44999999995</v>
      </c>
      <c r="O101" s="12">
        <f t="shared" ref="O101:O103" si="19">(((J101*$D101)*12)+(($F101/100)*K101))</f>
        <v>494242.43</v>
      </c>
    </row>
    <row r="102" spans="1:19" x14ac:dyDescent="0.25">
      <c r="A102" t="s">
        <v>58</v>
      </c>
      <c r="D102">
        <v>34</v>
      </c>
      <c r="F102" s="6">
        <v>6094556</v>
      </c>
      <c r="H102">
        <f>H100</f>
        <v>6.75</v>
      </c>
      <c r="I102">
        <f>I100</f>
        <v>2.5</v>
      </c>
      <c r="J102">
        <f>J100</f>
        <v>7.45</v>
      </c>
      <c r="K102">
        <f>K100</f>
        <v>3.5</v>
      </c>
      <c r="M102" s="12">
        <f t="shared" si="18"/>
        <v>155117.9</v>
      </c>
      <c r="O102" s="12">
        <f t="shared" si="19"/>
        <v>216349.06</v>
      </c>
    </row>
    <row r="103" spans="1:19" x14ac:dyDescent="0.25">
      <c r="A103" t="s">
        <v>59</v>
      </c>
      <c r="D103">
        <v>8</v>
      </c>
      <c r="F103" s="6">
        <v>436600</v>
      </c>
      <c r="H103">
        <f>H100</f>
        <v>6.75</v>
      </c>
      <c r="I103">
        <f>I100</f>
        <v>2.5</v>
      </c>
      <c r="J103">
        <f>J100</f>
        <v>7.45</v>
      </c>
      <c r="K103">
        <f>K100</f>
        <v>3.5</v>
      </c>
      <c r="M103" s="12">
        <f t="shared" si="18"/>
        <v>11563</v>
      </c>
      <c r="O103" s="12">
        <f t="shared" si="19"/>
        <v>15996.2</v>
      </c>
    </row>
    <row r="104" spans="1:19" x14ac:dyDescent="0.25">
      <c r="F104" s="6"/>
    </row>
    <row r="105" spans="1:19" x14ac:dyDescent="0.25">
      <c r="A105" t="s">
        <v>60</v>
      </c>
      <c r="D105">
        <v>268</v>
      </c>
      <c r="F105" s="6">
        <v>1851016</v>
      </c>
      <c r="H105">
        <v>7.4249999999999998</v>
      </c>
      <c r="I105">
        <v>2.75</v>
      </c>
      <c r="J105">
        <f>(J100*0.1)+J100</f>
        <v>8.1950000000000003</v>
      </c>
      <c r="K105">
        <f>(K100*0.1)+K100</f>
        <v>3.85</v>
      </c>
      <c r="M105" s="12">
        <f t="shared" ref="M105:M108" si="20">(((H105*D105)*12)+((F105/100)*I105))</f>
        <v>74781.740000000005</v>
      </c>
      <c r="O105" s="12">
        <f t="shared" ref="O105:O108" si="21">(((J105*$D105)*12)+(($F105/100)*K105))</f>
        <v>97619.236000000004</v>
      </c>
      <c r="Q105" s="4">
        <f>H105+(I105*(534/100))</f>
        <v>22.11</v>
      </c>
      <c r="R105" s="4">
        <f>J105+((534/100)*K105)</f>
        <v>28.754000000000001</v>
      </c>
      <c r="S105" s="5">
        <f>(R105-Q105)/Q105</f>
        <v>0.30049751243781103</v>
      </c>
    </row>
    <row r="106" spans="1:19" x14ac:dyDescent="0.25">
      <c r="A106" t="s">
        <v>61</v>
      </c>
      <c r="D106">
        <v>5</v>
      </c>
      <c r="F106" s="6">
        <v>824080</v>
      </c>
      <c r="H106">
        <f>H105</f>
        <v>7.4249999999999998</v>
      </c>
      <c r="I106">
        <f>I105</f>
        <v>2.75</v>
      </c>
      <c r="J106">
        <f>J105</f>
        <v>8.1950000000000003</v>
      </c>
      <c r="K106">
        <f>K105</f>
        <v>3.85</v>
      </c>
      <c r="M106" s="12">
        <f t="shared" si="20"/>
        <v>23107.699999999997</v>
      </c>
      <c r="O106" s="12">
        <f t="shared" si="21"/>
        <v>32218.78</v>
      </c>
    </row>
    <row r="107" spans="1:19" x14ac:dyDescent="0.25">
      <c r="A107" t="s">
        <v>62</v>
      </c>
      <c r="D107">
        <v>1</v>
      </c>
      <c r="F107" s="6">
        <v>42520</v>
      </c>
      <c r="H107">
        <f>H105</f>
        <v>7.4249999999999998</v>
      </c>
      <c r="I107">
        <f>I105</f>
        <v>2.75</v>
      </c>
      <c r="J107">
        <f>J105</f>
        <v>8.1950000000000003</v>
      </c>
      <c r="K107">
        <f>K105</f>
        <v>3.85</v>
      </c>
      <c r="M107" s="12">
        <f t="shared" si="20"/>
        <v>1258.3999999999999</v>
      </c>
      <c r="O107" s="12">
        <f t="shared" si="21"/>
        <v>1735.36</v>
      </c>
    </row>
    <row r="108" spans="1:19" x14ac:dyDescent="0.25">
      <c r="A108" t="s">
        <v>63</v>
      </c>
      <c r="D108">
        <v>1</v>
      </c>
      <c r="F108" s="6">
        <v>14</v>
      </c>
      <c r="H108">
        <f>H105</f>
        <v>7.4249999999999998</v>
      </c>
      <c r="I108">
        <f>I105</f>
        <v>2.75</v>
      </c>
      <c r="J108">
        <f>J105</f>
        <v>8.1950000000000003</v>
      </c>
      <c r="K108">
        <f>K105</f>
        <v>3.85</v>
      </c>
      <c r="M108" s="12">
        <f t="shared" si="20"/>
        <v>89.484999999999999</v>
      </c>
      <c r="O108" s="12">
        <f t="shared" si="21"/>
        <v>98.879000000000005</v>
      </c>
    </row>
    <row r="109" spans="1:19" x14ac:dyDescent="0.25">
      <c r="F109" s="6"/>
    </row>
    <row r="110" spans="1:19" x14ac:dyDescent="0.25">
      <c r="A110" s="13" t="s">
        <v>64</v>
      </c>
      <c r="B110" s="13"/>
      <c r="C110" s="13"/>
      <c r="D110" s="13">
        <v>11</v>
      </c>
      <c r="E110" s="13"/>
      <c r="F110" s="14">
        <v>59825110</v>
      </c>
      <c r="G110" s="13"/>
      <c r="H110" s="13">
        <f>H100</f>
        <v>6.75</v>
      </c>
      <c r="I110" s="13">
        <f>I100</f>
        <v>2.5</v>
      </c>
      <c r="J110" s="13">
        <f>J100</f>
        <v>7.45</v>
      </c>
      <c r="K110" s="13">
        <f>K100</f>
        <v>3.5</v>
      </c>
      <c r="L110" s="13"/>
      <c r="M110" s="15">
        <f t="shared" ref="M110" si="22">(((H110*D110)*12)+((F110/100)*I110))</f>
        <v>1496518.75</v>
      </c>
      <c r="O110" s="15">
        <f>(((J110*$D110)*12)+(($F110/100)*K110))</f>
        <v>2094862.2499999998</v>
      </c>
    </row>
    <row r="112" spans="1:19" x14ac:dyDescent="0.25">
      <c r="D112">
        <f>SUM(D100:D110)</f>
        <v>2595</v>
      </c>
      <c r="F112" s="7">
        <f>SUM(F100:F110)</f>
        <v>96409111</v>
      </c>
      <c r="M112" s="16">
        <f>SUM(M100:M110)</f>
        <v>2629444.35</v>
      </c>
      <c r="O112" s="16">
        <f>SUM(O100:O110)</f>
        <v>3618282.09</v>
      </c>
      <c r="P112" s="6"/>
    </row>
    <row r="114" spans="1:19" x14ac:dyDescent="0.25">
      <c r="L114" s="17"/>
      <c r="M114" s="6"/>
      <c r="O114" s="7">
        <f>D119</f>
        <v>3574834.0671999999</v>
      </c>
      <c r="P114" t="s">
        <v>65</v>
      </c>
    </row>
    <row r="116" spans="1:19" x14ac:dyDescent="0.25">
      <c r="L116" s="17"/>
      <c r="M116" s="3"/>
      <c r="O116" s="16">
        <f>O112-O114</f>
        <v>43448.022799999919</v>
      </c>
    </row>
    <row r="118" spans="1:19" x14ac:dyDescent="0.25">
      <c r="A118" t="s">
        <v>67</v>
      </c>
    </row>
    <row r="119" spans="1:19" x14ac:dyDescent="0.25">
      <c r="A119" t="s">
        <v>68</v>
      </c>
      <c r="D119" s="6">
        <f>'Debt Srv'!N14</f>
        <v>3574834.0671999999</v>
      </c>
    </row>
    <row r="121" spans="1:19" x14ac:dyDescent="0.25">
      <c r="A121" t="s">
        <v>43</v>
      </c>
    </row>
    <row r="122" spans="1:19" x14ac:dyDescent="0.25">
      <c r="A122" s="26" t="s">
        <v>127</v>
      </c>
      <c r="H122" s="39" t="s">
        <v>44</v>
      </c>
      <c r="I122" s="39"/>
      <c r="J122" s="39"/>
      <c r="K122" s="39"/>
      <c r="M122" s="38" t="s">
        <v>45</v>
      </c>
      <c r="N122" s="38"/>
      <c r="O122" s="38"/>
      <c r="P122" s="8"/>
      <c r="R122">
        <v>534</v>
      </c>
      <c r="S122" t="s">
        <v>46</v>
      </c>
    </row>
    <row r="123" spans="1:19" ht="60" x14ac:dyDescent="0.25">
      <c r="A123" s="1" t="s">
        <v>47</v>
      </c>
      <c r="B123" s="1"/>
      <c r="D123" s="1" t="s">
        <v>48</v>
      </c>
      <c r="F123" s="1" t="s">
        <v>69</v>
      </c>
      <c r="H123" s="1" t="s">
        <v>49</v>
      </c>
      <c r="I123" s="1" t="s">
        <v>50</v>
      </c>
      <c r="J123" s="9" t="s">
        <v>51</v>
      </c>
      <c r="K123" s="9" t="s">
        <v>52</v>
      </c>
      <c r="M123" s="1">
        <v>2016</v>
      </c>
      <c r="O123" s="10" t="s">
        <v>3</v>
      </c>
      <c r="P123" s="11"/>
      <c r="Q123" t="s">
        <v>53</v>
      </c>
      <c r="R123" t="s">
        <v>54</v>
      </c>
      <c r="S123" t="s">
        <v>55</v>
      </c>
    </row>
    <row r="124" spans="1:19" x14ac:dyDescent="0.25">
      <c r="A124" t="s">
        <v>56</v>
      </c>
      <c r="D124">
        <v>2231</v>
      </c>
      <c r="F124" s="6">
        <v>13305957</v>
      </c>
      <c r="H124">
        <v>6.75</v>
      </c>
      <c r="I124">
        <v>2.5</v>
      </c>
      <c r="J124">
        <v>7.45</v>
      </c>
      <c r="K124">
        <v>3.55</v>
      </c>
      <c r="M124" s="12">
        <f>(((H124*$D124)*12)+(($F124/100)*I124))</f>
        <v>513359.92500000005</v>
      </c>
      <c r="N124" s="12"/>
      <c r="O124" s="12">
        <f>(((J124*$D124)*12)+(($F124/100)*K124))</f>
        <v>671812.87349999999</v>
      </c>
      <c r="Q124" s="4">
        <f>H124+(I124*(534/100))</f>
        <v>20.100000000000001</v>
      </c>
      <c r="R124" s="4">
        <f>J124+((534/100)*K124)</f>
        <v>26.406999999999996</v>
      </c>
      <c r="S124" s="5">
        <f>(R124-Q124)/Q124</f>
        <v>0.31378109452736291</v>
      </c>
    </row>
    <row r="125" spans="1:19" x14ac:dyDescent="0.25">
      <c r="A125" t="s">
        <v>57</v>
      </c>
      <c r="D125">
        <v>36</v>
      </c>
      <c r="F125" s="6">
        <v>14029258</v>
      </c>
      <c r="H125">
        <f>H124</f>
        <v>6.75</v>
      </c>
      <c r="I125">
        <f>I124</f>
        <v>2.5</v>
      </c>
      <c r="J125">
        <f>J124</f>
        <v>7.45</v>
      </c>
      <c r="K125">
        <f>K124</f>
        <v>3.55</v>
      </c>
      <c r="M125" s="12">
        <f t="shared" ref="M125:M127" si="23">(((H125*D125)*12)+((F125/100)*I125))</f>
        <v>353647.44999999995</v>
      </c>
      <c r="O125" s="12">
        <f t="shared" ref="O125:O127" si="24">(((J125*$D125)*12)+(($F125/100)*K125))</f>
        <v>501257.05899999995</v>
      </c>
    </row>
    <row r="126" spans="1:19" x14ac:dyDescent="0.25">
      <c r="A126" t="s">
        <v>58</v>
      </c>
      <c r="D126">
        <v>34</v>
      </c>
      <c r="F126" s="6">
        <v>6094556</v>
      </c>
      <c r="H126">
        <f>H124</f>
        <v>6.75</v>
      </c>
      <c r="I126">
        <f>I124</f>
        <v>2.5</v>
      </c>
      <c r="J126">
        <f>J124</f>
        <v>7.45</v>
      </c>
      <c r="K126">
        <f>K124</f>
        <v>3.55</v>
      </c>
      <c r="M126" s="12">
        <f t="shared" si="23"/>
        <v>155117.9</v>
      </c>
      <c r="O126" s="12">
        <f t="shared" si="24"/>
        <v>219396.33799999999</v>
      </c>
    </row>
    <row r="127" spans="1:19" x14ac:dyDescent="0.25">
      <c r="A127" t="s">
        <v>59</v>
      </c>
      <c r="D127">
        <v>8</v>
      </c>
      <c r="F127" s="6">
        <v>436600</v>
      </c>
      <c r="H127">
        <f>H124</f>
        <v>6.75</v>
      </c>
      <c r="I127">
        <f>I124</f>
        <v>2.5</v>
      </c>
      <c r="J127">
        <f>J124</f>
        <v>7.45</v>
      </c>
      <c r="K127">
        <f>K124</f>
        <v>3.55</v>
      </c>
      <c r="M127" s="12">
        <f t="shared" si="23"/>
        <v>11563</v>
      </c>
      <c r="O127" s="12">
        <f t="shared" si="24"/>
        <v>16214.5</v>
      </c>
    </row>
    <row r="128" spans="1:19" x14ac:dyDescent="0.25">
      <c r="F128" s="6"/>
    </row>
    <row r="129" spans="1:19" x14ac:dyDescent="0.25">
      <c r="A129" t="s">
        <v>60</v>
      </c>
      <c r="D129">
        <v>268</v>
      </c>
      <c r="F129" s="6">
        <v>1851016</v>
      </c>
      <c r="H129">
        <v>7.4249999999999998</v>
      </c>
      <c r="I129">
        <v>2.75</v>
      </c>
      <c r="J129">
        <f>(J124*0.1)+J124</f>
        <v>8.1950000000000003</v>
      </c>
      <c r="K129">
        <f>(K124*0.1)+K124</f>
        <v>3.9049999999999998</v>
      </c>
      <c r="M129" s="12">
        <f t="shared" ref="M129:M132" si="25">(((H129*D129)*12)+((F129/100)*I129))</f>
        <v>74781.740000000005</v>
      </c>
      <c r="O129" s="12">
        <f t="shared" ref="O129:O132" si="26">(((J129*$D129)*12)+(($F129/100)*K129))</f>
        <v>98637.294800000003</v>
      </c>
      <c r="Q129" s="4">
        <f>H129+(I129*(534/100))</f>
        <v>22.11</v>
      </c>
      <c r="R129" s="4">
        <f>J129+((534/100)*K129)</f>
        <v>29.047699999999999</v>
      </c>
      <c r="S129" s="5">
        <f>(R129-Q129)/Q129</f>
        <v>0.31378109452736319</v>
      </c>
    </row>
    <row r="130" spans="1:19" x14ac:dyDescent="0.25">
      <c r="A130" t="s">
        <v>61</v>
      </c>
      <c r="D130">
        <v>5</v>
      </c>
      <c r="F130" s="6">
        <v>824080</v>
      </c>
      <c r="H130">
        <f>H129</f>
        <v>7.4249999999999998</v>
      </c>
      <c r="I130">
        <f>I129</f>
        <v>2.75</v>
      </c>
      <c r="J130">
        <f>J129</f>
        <v>8.1950000000000003</v>
      </c>
      <c r="K130">
        <f>K129</f>
        <v>3.9049999999999998</v>
      </c>
      <c r="M130" s="12">
        <f t="shared" si="25"/>
        <v>23107.699999999997</v>
      </c>
      <c r="O130" s="12">
        <f t="shared" si="26"/>
        <v>32672.023999999998</v>
      </c>
    </row>
    <row r="131" spans="1:19" x14ac:dyDescent="0.25">
      <c r="A131" t="s">
        <v>62</v>
      </c>
      <c r="D131">
        <v>1</v>
      </c>
      <c r="F131" s="6">
        <v>42520</v>
      </c>
      <c r="H131">
        <f>H129</f>
        <v>7.4249999999999998</v>
      </c>
      <c r="I131">
        <f>I129</f>
        <v>2.75</v>
      </c>
      <c r="J131">
        <f>J129</f>
        <v>8.1950000000000003</v>
      </c>
      <c r="K131">
        <f>K129</f>
        <v>3.9049999999999998</v>
      </c>
      <c r="M131" s="12">
        <f t="shared" si="25"/>
        <v>1258.3999999999999</v>
      </c>
      <c r="O131" s="12">
        <f t="shared" si="26"/>
        <v>1758.7459999999999</v>
      </c>
    </row>
    <row r="132" spans="1:19" x14ac:dyDescent="0.25">
      <c r="A132" t="s">
        <v>63</v>
      </c>
      <c r="D132">
        <v>1</v>
      </c>
      <c r="F132" s="6">
        <v>14</v>
      </c>
      <c r="H132">
        <f>H129</f>
        <v>7.4249999999999998</v>
      </c>
      <c r="I132">
        <f>I129</f>
        <v>2.75</v>
      </c>
      <c r="J132">
        <f>J129</f>
        <v>8.1950000000000003</v>
      </c>
      <c r="K132">
        <f>K129</f>
        <v>3.9049999999999998</v>
      </c>
      <c r="M132" s="12">
        <f t="shared" si="25"/>
        <v>89.484999999999999</v>
      </c>
      <c r="O132" s="12">
        <f t="shared" si="26"/>
        <v>98.886700000000005</v>
      </c>
    </row>
    <row r="133" spans="1:19" x14ac:dyDescent="0.25">
      <c r="F133" s="6"/>
    </row>
    <row r="134" spans="1:19" x14ac:dyDescent="0.25">
      <c r="A134" s="13" t="s">
        <v>64</v>
      </c>
      <c r="B134" s="13"/>
      <c r="C134" s="13"/>
      <c r="D134" s="13">
        <v>11</v>
      </c>
      <c r="E134" s="13"/>
      <c r="F134" s="14">
        <v>59825110</v>
      </c>
      <c r="G134" s="13"/>
      <c r="H134" s="13">
        <f>H124</f>
        <v>6.75</v>
      </c>
      <c r="I134" s="13">
        <f>I124</f>
        <v>2.5</v>
      </c>
      <c r="J134" s="13">
        <f>J124</f>
        <v>7.45</v>
      </c>
      <c r="K134" s="13">
        <f>K124</f>
        <v>3.55</v>
      </c>
      <c r="L134" s="13"/>
      <c r="M134" s="15">
        <f t="shared" ref="M134" si="27">(((H134*D134)*12)+((F134/100)*I134))</f>
        <v>1496518.75</v>
      </c>
      <c r="O134" s="15">
        <f>(((J134*$D134)*12)+(($F134/100)*K134))</f>
        <v>2124774.8049999997</v>
      </c>
    </row>
    <row r="136" spans="1:19" x14ac:dyDescent="0.25">
      <c r="D136">
        <f>SUM(D124:D134)</f>
        <v>2595</v>
      </c>
      <c r="F136" s="7">
        <f>SUM(F124:F134)</f>
        <v>96409111</v>
      </c>
      <c r="M136" s="16">
        <f>SUM(M124:M134)</f>
        <v>2629444.35</v>
      </c>
      <c r="O136" s="16">
        <f>SUM(O124:O134)</f>
        <v>3666622.5269999998</v>
      </c>
      <c r="P136" s="6"/>
    </row>
    <row r="138" spans="1:19" x14ac:dyDescent="0.25">
      <c r="L138" s="17"/>
      <c r="M138" s="6"/>
      <c r="O138" s="7">
        <f>D143</f>
        <v>3620895.0671999999</v>
      </c>
      <c r="P138" t="s">
        <v>65</v>
      </c>
    </row>
    <row r="140" spans="1:19" x14ac:dyDescent="0.25">
      <c r="L140" s="17"/>
      <c r="M140" s="3"/>
      <c r="O140" s="16">
        <f>O136-O138</f>
        <v>45727.459799999837</v>
      </c>
    </row>
    <row r="142" spans="1:19" x14ac:dyDescent="0.25">
      <c r="A142" t="s">
        <v>67</v>
      </c>
    </row>
    <row r="143" spans="1:19" x14ac:dyDescent="0.25">
      <c r="A143" t="s">
        <v>68</v>
      </c>
      <c r="D143" s="6">
        <f>'Debt Srv'!P14</f>
        <v>3620895.0671999999</v>
      </c>
    </row>
    <row r="145" spans="1:19" x14ac:dyDescent="0.25">
      <c r="A145" t="s">
        <v>43</v>
      </c>
    </row>
    <row r="146" spans="1:19" x14ac:dyDescent="0.25">
      <c r="A146" s="26" t="s">
        <v>128</v>
      </c>
      <c r="H146" s="39" t="s">
        <v>44</v>
      </c>
      <c r="I146" s="39"/>
      <c r="J146" s="39"/>
      <c r="K146" s="39"/>
      <c r="M146" s="38" t="s">
        <v>45</v>
      </c>
      <c r="N146" s="38"/>
      <c r="O146" s="38"/>
      <c r="P146" s="8"/>
      <c r="R146">
        <v>534</v>
      </c>
      <c r="S146" t="s">
        <v>46</v>
      </c>
    </row>
    <row r="147" spans="1:19" ht="60" x14ac:dyDescent="0.25">
      <c r="A147" s="1" t="s">
        <v>47</v>
      </c>
      <c r="B147" s="1"/>
      <c r="D147" s="1" t="s">
        <v>48</v>
      </c>
      <c r="F147" s="1" t="s">
        <v>69</v>
      </c>
      <c r="H147" s="1" t="s">
        <v>49</v>
      </c>
      <c r="I147" s="1" t="s">
        <v>50</v>
      </c>
      <c r="J147" s="9" t="s">
        <v>51</v>
      </c>
      <c r="K147" s="9" t="s">
        <v>52</v>
      </c>
      <c r="M147" s="1">
        <v>2016</v>
      </c>
      <c r="O147" s="10" t="s">
        <v>3</v>
      </c>
      <c r="P147" s="11"/>
      <c r="Q147" t="s">
        <v>53</v>
      </c>
      <c r="R147" t="s">
        <v>54</v>
      </c>
      <c r="S147" t="s">
        <v>55</v>
      </c>
    </row>
    <row r="148" spans="1:19" x14ac:dyDescent="0.25">
      <c r="A148" t="s">
        <v>56</v>
      </c>
      <c r="D148">
        <v>2231</v>
      </c>
      <c r="F148" s="6">
        <v>13305957</v>
      </c>
      <c r="H148">
        <v>6.75</v>
      </c>
      <c r="I148">
        <v>2.5</v>
      </c>
      <c r="J148">
        <v>7.55</v>
      </c>
      <c r="K148">
        <v>3.55</v>
      </c>
      <c r="M148" s="12">
        <f>(((H148*$D148)*12)+(($F148/100)*I148))</f>
        <v>513359.92500000005</v>
      </c>
      <c r="N148" s="12"/>
      <c r="O148" s="12">
        <f>(((J148*$D148)*12)+(($F148/100)*K148))</f>
        <v>674490.07349999994</v>
      </c>
      <c r="Q148" s="4">
        <f>H148+(I148*(534/100))</f>
        <v>20.100000000000001</v>
      </c>
      <c r="R148" s="4">
        <f>J148+((534/100)*K148)</f>
        <v>26.506999999999998</v>
      </c>
      <c r="S148" s="5">
        <f>(R148-Q148)/Q148</f>
        <v>0.31875621890547245</v>
      </c>
    </row>
    <row r="149" spans="1:19" x14ac:dyDescent="0.25">
      <c r="A149" t="s">
        <v>57</v>
      </c>
      <c r="D149">
        <v>36</v>
      </c>
      <c r="F149" s="6">
        <v>14029258</v>
      </c>
      <c r="H149">
        <f>H148</f>
        <v>6.75</v>
      </c>
      <c r="I149">
        <f>I148</f>
        <v>2.5</v>
      </c>
      <c r="J149">
        <f>J148</f>
        <v>7.55</v>
      </c>
      <c r="K149">
        <f>K148</f>
        <v>3.55</v>
      </c>
      <c r="M149" s="12">
        <f t="shared" ref="M149:M151" si="28">(((H149*D149)*12)+((F149/100)*I149))</f>
        <v>353647.44999999995</v>
      </c>
      <c r="O149" s="12">
        <f t="shared" ref="O149:O151" si="29">(((J149*$D149)*12)+(($F149/100)*K149))</f>
        <v>501300.2589999999</v>
      </c>
    </row>
    <row r="150" spans="1:19" x14ac:dyDescent="0.25">
      <c r="A150" t="s">
        <v>58</v>
      </c>
      <c r="D150">
        <v>34</v>
      </c>
      <c r="F150" s="6">
        <v>6094556</v>
      </c>
      <c r="H150">
        <f>H148</f>
        <v>6.75</v>
      </c>
      <c r="I150">
        <f>I148</f>
        <v>2.5</v>
      </c>
      <c r="J150">
        <f>J148</f>
        <v>7.55</v>
      </c>
      <c r="K150">
        <f>K148</f>
        <v>3.55</v>
      </c>
      <c r="M150" s="12">
        <f t="shared" si="28"/>
        <v>155117.9</v>
      </c>
      <c r="O150" s="12">
        <f t="shared" si="29"/>
        <v>219437.13799999998</v>
      </c>
    </row>
    <row r="151" spans="1:19" x14ac:dyDescent="0.25">
      <c r="A151" t="s">
        <v>59</v>
      </c>
      <c r="D151">
        <v>8</v>
      </c>
      <c r="F151" s="6">
        <v>436600</v>
      </c>
      <c r="H151">
        <f>H148</f>
        <v>6.75</v>
      </c>
      <c r="I151">
        <f>I148</f>
        <v>2.5</v>
      </c>
      <c r="J151">
        <f>J148</f>
        <v>7.55</v>
      </c>
      <c r="K151">
        <f>K148</f>
        <v>3.55</v>
      </c>
      <c r="M151" s="12">
        <f t="shared" si="28"/>
        <v>11563</v>
      </c>
      <c r="O151" s="12">
        <f t="shared" si="29"/>
        <v>16224.099999999999</v>
      </c>
    </row>
    <row r="152" spans="1:19" x14ac:dyDescent="0.25">
      <c r="F152" s="6"/>
    </row>
    <row r="153" spans="1:19" x14ac:dyDescent="0.25">
      <c r="A153" t="s">
        <v>60</v>
      </c>
      <c r="D153">
        <v>268</v>
      </c>
      <c r="F153" s="6">
        <v>1851016</v>
      </c>
      <c r="H153">
        <v>7.4249999999999998</v>
      </c>
      <c r="I153">
        <v>2.75</v>
      </c>
      <c r="J153">
        <f>(J148*0.1)+J148</f>
        <v>8.3049999999999997</v>
      </c>
      <c r="K153">
        <f>(K148*0.1)+K148</f>
        <v>3.9049999999999998</v>
      </c>
      <c r="M153" s="12">
        <f t="shared" ref="M153:M156" si="30">(((H153*D153)*12)+((F153/100)*I153))</f>
        <v>74781.740000000005</v>
      </c>
      <c r="O153" s="12">
        <f t="shared" ref="O153:O156" si="31">(((J153*$D153)*12)+(($F153/100)*K153))</f>
        <v>98991.054799999984</v>
      </c>
      <c r="Q153" s="4">
        <f>H153+(I153*(534/100))</f>
        <v>22.11</v>
      </c>
      <c r="R153" s="4">
        <f>J153+((534/100)*K153)</f>
        <v>29.157699999999998</v>
      </c>
      <c r="S153" s="5">
        <f>(R153-Q153)/Q153</f>
        <v>0.31875621890547262</v>
      </c>
    </row>
    <row r="154" spans="1:19" x14ac:dyDescent="0.25">
      <c r="A154" t="s">
        <v>61</v>
      </c>
      <c r="D154">
        <v>5</v>
      </c>
      <c r="F154" s="6">
        <v>824080</v>
      </c>
      <c r="H154">
        <f>H153</f>
        <v>7.4249999999999998</v>
      </c>
      <c r="I154">
        <f>I153</f>
        <v>2.75</v>
      </c>
      <c r="J154">
        <f>J153</f>
        <v>8.3049999999999997</v>
      </c>
      <c r="K154">
        <f>K153</f>
        <v>3.9049999999999998</v>
      </c>
      <c r="M154" s="12">
        <f t="shared" si="30"/>
        <v>23107.699999999997</v>
      </c>
      <c r="O154" s="12">
        <f t="shared" si="31"/>
        <v>32678.623999999996</v>
      </c>
    </row>
    <row r="155" spans="1:19" x14ac:dyDescent="0.25">
      <c r="A155" t="s">
        <v>62</v>
      </c>
      <c r="D155">
        <v>1</v>
      </c>
      <c r="F155" s="6">
        <v>42520</v>
      </c>
      <c r="H155">
        <f>H153</f>
        <v>7.4249999999999998</v>
      </c>
      <c r="I155">
        <f>I153</f>
        <v>2.75</v>
      </c>
      <c r="J155">
        <f>J153</f>
        <v>8.3049999999999997</v>
      </c>
      <c r="K155">
        <f>K153</f>
        <v>3.9049999999999998</v>
      </c>
      <c r="M155" s="12">
        <f t="shared" si="30"/>
        <v>1258.3999999999999</v>
      </c>
      <c r="O155" s="12">
        <f t="shared" si="31"/>
        <v>1760.066</v>
      </c>
    </row>
    <row r="156" spans="1:19" x14ac:dyDescent="0.25">
      <c r="A156" t="s">
        <v>63</v>
      </c>
      <c r="D156">
        <v>1</v>
      </c>
      <c r="F156" s="6">
        <v>14</v>
      </c>
      <c r="H156">
        <f>H153</f>
        <v>7.4249999999999998</v>
      </c>
      <c r="I156">
        <f>I153</f>
        <v>2.75</v>
      </c>
      <c r="J156">
        <f>J153</f>
        <v>8.3049999999999997</v>
      </c>
      <c r="K156">
        <f>K153</f>
        <v>3.9049999999999998</v>
      </c>
      <c r="M156" s="12">
        <f t="shared" si="30"/>
        <v>89.484999999999999</v>
      </c>
      <c r="O156" s="12">
        <f t="shared" si="31"/>
        <v>100.2067</v>
      </c>
    </row>
    <row r="157" spans="1:19" x14ac:dyDescent="0.25">
      <c r="F157" s="6"/>
    </row>
    <row r="158" spans="1:19" x14ac:dyDescent="0.25">
      <c r="A158" s="13" t="s">
        <v>64</v>
      </c>
      <c r="B158" s="13"/>
      <c r="C158" s="13"/>
      <c r="D158" s="13">
        <v>11</v>
      </c>
      <c r="E158" s="13"/>
      <c r="F158" s="14">
        <v>59825110</v>
      </c>
      <c r="G158" s="13"/>
      <c r="H158" s="13">
        <f>H148</f>
        <v>6.75</v>
      </c>
      <c r="I158" s="13">
        <f>I148</f>
        <v>2.5</v>
      </c>
      <c r="J158" s="13">
        <f>J148</f>
        <v>7.55</v>
      </c>
      <c r="K158" s="13">
        <f>K148</f>
        <v>3.55</v>
      </c>
      <c r="L158" s="13"/>
      <c r="M158" s="15">
        <f t="shared" ref="M158" si="32">(((H158*D158)*12)+((F158/100)*I158))</f>
        <v>1496518.75</v>
      </c>
      <c r="O158" s="15">
        <f>(((J158*$D158)*12)+(($F158/100)*K158))</f>
        <v>2124788.0049999999</v>
      </c>
    </row>
    <row r="160" spans="1:19" x14ac:dyDescent="0.25">
      <c r="D160">
        <f>SUM(D148:D158)</f>
        <v>2595</v>
      </c>
      <c r="F160" s="7">
        <f>SUM(F148:F158)</f>
        <v>96409111</v>
      </c>
      <c r="M160" s="16">
        <f>SUM(M148:M158)</f>
        <v>2629444.35</v>
      </c>
      <c r="O160" s="16">
        <f>SUM(O148:O158)</f>
        <v>3669769.5269999998</v>
      </c>
      <c r="P160" s="6"/>
    </row>
    <row r="162" spans="1:19" x14ac:dyDescent="0.25">
      <c r="L162" s="17"/>
      <c r="M162" s="6"/>
      <c r="O162" s="7">
        <f>D167</f>
        <v>3667322.0671999999</v>
      </c>
      <c r="P162" t="s">
        <v>65</v>
      </c>
    </row>
    <row r="164" spans="1:19" x14ac:dyDescent="0.25">
      <c r="L164" s="17"/>
      <c r="M164" s="3"/>
      <c r="O164" s="16">
        <f>O160-O162</f>
        <v>2447.4597999998368</v>
      </c>
    </row>
    <row r="166" spans="1:19" x14ac:dyDescent="0.25">
      <c r="A166" t="s">
        <v>67</v>
      </c>
    </row>
    <row r="167" spans="1:19" x14ac:dyDescent="0.25">
      <c r="A167" t="s">
        <v>68</v>
      </c>
      <c r="D167" s="6">
        <f>'Debt Srv'!R14</f>
        <v>3667322.0671999999</v>
      </c>
    </row>
    <row r="169" spans="1:19" x14ac:dyDescent="0.25">
      <c r="A169" t="s">
        <v>43</v>
      </c>
    </row>
    <row r="170" spans="1:19" x14ac:dyDescent="0.25">
      <c r="A170" s="26" t="s">
        <v>129</v>
      </c>
      <c r="H170" s="39" t="s">
        <v>44</v>
      </c>
      <c r="I170" s="39"/>
      <c r="J170" s="39"/>
      <c r="K170" s="39"/>
      <c r="M170" s="38" t="s">
        <v>45</v>
      </c>
      <c r="N170" s="38"/>
      <c r="O170" s="38"/>
      <c r="P170" s="8"/>
      <c r="R170">
        <v>534</v>
      </c>
      <c r="S170" t="s">
        <v>46</v>
      </c>
    </row>
    <row r="171" spans="1:19" ht="60" x14ac:dyDescent="0.25">
      <c r="A171" s="1" t="s">
        <v>47</v>
      </c>
      <c r="B171" s="1"/>
      <c r="D171" s="1" t="s">
        <v>48</v>
      </c>
      <c r="F171" s="1" t="s">
        <v>69</v>
      </c>
      <c r="H171" s="1" t="s">
        <v>49</v>
      </c>
      <c r="I171" s="1" t="s">
        <v>50</v>
      </c>
      <c r="J171" s="9" t="s">
        <v>51</v>
      </c>
      <c r="K171" s="9" t="s">
        <v>52</v>
      </c>
      <c r="M171" s="1">
        <v>2016</v>
      </c>
      <c r="O171" s="10" t="s">
        <v>3</v>
      </c>
      <c r="P171" s="11"/>
      <c r="Q171" t="s">
        <v>53</v>
      </c>
      <c r="R171" t="s">
        <v>54</v>
      </c>
      <c r="S171" t="s">
        <v>55</v>
      </c>
    </row>
    <row r="172" spans="1:19" x14ac:dyDescent="0.25">
      <c r="A172" t="s">
        <v>56</v>
      </c>
      <c r="D172">
        <v>2231</v>
      </c>
      <c r="F172" s="6">
        <v>13305957</v>
      </c>
      <c r="H172">
        <v>6.75</v>
      </c>
      <c r="I172">
        <v>2.5</v>
      </c>
      <c r="J172">
        <v>7.6</v>
      </c>
      <c r="K172">
        <v>3.6</v>
      </c>
      <c r="M172" s="12">
        <f>(((H172*$D172)*12)+(($F172/100)*I172))</f>
        <v>513359.92500000005</v>
      </c>
      <c r="N172" s="12"/>
      <c r="O172" s="12">
        <f>(((J172*$D172)*12)+(($F172/100)*K172))</f>
        <v>682481.652</v>
      </c>
      <c r="Q172" s="4">
        <f>H172+(I172*(534/100))</f>
        <v>20.100000000000001</v>
      </c>
      <c r="R172" s="4">
        <f>J172+((534/100)*K172)</f>
        <v>26.823999999999998</v>
      </c>
      <c r="S172" s="5">
        <f>(R172-Q172)/Q172</f>
        <v>0.33452736318407938</v>
      </c>
    </row>
    <row r="173" spans="1:19" x14ac:dyDescent="0.25">
      <c r="A173" t="s">
        <v>57</v>
      </c>
      <c r="D173">
        <v>36</v>
      </c>
      <c r="F173" s="6">
        <v>14029258</v>
      </c>
      <c r="H173">
        <f>H172</f>
        <v>6.75</v>
      </c>
      <c r="I173">
        <f>I172</f>
        <v>2.5</v>
      </c>
      <c r="J173">
        <f>J172</f>
        <v>7.6</v>
      </c>
      <c r="K173">
        <f>K172</f>
        <v>3.6</v>
      </c>
      <c r="M173" s="12">
        <f t="shared" ref="M173:M175" si="33">(((H173*D173)*12)+((F173/100)*I173))</f>
        <v>353647.44999999995</v>
      </c>
      <c r="O173" s="12">
        <f t="shared" ref="O173:O175" si="34">(((J173*$D173)*12)+(($F173/100)*K173))</f>
        <v>508336.48799999995</v>
      </c>
    </row>
    <row r="174" spans="1:19" x14ac:dyDescent="0.25">
      <c r="A174" t="s">
        <v>58</v>
      </c>
      <c r="D174">
        <v>34</v>
      </c>
      <c r="F174" s="6">
        <v>6094556</v>
      </c>
      <c r="H174">
        <f>H172</f>
        <v>6.75</v>
      </c>
      <c r="I174">
        <f>I172</f>
        <v>2.5</v>
      </c>
      <c r="J174">
        <f>J172</f>
        <v>7.6</v>
      </c>
      <c r="K174">
        <f>K172</f>
        <v>3.6</v>
      </c>
      <c r="M174" s="12">
        <f t="shared" si="33"/>
        <v>155117.9</v>
      </c>
      <c r="O174" s="12">
        <f t="shared" si="34"/>
        <v>222504.81599999999</v>
      </c>
    </row>
    <row r="175" spans="1:19" x14ac:dyDescent="0.25">
      <c r="A175" t="s">
        <v>59</v>
      </c>
      <c r="D175">
        <v>8</v>
      </c>
      <c r="F175" s="6">
        <v>436600</v>
      </c>
      <c r="H175">
        <f>H172</f>
        <v>6.75</v>
      </c>
      <c r="I175">
        <f>I172</f>
        <v>2.5</v>
      </c>
      <c r="J175">
        <f>J172</f>
        <v>7.6</v>
      </c>
      <c r="K175">
        <f>K172</f>
        <v>3.6</v>
      </c>
      <c r="M175" s="12">
        <f t="shared" si="33"/>
        <v>11563</v>
      </c>
      <c r="O175" s="12">
        <f t="shared" si="34"/>
        <v>16447.2</v>
      </c>
    </row>
    <row r="176" spans="1:19" x14ac:dyDescent="0.25">
      <c r="F176" s="6"/>
    </row>
    <row r="177" spans="1:19" x14ac:dyDescent="0.25">
      <c r="A177" t="s">
        <v>60</v>
      </c>
      <c r="D177">
        <v>268</v>
      </c>
      <c r="F177" s="6">
        <v>1851016</v>
      </c>
      <c r="H177">
        <v>7.4249999999999998</v>
      </c>
      <c r="I177">
        <v>2.75</v>
      </c>
      <c r="J177">
        <f>(J172*0.1)+J172</f>
        <v>8.36</v>
      </c>
      <c r="K177">
        <f>(K172*0.1)+K172</f>
        <v>3.96</v>
      </c>
      <c r="M177" s="12">
        <f t="shared" ref="M177:M180" si="35">(((H177*D177)*12)+((F177/100)*I177))</f>
        <v>74781.740000000005</v>
      </c>
      <c r="O177" s="12">
        <f t="shared" ref="O177:O180" si="36">(((J177*$D177)*12)+(($F177/100)*K177))</f>
        <v>100185.99359999999</v>
      </c>
      <c r="Q177" s="4">
        <f>H177+(I177*(534/100))</f>
        <v>22.11</v>
      </c>
      <c r="R177" s="4">
        <f>J177+((534/100)*K177)</f>
        <v>29.506399999999999</v>
      </c>
      <c r="S177" s="5">
        <f>(R177-Q177)/Q177</f>
        <v>0.33452736318407961</v>
      </c>
    </row>
    <row r="178" spans="1:19" x14ac:dyDescent="0.25">
      <c r="A178" t="s">
        <v>61</v>
      </c>
      <c r="D178">
        <v>5</v>
      </c>
      <c r="F178" s="6">
        <v>824080</v>
      </c>
      <c r="H178">
        <f>H177</f>
        <v>7.4249999999999998</v>
      </c>
      <c r="I178">
        <f>I177</f>
        <v>2.75</v>
      </c>
      <c r="J178">
        <f>J177</f>
        <v>8.36</v>
      </c>
      <c r="K178">
        <f>K177</f>
        <v>3.96</v>
      </c>
      <c r="M178" s="12">
        <f t="shared" si="35"/>
        <v>23107.699999999997</v>
      </c>
      <c r="O178" s="12">
        <f t="shared" si="36"/>
        <v>33135.167999999998</v>
      </c>
    </row>
    <row r="179" spans="1:19" x14ac:dyDescent="0.25">
      <c r="A179" t="s">
        <v>62</v>
      </c>
      <c r="D179">
        <v>1</v>
      </c>
      <c r="F179" s="6">
        <v>42520</v>
      </c>
      <c r="H179">
        <f>H177</f>
        <v>7.4249999999999998</v>
      </c>
      <c r="I179">
        <f>I177</f>
        <v>2.75</v>
      </c>
      <c r="J179">
        <f>J177</f>
        <v>8.36</v>
      </c>
      <c r="K179">
        <f>K177</f>
        <v>3.96</v>
      </c>
      <c r="M179" s="12">
        <f t="shared" si="35"/>
        <v>1258.3999999999999</v>
      </c>
      <c r="O179" s="12">
        <f t="shared" si="36"/>
        <v>1784.1119999999999</v>
      </c>
    </row>
    <row r="180" spans="1:19" x14ac:dyDescent="0.25">
      <c r="A180" t="s">
        <v>63</v>
      </c>
      <c r="D180">
        <v>1</v>
      </c>
      <c r="F180" s="6">
        <v>14</v>
      </c>
      <c r="H180">
        <f>H177</f>
        <v>7.4249999999999998</v>
      </c>
      <c r="I180">
        <f>I177</f>
        <v>2.75</v>
      </c>
      <c r="J180">
        <f>J177</f>
        <v>8.36</v>
      </c>
      <c r="K180">
        <f>K177</f>
        <v>3.96</v>
      </c>
      <c r="M180" s="12">
        <f t="shared" si="35"/>
        <v>89.484999999999999</v>
      </c>
      <c r="O180" s="12">
        <f t="shared" si="36"/>
        <v>100.87439999999999</v>
      </c>
    </row>
    <row r="181" spans="1:19" x14ac:dyDescent="0.25">
      <c r="F181" s="6"/>
    </row>
    <row r="182" spans="1:19" x14ac:dyDescent="0.25">
      <c r="A182" s="13" t="s">
        <v>64</v>
      </c>
      <c r="B182" s="13"/>
      <c r="C182" s="13"/>
      <c r="D182" s="13">
        <v>11</v>
      </c>
      <c r="E182" s="13"/>
      <c r="F182" s="14">
        <v>59825110</v>
      </c>
      <c r="G182" s="13"/>
      <c r="H182" s="13">
        <f>H172</f>
        <v>6.75</v>
      </c>
      <c r="I182" s="13">
        <f>I172</f>
        <v>2.5</v>
      </c>
      <c r="J182" s="13">
        <f>J172</f>
        <v>7.6</v>
      </c>
      <c r="K182" s="13">
        <f>K172</f>
        <v>3.6</v>
      </c>
      <c r="L182" s="13"/>
      <c r="M182" s="15">
        <f t="shared" ref="M182" si="37">(((H182*D182)*12)+((F182/100)*I182))</f>
        <v>1496518.75</v>
      </c>
      <c r="O182" s="15">
        <f>(((J182*$D182)*12)+(($F182/100)*K182))</f>
        <v>2154707.16</v>
      </c>
    </row>
    <row r="184" spans="1:19" x14ac:dyDescent="0.25">
      <c r="D184">
        <f>SUM(D172:D182)</f>
        <v>2595</v>
      </c>
      <c r="F184" s="7">
        <f>SUM(F172:F182)</f>
        <v>96409111</v>
      </c>
      <c r="M184" s="16">
        <f>SUM(M172:M182)</f>
        <v>2629444.35</v>
      </c>
      <c r="O184" s="16">
        <f>SUM(O172:O182)</f>
        <v>3719683.4639999997</v>
      </c>
      <c r="P184" s="6"/>
    </row>
    <row r="186" spans="1:19" x14ac:dyDescent="0.25">
      <c r="L186" s="17"/>
      <c r="M186" s="6"/>
      <c r="O186" s="7">
        <f>D191</f>
        <v>3713749.0671999999</v>
      </c>
      <c r="P186" t="s">
        <v>65</v>
      </c>
    </row>
    <row r="188" spans="1:19" x14ac:dyDescent="0.25">
      <c r="L188" s="17"/>
      <c r="M188" s="3"/>
      <c r="O188" s="16">
        <f>O184-O186</f>
        <v>5934.3967999997549</v>
      </c>
    </row>
    <row r="190" spans="1:19" x14ac:dyDescent="0.25">
      <c r="A190" t="s">
        <v>67</v>
      </c>
    </row>
    <row r="191" spans="1:19" x14ac:dyDescent="0.25">
      <c r="A191" t="s">
        <v>68</v>
      </c>
      <c r="D191" s="6">
        <f>'Debt Srv'!T14</f>
        <v>3713749.0671999999</v>
      </c>
    </row>
  </sheetData>
  <mergeCells count="16">
    <mergeCell ref="H146:K146"/>
    <mergeCell ref="M146:O146"/>
    <mergeCell ref="H170:K170"/>
    <mergeCell ref="M170:O170"/>
    <mergeCell ref="H74:K74"/>
    <mergeCell ref="M74:O74"/>
    <mergeCell ref="H98:K98"/>
    <mergeCell ref="M98:O98"/>
    <mergeCell ref="H122:K122"/>
    <mergeCell ref="M122:O122"/>
    <mergeCell ref="H2:K2"/>
    <mergeCell ref="M2:O2"/>
    <mergeCell ref="H26:K26"/>
    <mergeCell ref="M26:O26"/>
    <mergeCell ref="M50:O50"/>
    <mergeCell ref="H50:K50"/>
  </mergeCells>
  <pageMargins left="0.25" right="0.25" top="0.75" bottom="0.75" header="0.3" footer="0.3"/>
  <pageSetup paperSize="3" scale="85" orientation="landscape" horizontalDpi="0" verticalDpi="0" r:id="rId1"/>
  <headerFooter>
    <oddFooter>&amp;RUser Analysis
&amp;P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Pro-Forma</vt:lpstr>
      <vt:lpstr>Debt</vt:lpstr>
      <vt:lpstr>Campbellsville</vt:lpstr>
      <vt:lpstr>Debt Srv</vt:lpstr>
      <vt:lpstr>Summary</vt:lpstr>
      <vt:lpstr>User Analysis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 Nicholas</dc:creator>
  <cp:lastModifiedBy>SKO</cp:lastModifiedBy>
  <cp:lastPrinted>2018-04-25T16:34:19Z</cp:lastPrinted>
  <dcterms:created xsi:type="dcterms:W3CDTF">2017-01-24T20:48:18Z</dcterms:created>
  <dcterms:modified xsi:type="dcterms:W3CDTF">2018-05-03T20:22:40Z</dcterms:modified>
</cp:coreProperties>
</file>