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195" yWindow="1650" windowWidth="20490" windowHeight="69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F54" i="1"/>
  <c r="D54" i="1"/>
  <c r="K52" i="1"/>
  <c r="R52" i="1" s="1"/>
  <c r="S52" i="1" s="1"/>
  <c r="J52" i="1"/>
  <c r="I52" i="1"/>
  <c r="Q52" i="1" s="1"/>
  <c r="H52" i="1"/>
  <c r="M52" i="1" s="1"/>
  <c r="I50" i="1"/>
  <c r="H50" i="1"/>
  <c r="M50" i="1" s="1"/>
  <c r="I49" i="1"/>
  <c r="H49" i="1"/>
  <c r="M49" i="1" s="1"/>
  <c r="I48" i="1"/>
  <c r="H48" i="1"/>
  <c r="M48" i="1" s="1"/>
  <c r="Q47" i="1"/>
  <c r="M47" i="1"/>
  <c r="K47" i="1"/>
  <c r="K50" i="1" s="1"/>
  <c r="J47" i="1"/>
  <c r="J49" i="1" s="1"/>
  <c r="K45" i="1"/>
  <c r="J45" i="1"/>
  <c r="O45" i="1" s="1"/>
  <c r="I45" i="1"/>
  <c r="H45" i="1"/>
  <c r="M45" i="1" s="1"/>
  <c r="K44" i="1"/>
  <c r="J44" i="1"/>
  <c r="O44" i="1" s="1"/>
  <c r="I44" i="1"/>
  <c r="H44" i="1"/>
  <c r="M44" i="1" s="1"/>
  <c r="K43" i="1"/>
  <c r="J43" i="1"/>
  <c r="O43" i="1" s="1"/>
  <c r="I43" i="1"/>
  <c r="H43" i="1"/>
  <c r="M43" i="1" s="1"/>
  <c r="M54" i="1" s="1"/>
  <c r="R42" i="1"/>
  <c r="S42" i="1" s="1"/>
  <c r="Q42" i="1"/>
  <c r="O42" i="1"/>
  <c r="M42" i="1"/>
  <c r="O37" i="1"/>
  <c r="F35" i="1"/>
  <c r="D35" i="1"/>
  <c r="K33" i="1"/>
  <c r="R33" i="1" s="1"/>
  <c r="J33" i="1"/>
  <c r="I33" i="1"/>
  <c r="Q33" i="1" s="1"/>
  <c r="H33" i="1"/>
  <c r="M33" i="1" s="1"/>
  <c r="M31" i="1"/>
  <c r="I31" i="1"/>
  <c r="H31" i="1"/>
  <c r="J30" i="1"/>
  <c r="I30" i="1"/>
  <c r="H30" i="1"/>
  <c r="M30" i="1" s="1"/>
  <c r="I29" i="1"/>
  <c r="H29" i="1"/>
  <c r="M29" i="1" s="1"/>
  <c r="Q28" i="1"/>
  <c r="M28" i="1"/>
  <c r="K28" i="1"/>
  <c r="K30" i="1" s="1"/>
  <c r="J28" i="1"/>
  <c r="J31" i="1" s="1"/>
  <c r="K26" i="1"/>
  <c r="J26" i="1"/>
  <c r="I26" i="1"/>
  <c r="H26" i="1"/>
  <c r="M26" i="1" s="1"/>
  <c r="K25" i="1"/>
  <c r="J25" i="1"/>
  <c r="I25" i="1"/>
  <c r="H25" i="1"/>
  <c r="M25" i="1" s="1"/>
  <c r="K24" i="1"/>
  <c r="J24" i="1"/>
  <c r="I24" i="1"/>
  <c r="H24" i="1"/>
  <c r="M24" i="1" s="1"/>
  <c r="R23" i="1"/>
  <c r="S23" i="1" s="1"/>
  <c r="Q23" i="1"/>
  <c r="O23" i="1"/>
  <c r="M23" i="1"/>
  <c r="O18" i="1"/>
  <c r="F16" i="1"/>
  <c r="D16" i="1"/>
  <c r="K14" i="1"/>
  <c r="J14" i="1"/>
  <c r="I14" i="1"/>
  <c r="H14" i="1"/>
  <c r="M12" i="1"/>
  <c r="I12" i="1"/>
  <c r="H12" i="1"/>
  <c r="I11" i="1"/>
  <c r="H11" i="1"/>
  <c r="M11" i="1" s="1"/>
  <c r="I10" i="1"/>
  <c r="H10" i="1"/>
  <c r="M10" i="1" s="1"/>
  <c r="Q9" i="1"/>
  <c r="M9" i="1"/>
  <c r="K9" i="1"/>
  <c r="K11" i="1" s="1"/>
  <c r="J9" i="1"/>
  <c r="J11" i="1" s="1"/>
  <c r="K7" i="1"/>
  <c r="J7" i="1"/>
  <c r="I7" i="1"/>
  <c r="H7" i="1"/>
  <c r="M7" i="1" s="1"/>
  <c r="K6" i="1"/>
  <c r="J6" i="1"/>
  <c r="I6" i="1"/>
  <c r="H6" i="1"/>
  <c r="M6" i="1" s="1"/>
  <c r="K5" i="1"/>
  <c r="J5" i="1"/>
  <c r="I5" i="1"/>
  <c r="H5" i="1"/>
  <c r="M5" i="1" s="1"/>
  <c r="R4" i="1"/>
  <c r="S4" i="1" s="1"/>
  <c r="Q4" i="1"/>
  <c r="O4" i="1"/>
  <c r="M4" i="1"/>
  <c r="O33" i="1" l="1"/>
  <c r="K29" i="1"/>
  <c r="K48" i="1"/>
  <c r="O52" i="1"/>
  <c r="K49" i="1"/>
  <c r="O49" i="1" s="1"/>
  <c r="O30" i="1"/>
  <c r="K31" i="1"/>
  <c r="O31" i="1" s="1"/>
  <c r="O24" i="1"/>
  <c r="O25" i="1"/>
  <c r="O26" i="1"/>
  <c r="O28" i="1"/>
  <c r="R47" i="1"/>
  <c r="S47" i="1" s="1"/>
  <c r="J48" i="1"/>
  <c r="O48" i="1" s="1"/>
  <c r="J50" i="1"/>
  <c r="O50" i="1" s="1"/>
  <c r="O47" i="1"/>
  <c r="M35" i="1"/>
  <c r="S33" i="1"/>
  <c r="R28" i="1"/>
  <c r="S28" i="1" s="1"/>
  <c r="J29" i="1"/>
  <c r="R14" i="1"/>
  <c r="O14" i="1"/>
  <c r="O6" i="1"/>
  <c r="O5" i="1"/>
  <c r="J10" i="1"/>
  <c r="O7" i="1"/>
  <c r="J12" i="1"/>
  <c r="O11" i="1"/>
  <c r="M16" i="1"/>
  <c r="K10" i="1"/>
  <c r="K12" i="1"/>
  <c r="Q14" i="1"/>
  <c r="R9" i="1"/>
  <c r="S9" i="1" s="1"/>
  <c r="M14" i="1"/>
  <c r="O9" i="1"/>
  <c r="O29" i="1" l="1"/>
  <c r="O35" i="1" s="1"/>
  <c r="O39" i="1" s="1"/>
  <c r="O54" i="1"/>
  <c r="O58" i="1" s="1"/>
  <c r="S14" i="1"/>
  <c r="O10" i="1"/>
  <c r="O12" i="1"/>
  <c r="O16" i="1" l="1"/>
  <c r="O20" i="1" s="1"/>
</calcChain>
</file>

<file path=xl/sharedStrings.xml><?xml version="1.0" encoding="utf-8"?>
<sst xmlns="http://schemas.openxmlformats.org/spreadsheetml/2006/main" count="70" uniqueCount="29">
  <si>
    <t>Lebanon Water Works</t>
  </si>
  <si>
    <t>Rates</t>
  </si>
  <si>
    <t>Revenue</t>
  </si>
  <si>
    <t>Cubic Ft</t>
  </si>
  <si>
    <t>Customer Category</t>
  </si>
  <si>
    <t>No. Customers</t>
  </si>
  <si>
    <t>2016 Usage</t>
  </si>
  <si>
    <t>Meter Chg</t>
  </si>
  <si>
    <t>Volume Chg</t>
  </si>
  <si>
    <t>Pro Forma Meter Chg</t>
  </si>
  <si>
    <t>Pro Forma Volume Chg</t>
  </si>
  <si>
    <t>Pro Forma</t>
  </si>
  <si>
    <t xml:space="preserve">Existing </t>
  </si>
  <si>
    <t>Proposed</t>
  </si>
  <si>
    <t>Percent +</t>
  </si>
  <si>
    <t>Residential in town</t>
  </si>
  <si>
    <t>industrial in town</t>
  </si>
  <si>
    <t>commercial in town</t>
  </si>
  <si>
    <t>irrigation in town</t>
  </si>
  <si>
    <t>residential county</t>
  </si>
  <si>
    <t>industrial county</t>
  </si>
  <si>
    <t>commercial county</t>
  </si>
  <si>
    <t>irrigation county</t>
  </si>
  <si>
    <t>MCWD</t>
  </si>
  <si>
    <t>Revenue Required</t>
  </si>
  <si>
    <t>400,000 gallons purchased/Campbellsville</t>
  </si>
  <si>
    <t>Attempts to increase meter charge vs reductions in volume charge</t>
  </si>
  <si>
    <t>`</t>
  </si>
  <si>
    <t>Total 2016 Usage/12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</si>
</sst>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/>
    <xf numFmtId="43" fontId="0" fillId="0" borderId="0" xfId="1" applyFont="1"/>
    <xf numFmtId="44" fontId="0" fillId="0" borderId="0" xfId="2" applyFont="1"/>
    <xf numFmtId="9" fontId="0" fillId="0" borderId="0" xfId="3" applyFont="1"/>
    <xf numFmtId="0" fontId="0" fillId="0" borderId="1" xfId="0" applyFont="1" applyBorder="1"/>
    <xf numFmtId="164" fontId="0" fillId="0" borderId="1" xfId="1" applyNumberFormat="1" applyFont="1" applyBorder="1"/>
    <xf numFmtId="43" fontId="0" fillId="0" borderId="1" xfId="1" applyFon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10" fontId="0" fillId="0" borderId="0" xfId="3" applyNumberFormat="1" applyFont="1"/>
    <xf numFmtId="0" fontId="0" fillId="2" borderId="1" xfId="0" applyFill="1" applyBorder="1" applyAlignment="1">
      <alignment horizontal="center" wrapText="1"/>
    </xf>
    <xf numFmtId="0" fontId="0" fillId="2" borderId="0" xfId="0" applyFill="1"/>
    <xf numFmtId="0" fontId="0" fillId="2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ellen.wimberly/AppData/Local/Microsoft/Windows/Temporary%20Internet%20Files/Content.Outlook/1M9BUJWC/Rate%20Calculations%20Revised%20June%202017-Depreciation%20100-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-Forma"/>
      <sheetName val="Debt Srv"/>
      <sheetName val="Debt"/>
      <sheetName val="User Analysis"/>
      <sheetName val="Campbellsville"/>
      <sheetName val="Summary"/>
      <sheetName val="Bi Annual +"/>
      <sheetName val="Cost Increases"/>
    </sheetNames>
    <sheetDataSet>
      <sheetData sheetId="0"/>
      <sheetData sheetId="1">
        <row r="14">
          <cell r="H14">
            <v>3473578.824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K11" sqref="K11"/>
    </sheetView>
  </sheetViews>
  <sheetFormatPr defaultRowHeight="15" x14ac:dyDescent="0.25"/>
  <cols>
    <col min="3" max="3" width="0" hidden="1" customWidth="1"/>
    <col min="4" max="4" width="10.5703125" bestFit="1" customWidth="1"/>
    <col min="5" max="5" width="3.28515625" customWidth="1"/>
    <col min="6" max="6" width="11.5703125" bestFit="1" customWidth="1"/>
    <col min="7" max="7" width="2.5703125" customWidth="1"/>
    <col min="8" max="8" width="10.140625" bestFit="1" customWidth="1"/>
    <col min="9" max="9" width="11.7109375" bestFit="1" customWidth="1"/>
    <col min="12" max="12" width="1.85546875" customWidth="1"/>
    <col min="13" max="13" width="13.28515625" customWidth="1"/>
    <col min="14" max="14" width="1.85546875" customWidth="1"/>
    <col min="15" max="15" width="13.28515625" bestFit="1" customWidth="1"/>
    <col min="16" max="16" width="3.5703125" customWidth="1"/>
    <col min="17" max="18" width="14.28515625" bestFit="1" customWidth="1"/>
  </cols>
  <sheetData>
    <row r="1" spans="1:19" x14ac:dyDescent="0.25">
      <c r="A1" t="s">
        <v>0</v>
      </c>
      <c r="H1" s="22" t="s">
        <v>26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1" t="s">
        <v>25</v>
      </c>
      <c r="H2" s="21" t="s">
        <v>1</v>
      </c>
      <c r="I2" s="21"/>
      <c r="J2" s="21"/>
      <c r="K2" s="21"/>
      <c r="M2" s="21" t="s">
        <v>2</v>
      </c>
      <c r="N2" s="21"/>
      <c r="O2" s="21"/>
      <c r="P2" s="2"/>
      <c r="Q2" s="3"/>
      <c r="R2" s="3">
        <v>534</v>
      </c>
      <c r="S2" s="3" t="s">
        <v>3</v>
      </c>
    </row>
    <row r="3" spans="1:19" ht="60" x14ac:dyDescent="0.25">
      <c r="A3" s="3" t="s">
        <v>4</v>
      </c>
      <c r="B3" s="3"/>
      <c r="D3" s="3" t="s">
        <v>5</v>
      </c>
      <c r="E3" s="3"/>
      <c r="F3" s="3" t="s">
        <v>6</v>
      </c>
      <c r="H3" s="3" t="s">
        <v>7</v>
      </c>
      <c r="I3" s="3" t="s">
        <v>8</v>
      </c>
      <c r="J3" s="17" t="s">
        <v>9</v>
      </c>
      <c r="K3" s="17" t="s">
        <v>10</v>
      </c>
      <c r="M3" s="3">
        <v>2016</v>
      </c>
      <c r="O3" s="4" t="s">
        <v>11</v>
      </c>
      <c r="P3" s="5"/>
      <c r="Q3" s="3" t="s">
        <v>12</v>
      </c>
      <c r="R3" s="3" t="s">
        <v>13</v>
      </c>
      <c r="S3" t="s">
        <v>14</v>
      </c>
    </row>
    <row r="4" spans="1:19" x14ac:dyDescent="0.25">
      <c r="A4" t="s">
        <v>15</v>
      </c>
      <c r="D4">
        <v>2231</v>
      </c>
      <c r="F4" s="6">
        <v>13305957</v>
      </c>
      <c r="H4">
        <v>6.75</v>
      </c>
      <c r="I4">
        <v>2.5</v>
      </c>
      <c r="J4" s="18">
        <v>8.35</v>
      </c>
      <c r="K4" s="18">
        <v>3.35</v>
      </c>
      <c r="M4" s="7">
        <f>(((H4*$D4)*12)+(($F4/100)*I4))</f>
        <v>513359.92500000005</v>
      </c>
      <c r="N4" s="7"/>
      <c r="O4" s="7">
        <f>(((J4*$D4)*12)+(($F4/100)*K4))</f>
        <v>669295.75950000004</v>
      </c>
      <c r="Q4" s="8">
        <f>H4+(I4*(534/100))</f>
        <v>20.100000000000001</v>
      </c>
      <c r="R4" s="8">
        <f>J4+((534/100)*K4)</f>
        <v>26.238999999999997</v>
      </c>
      <c r="S4" s="9">
        <f>(R4-Q4)/Q4</f>
        <v>0.30542288557213909</v>
      </c>
    </row>
    <row r="5" spans="1:19" x14ac:dyDescent="0.25">
      <c r="A5" t="s">
        <v>16</v>
      </c>
      <c r="D5">
        <v>36</v>
      </c>
      <c r="F5" s="6">
        <v>14029258</v>
      </c>
      <c r="H5">
        <f>H4</f>
        <v>6.75</v>
      </c>
      <c r="I5">
        <f>I4</f>
        <v>2.5</v>
      </c>
      <c r="J5" s="18">
        <f>J4</f>
        <v>8.35</v>
      </c>
      <c r="K5" s="18">
        <f>K4</f>
        <v>3.35</v>
      </c>
      <c r="M5" s="7">
        <f t="shared" ref="M5:M7" si="0">(((H5*D5)*12)+((F5/100)*I5))</f>
        <v>353647.44999999995</v>
      </c>
      <c r="O5" s="7">
        <f t="shared" ref="O5:O7" si="1">(((J5*$D5)*12)+(($F5/100)*K5))</f>
        <v>473587.34299999999</v>
      </c>
    </row>
    <row r="6" spans="1:19" x14ac:dyDescent="0.25">
      <c r="A6" t="s">
        <v>17</v>
      </c>
      <c r="D6">
        <v>34</v>
      </c>
      <c r="F6" s="6">
        <v>6094556</v>
      </c>
      <c r="H6">
        <f>H4</f>
        <v>6.75</v>
      </c>
      <c r="I6">
        <f>I4</f>
        <v>2.5</v>
      </c>
      <c r="J6" s="18">
        <f>J4</f>
        <v>8.35</v>
      </c>
      <c r="K6" s="18">
        <f>K4</f>
        <v>3.35</v>
      </c>
      <c r="M6" s="7">
        <f t="shared" si="0"/>
        <v>155117.9</v>
      </c>
      <c r="O6" s="7">
        <f t="shared" si="1"/>
        <v>207574.42599999998</v>
      </c>
    </row>
    <row r="7" spans="1:19" x14ac:dyDescent="0.25">
      <c r="A7" t="s">
        <v>18</v>
      </c>
      <c r="D7">
        <v>8</v>
      </c>
      <c r="F7" s="6">
        <v>436600</v>
      </c>
      <c r="H7">
        <f>H4</f>
        <v>6.75</v>
      </c>
      <c r="I7">
        <f>I4</f>
        <v>2.5</v>
      </c>
      <c r="J7" s="18">
        <f>J4</f>
        <v>8.35</v>
      </c>
      <c r="K7" s="18">
        <f>K4</f>
        <v>3.35</v>
      </c>
      <c r="M7" s="7">
        <f t="shared" si="0"/>
        <v>11563</v>
      </c>
      <c r="O7" s="7">
        <f t="shared" si="1"/>
        <v>15427.7</v>
      </c>
    </row>
    <row r="8" spans="1:19" x14ac:dyDescent="0.25">
      <c r="F8" s="6"/>
      <c r="J8" s="18"/>
      <c r="K8" s="18"/>
    </row>
    <row r="9" spans="1:19" x14ac:dyDescent="0.25">
      <c r="A9" t="s">
        <v>19</v>
      </c>
      <c r="D9">
        <v>268</v>
      </c>
      <c r="F9" s="6">
        <v>1851016</v>
      </c>
      <c r="H9">
        <v>7.4249999999999998</v>
      </c>
      <c r="I9">
        <v>2.75</v>
      </c>
      <c r="J9" s="18">
        <f>(J4*0.1)+J4</f>
        <v>9.1849999999999987</v>
      </c>
      <c r="K9" s="18">
        <f>(K4*0.1)+K4</f>
        <v>3.6850000000000001</v>
      </c>
      <c r="M9" s="7">
        <f t="shared" ref="M9:M12" si="2">(((H9*D9)*12)+((F9/100)*I9))</f>
        <v>74781.740000000005</v>
      </c>
      <c r="O9" s="7">
        <f t="shared" ref="O9:O12" si="3">(((J9*$D9)*12)+(($F9/100)*K9))</f>
        <v>97748.89959999999</v>
      </c>
      <c r="Q9" s="8">
        <f>H9+(I9*(534/100))</f>
        <v>22.11</v>
      </c>
      <c r="R9" s="8">
        <f>J9+((534/100)*K9)</f>
        <v>28.8629</v>
      </c>
      <c r="S9" s="9">
        <f>(R9-Q9)/Q9</f>
        <v>0.30542288557213931</v>
      </c>
    </row>
    <row r="10" spans="1:19" x14ac:dyDescent="0.25">
      <c r="A10" t="s">
        <v>20</v>
      </c>
      <c r="D10">
        <v>5</v>
      </c>
      <c r="F10" s="6">
        <v>824080</v>
      </c>
      <c r="H10">
        <f>H9</f>
        <v>7.4249999999999998</v>
      </c>
      <c r="I10">
        <f>I9</f>
        <v>2.75</v>
      </c>
      <c r="J10" s="18">
        <f>J9</f>
        <v>9.1849999999999987</v>
      </c>
      <c r="K10" s="18">
        <f>K9</f>
        <v>3.6850000000000001</v>
      </c>
      <c r="M10" s="7">
        <f t="shared" si="2"/>
        <v>23107.699999999997</v>
      </c>
      <c r="O10" s="7">
        <f t="shared" si="3"/>
        <v>30918.447999999997</v>
      </c>
    </row>
    <row r="11" spans="1:19" x14ac:dyDescent="0.25">
      <c r="A11" t="s">
        <v>21</v>
      </c>
      <c r="D11">
        <v>1</v>
      </c>
      <c r="F11" s="6">
        <v>42520</v>
      </c>
      <c r="H11">
        <f>H9</f>
        <v>7.4249999999999998</v>
      </c>
      <c r="I11">
        <f>I9</f>
        <v>2.75</v>
      </c>
      <c r="J11" s="18">
        <f>J9</f>
        <v>9.1849999999999987</v>
      </c>
      <c r="K11" s="18">
        <f>K9</f>
        <v>3.6850000000000001</v>
      </c>
      <c r="M11" s="7">
        <f t="shared" si="2"/>
        <v>1258.3999999999999</v>
      </c>
      <c r="O11" s="7">
        <f t="shared" si="3"/>
        <v>1677.0820000000001</v>
      </c>
    </row>
    <row r="12" spans="1:19" x14ac:dyDescent="0.25">
      <c r="A12" t="s">
        <v>22</v>
      </c>
      <c r="D12">
        <v>1</v>
      </c>
      <c r="F12" s="6">
        <v>14</v>
      </c>
      <c r="H12">
        <f>H9</f>
        <v>7.4249999999999998</v>
      </c>
      <c r="I12">
        <f>I9</f>
        <v>2.75</v>
      </c>
      <c r="J12" s="18">
        <f>J9</f>
        <v>9.1849999999999987</v>
      </c>
      <c r="K12" s="18">
        <f>K9</f>
        <v>3.6850000000000001</v>
      </c>
      <c r="M12" s="7">
        <f t="shared" si="2"/>
        <v>89.484999999999999</v>
      </c>
      <c r="O12" s="7">
        <f t="shared" si="3"/>
        <v>110.73589999999999</v>
      </c>
    </row>
    <row r="13" spans="1:19" x14ac:dyDescent="0.25">
      <c r="F13" s="6"/>
      <c r="J13" s="18"/>
      <c r="K13" s="18"/>
      <c r="Q13" s="3"/>
      <c r="R13" s="3"/>
      <c r="S13" s="20" t="s">
        <v>28</v>
      </c>
    </row>
    <row r="14" spans="1:19" x14ac:dyDescent="0.25">
      <c r="A14" s="10" t="s">
        <v>23</v>
      </c>
      <c r="B14" s="10"/>
      <c r="C14" s="10"/>
      <c r="D14" s="10">
        <v>11</v>
      </c>
      <c r="E14" s="10"/>
      <c r="F14" s="11">
        <v>59825110</v>
      </c>
      <c r="G14" s="10"/>
      <c r="H14" s="10">
        <f>H4</f>
        <v>6.75</v>
      </c>
      <c r="I14" s="10">
        <f>I4</f>
        <v>2.5</v>
      </c>
      <c r="J14" s="19">
        <f>J4</f>
        <v>8.35</v>
      </c>
      <c r="K14" s="19">
        <f>K4</f>
        <v>3.35</v>
      </c>
      <c r="L14" s="10"/>
      <c r="M14" s="12">
        <f t="shared" ref="M14" si="4">(((H14*D14)*12)+((F14/100)*I14))</f>
        <v>1496518.75</v>
      </c>
      <c r="O14" s="12">
        <f>(((J14*$D14)*12)+(($F14/100)*K14))</f>
        <v>2005243.385</v>
      </c>
      <c r="Q14" s="8">
        <f>((D14*H14)*12)+((F14/100)*I14)</f>
        <v>1496518.75</v>
      </c>
      <c r="R14" s="8">
        <f>((D14*H14)*12)+((F14/100)*K14)</f>
        <v>2005032.1850000001</v>
      </c>
      <c r="S14" s="9">
        <f>(R14-Q14)/Q14</f>
        <v>0.33979757019415896</v>
      </c>
    </row>
    <row r="16" spans="1:19" x14ac:dyDescent="0.25">
      <c r="D16">
        <f>SUM(D4:D14)</f>
        <v>2595</v>
      </c>
      <c r="F16" s="13">
        <f>SUM(F4:F14)</f>
        <v>96409111</v>
      </c>
      <c r="M16" s="14">
        <f>SUM(M4:M14)</f>
        <v>2629444.35</v>
      </c>
      <c r="O16" s="14">
        <f>SUM(O4:O14)</f>
        <v>3501583.7790000001</v>
      </c>
      <c r="P16" s="6"/>
    </row>
    <row r="18" spans="1:19" x14ac:dyDescent="0.25">
      <c r="L18" s="15"/>
      <c r="M18" s="6"/>
      <c r="O18" s="13">
        <f>'[1]Debt Srv'!$H$14</f>
        <v>3473578.824</v>
      </c>
      <c r="P18" t="s">
        <v>24</v>
      </c>
    </row>
    <row r="20" spans="1:19" x14ac:dyDescent="0.25">
      <c r="L20" s="15"/>
      <c r="M20" s="16"/>
      <c r="O20" s="14">
        <f>O16-O18</f>
        <v>28004.955000000075</v>
      </c>
    </row>
    <row r="22" spans="1:19" ht="60" x14ac:dyDescent="0.25">
      <c r="A22" s="3" t="s">
        <v>4</v>
      </c>
      <c r="B22" s="3"/>
      <c r="D22" s="3" t="s">
        <v>5</v>
      </c>
      <c r="F22" s="3" t="s">
        <v>6</v>
      </c>
      <c r="H22" s="3" t="s">
        <v>7</v>
      </c>
      <c r="I22" s="3" t="s">
        <v>8</v>
      </c>
      <c r="J22" s="17" t="s">
        <v>9</v>
      </c>
      <c r="K22" s="17" t="s">
        <v>10</v>
      </c>
      <c r="M22" s="3">
        <v>2016</v>
      </c>
      <c r="O22" s="4" t="s">
        <v>11</v>
      </c>
      <c r="P22" s="5"/>
      <c r="Q22" t="s">
        <v>12</v>
      </c>
      <c r="R22" t="s">
        <v>13</v>
      </c>
      <c r="S22" t="s">
        <v>14</v>
      </c>
    </row>
    <row r="23" spans="1:19" x14ac:dyDescent="0.25">
      <c r="A23" t="s">
        <v>15</v>
      </c>
      <c r="D23">
        <v>2231</v>
      </c>
      <c r="F23" s="6">
        <v>13305957</v>
      </c>
      <c r="H23">
        <v>6.75</v>
      </c>
      <c r="I23">
        <v>2.5</v>
      </c>
      <c r="J23" s="18">
        <v>9.35</v>
      </c>
      <c r="K23" s="18">
        <v>3.3</v>
      </c>
      <c r="M23" s="7">
        <f>(((H23*$D23)*12)+(($F23/100)*I23))</f>
        <v>513359.92500000005</v>
      </c>
      <c r="N23" s="7"/>
      <c r="O23" s="7">
        <f>(((J23*$D23)*12)+(($F23/100)*K23))</f>
        <v>689414.78099999996</v>
      </c>
      <c r="Q23" s="8">
        <f>H23+(I23*(534/100))</f>
        <v>20.100000000000001</v>
      </c>
      <c r="R23" s="8">
        <f>J23+((534/100)*K23)</f>
        <v>26.972000000000001</v>
      </c>
      <c r="S23" s="9">
        <f>(R23-Q23)/Q23</f>
        <v>0.34189054726368157</v>
      </c>
    </row>
    <row r="24" spans="1:19" x14ac:dyDescent="0.25">
      <c r="A24" t="s">
        <v>16</v>
      </c>
      <c r="D24">
        <v>36</v>
      </c>
      <c r="F24" s="6">
        <v>14029258</v>
      </c>
      <c r="H24">
        <f>H23</f>
        <v>6.75</v>
      </c>
      <c r="I24">
        <f>I23</f>
        <v>2.5</v>
      </c>
      <c r="J24" s="18">
        <f>J23</f>
        <v>9.35</v>
      </c>
      <c r="K24" s="18">
        <f>K23</f>
        <v>3.3</v>
      </c>
      <c r="M24" s="7">
        <f t="shared" ref="M24:M26" si="5">(((H24*D24)*12)+((F24/100)*I24))</f>
        <v>353647.44999999995</v>
      </c>
      <c r="O24" s="7">
        <f t="shared" ref="O24:O26" si="6">(((J24*$D24)*12)+(($F24/100)*K24))</f>
        <v>467004.71399999992</v>
      </c>
    </row>
    <row r="25" spans="1:19" x14ac:dyDescent="0.25">
      <c r="A25" t="s">
        <v>17</v>
      </c>
      <c r="D25">
        <v>34</v>
      </c>
      <c r="F25" s="6">
        <v>6094556</v>
      </c>
      <c r="H25">
        <f>H23</f>
        <v>6.75</v>
      </c>
      <c r="I25">
        <f>I23</f>
        <v>2.5</v>
      </c>
      <c r="J25" s="18">
        <f>J23</f>
        <v>9.35</v>
      </c>
      <c r="K25" s="18">
        <f>K23</f>
        <v>3.3</v>
      </c>
      <c r="M25" s="7">
        <f t="shared" si="5"/>
        <v>155117.9</v>
      </c>
      <c r="O25" s="7">
        <f t="shared" si="6"/>
        <v>204935.14799999996</v>
      </c>
    </row>
    <row r="26" spans="1:19" x14ac:dyDescent="0.25">
      <c r="A26" t="s">
        <v>18</v>
      </c>
      <c r="D26">
        <v>8</v>
      </c>
      <c r="F26" s="6">
        <v>436600</v>
      </c>
      <c r="H26">
        <f>H23</f>
        <v>6.75</v>
      </c>
      <c r="I26">
        <f>I23</f>
        <v>2.5</v>
      </c>
      <c r="J26" s="18">
        <f>J23</f>
        <v>9.35</v>
      </c>
      <c r="K26" s="18">
        <f>K23</f>
        <v>3.3</v>
      </c>
      <c r="M26" s="7">
        <f t="shared" si="5"/>
        <v>11563</v>
      </c>
      <c r="O26" s="7">
        <f t="shared" si="6"/>
        <v>15305.4</v>
      </c>
    </row>
    <row r="27" spans="1:19" x14ac:dyDescent="0.25">
      <c r="F27" s="6"/>
      <c r="J27" s="18"/>
      <c r="K27" s="18"/>
    </row>
    <row r="28" spans="1:19" x14ac:dyDescent="0.25">
      <c r="A28" t="s">
        <v>19</v>
      </c>
      <c r="D28">
        <v>268</v>
      </c>
      <c r="F28" s="6">
        <v>1851016</v>
      </c>
      <c r="H28">
        <v>7.4249999999999998</v>
      </c>
      <c r="I28">
        <v>2.75</v>
      </c>
      <c r="J28" s="18">
        <f>(J23*0.1)+J23</f>
        <v>10.285</v>
      </c>
      <c r="K28" s="18">
        <f>(K23*0.1)+K23</f>
        <v>3.63</v>
      </c>
      <c r="M28" s="7">
        <f t="shared" ref="M28:M31" si="7">(((H28*D28)*12)+((F28/100)*I28))</f>
        <v>74781.740000000005</v>
      </c>
      <c r="O28" s="7">
        <f t="shared" ref="O28:O31" si="8">(((J28*$D28)*12)+(($F28/100)*K28))</f>
        <v>100268.4408</v>
      </c>
      <c r="Q28" s="8">
        <f>H28+(I28*(534/100))</f>
        <v>22.11</v>
      </c>
      <c r="R28" s="8">
        <f>J28+((534/100)*K28)</f>
        <v>29.6692</v>
      </c>
      <c r="S28" s="9">
        <f>(R28-Q28)/Q28</f>
        <v>0.34189054726368162</v>
      </c>
    </row>
    <row r="29" spans="1:19" x14ac:dyDescent="0.25">
      <c r="A29" t="s">
        <v>20</v>
      </c>
      <c r="D29">
        <v>5</v>
      </c>
      <c r="F29" s="6">
        <v>824080</v>
      </c>
      <c r="H29">
        <f>H28</f>
        <v>7.4249999999999998</v>
      </c>
      <c r="I29">
        <f>I28</f>
        <v>2.75</v>
      </c>
      <c r="J29" s="18">
        <f>J28</f>
        <v>10.285</v>
      </c>
      <c r="K29" s="18">
        <f>K28</f>
        <v>3.63</v>
      </c>
      <c r="M29" s="7">
        <f t="shared" si="7"/>
        <v>23107.699999999997</v>
      </c>
      <c r="O29" s="7">
        <f t="shared" si="8"/>
        <v>30531.203999999994</v>
      </c>
    </row>
    <row r="30" spans="1:19" x14ac:dyDescent="0.25">
      <c r="A30" t="s">
        <v>21</v>
      </c>
      <c r="D30">
        <v>1</v>
      </c>
      <c r="F30" s="6">
        <v>42520</v>
      </c>
      <c r="H30">
        <f>H28</f>
        <v>7.4249999999999998</v>
      </c>
      <c r="I30">
        <f>I28</f>
        <v>2.75</v>
      </c>
      <c r="J30" s="18">
        <f>J28</f>
        <v>10.285</v>
      </c>
      <c r="K30" s="18">
        <f>K28</f>
        <v>3.63</v>
      </c>
      <c r="M30" s="7">
        <f t="shared" si="7"/>
        <v>1258.3999999999999</v>
      </c>
      <c r="O30" s="7">
        <f t="shared" si="8"/>
        <v>1666.896</v>
      </c>
    </row>
    <row r="31" spans="1:19" x14ac:dyDescent="0.25">
      <c r="A31" t="s">
        <v>22</v>
      </c>
      <c r="D31">
        <v>1</v>
      </c>
      <c r="F31" s="6">
        <v>14</v>
      </c>
      <c r="H31">
        <f>H28</f>
        <v>7.4249999999999998</v>
      </c>
      <c r="I31">
        <f>I28</f>
        <v>2.75</v>
      </c>
      <c r="J31" s="18">
        <f>J28</f>
        <v>10.285</v>
      </c>
      <c r="K31" s="18">
        <f>K28</f>
        <v>3.63</v>
      </c>
      <c r="M31" s="7">
        <f t="shared" si="7"/>
        <v>89.484999999999999</v>
      </c>
      <c r="O31" s="7">
        <f t="shared" si="8"/>
        <v>123.9282</v>
      </c>
    </row>
    <row r="32" spans="1:19" x14ac:dyDescent="0.25">
      <c r="F32" s="6"/>
      <c r="J32" s="18"/>
      <c r="K32" s="18"/>
    </row>
    <row r="33" spans="1:19" x14ac:dyDescent="0.25">
      <c r="A33" s="10" t="s">
        <v>23</v>
      </c>
      <c r="B33" s="10"/>
      <c r="C33" s="10"/>
      <c r="D33" s="10">
        <v>11</v>
      </c>
      <c r="E33" s="10"/>
      <c r="F33" s="11">
        <v>59825110</v>
      </c>
      <c r="G33" s="10"/>
      <c r="H33" s="10">
        <f>H23</f>
        <v>6.75</v>
      </c>
      <c r="I33" s="10">
        <f>I23</f>
        <v>2.5</v>
      </c>
      <c r="J33" s="19">
        <f>J23</f>
        <v>9.35</v>
      </c>
      <c r="K33" s="19">
        <f>K23</f>
        <v>3.3</v>
      </c>
      <c r="L33" s="10"/>
      <c r="M33" s="12">
        <f t="shared" ref="M33" si="9">(((H33*D33)*12)+((F33/100)*I33))</f>
        <v>1496518.75</v>
      </c>
      <c r="O33" s="12">
        <f>(((J33*$D33)*12)+(($F33/100)*K33))</f>
        <v>1975462.8299999998</v>
      </c>
      <c r="Q33" s="8">
        <f>((D33*H33)*12)+((F33/100)*I33)</f>
        <v>1496518.75</v>
      </c>
      <c r="R33" s="8">
        <f>((D33*H33)*12)+((F33/100)*K33)</f>
        <v>1975119.63</v>
      </c>
      <c r="S33" s="9">
        <f>(R33-Q33)/Q33</f>
        <v>0.31980947782979657</v>
      </c>
    </row>
    <row r="35" spans="1:19" x14ac:dyDescent="0.25">
      <c r="D35">
        <f>SUM(D23:D33)</f>
        <v>2595</v>
      </c>
      <c r="F35" s="13">
        <f>SUM(F23:F33)</f>
        <v>96409111</v>
      </c>
      <c r="M35" s="14">
        <f>SUM(M23:M33)</f>
        <v>2629444.35</v>
      </c>
      <c r="O35" s="14">
        <f>SUM(O23:O33)</f>
        <v>3484713.3419999992</v>
      </c>
      <c r="P35" s="6"/>
    </row>
    <row r="37" spans="1:19" x14ac:dyDescent="0.25">
      <c r="L37" s="15"/>
      <c r="M37" s="6"/>
      <c r="O37" s="13">
        <f>'[1]Debt Srv'!$H$14</f>
        <v>3473578.824</v>
      </c>
      <c r="P37" t="s">
        <v>24</v>
      </c>
    </row>
    <row r="39" spans="1:19" x14ac:dyDescent="0.25">
      <c r="L39" s="15"/>
      <c r="M39" s="16"/>
      <c r="O39" s="14">
        <f>O35-O37</f>
        <v>11134.517999999225</v>
      </c>
    </row>
    <row r="41" spans="1:19" ht="60" x14ac:dyDescent="0.25">
      <c r="A41" s="3" t="s">
        <v>27</v>
      </c>
      <c r="B41" s="3"/>
      <c r="D41" s="3" t="s">
        <v>5</v>
      </c>
      <c r="F41" s="3" t="s">
        <v>6</v>
      </c>
      <c r="H41" s="3" t="s">
        <v>7</v>
      </c>
      <c r="I41" s="3" t="s">
        <v>8</v>
      </c>
      <c r="J41" s="17" t="s">
        <v>9</v>
      </c>
      <c r="K41" s="17" t="s">
        <v>10</v>
      </c>
      <c r="M41" s="3">
        <v>2016</v>
      </c>
      <c r="O41" s="4" t="s">
        <v>11</v>
      </c>
      <c r="P41" s="5"/>
      <c r="Q41" t="s">
        <v>12</v>
      </c>
      <c r="R41" t="s">
        <v>13</v>
      </c>
      <c r="S41" t="s">
        <v>14</v>
      </c>
    </row>
    <row r="42" spans="1:19" x14ac:dyDescent="0.25">
      <c r="A42" t="s">
        <v>15</v>
      </c>
      <c r="D42">
        <v>2231</v>
      </c>
      <c r="F42" s="6">
        <v>13305957</v>
      </c>
      <c r="H42">
        <v>6.75</v>
      </c>
      <c r="I42">
        <v>2.5</v>
      </c>
      <c r="J42" s="18">
        <v>10.35</v>
      </c>
      <c r="K42" s="18">
        <v>3.26</v>
      </c>
      <c r="M42" s="7">
        <f>(((H42*$D42)*12)+(($F42/100)*I42))</f>
        <v>513359.92500000005</v>
      </c>
      <c r="N42" s="7"/>
      <c r="O42" s="7">
        <f>(((J42*$D42)*12)+(($F42/100)*K42))</f>
        <v>710864.39819999994</v>
      </c>
      <c r="Q42" s="8">
        <f>H42+(I42*(534/100))</f>
        <v>20.100000000000001</v>
      </c>
      <c r="R42" s="8">
        <f>J42+((534/100)*K42)</f>
        <v>27.758399999999995</v>
      </c>
      <c r="S42" s="9">
        <f>(R42-Q42)/Q42</f>
        <v>0.38101492537313397</v>
      </c>
    </row>
    <row r="43" spans="1:19" x14ac:dyDescent="0.25">
      <c r="A43" t="s">
        <v>16</v>
      </c>
      <c r="D43">
        <v>36</v>
      </c>
      <c r="F43" s="6">
        <v>14029258</v>
      </c>
      <c r="H43">
        <f>H42</f>
        <v>6.75</v>
      </c>
      <c r="I43">
        <f>I42</f>
        <v>2.5</v>
      </c>
      <c r="J43" s="18">
        <f>J42</f>
        <v>10.35</v>
      </c>
      <c r="K43" s="18">
        <f>K42</f>
        <v>3.26</v>
      </c>
      <c r="M43" s="7">
        <f t="shared" ref="M43:M45" si="10">(((H43*D43)*12)+((F43/100)*I43))</f>
        <v>353647.44999999995</v>
      </c>
      <c r="O43" s="7">
        <f t="shared" ref="O43:O45" si="11">(((J43*$D43)*12)+(($F43/100)*K43))</f>
        <v>461825.01079999993</v>
      </c>
    </row>
    <row r="44" spans="1:19" x14ac:dyDescent="0.25">
      <c r="A44" t="s">
        <v>17</v>
      </c>
      <c r="D44">
        <v>34</v>
      </c>
      <c r="F44" s="6">
        <v>6094556</v>
      </c>
      <c r="H44">
        <f>H42</f>
        <v>6.75</v>
      </c>
      <c r="I44">
        <f>I42</f>
        <v>2.5</v>
      </c>
      <c r="J44" s="18">
        <f>J42</f>
        <v>10.35</v>
      </c>
      <c r="K44" s="18">
        <f>K42</f>
        <v>3.26</v>
      </c>
      <c r="M44" s="7">
        <f t="shared" si="10"/>
        <v>155117.9</v>
      </c>
      <c r="O44" s="7">
        <f t="shared" si="11"/>
        <v>202905.32559999998</v>
      </c>
    </row>
    <row r="45" spans="1:19" x14ac:dyDescent="0.25">
      <c r="A45" t="s">
        <v>18</v>
      </c>
      <c r="D45">
        <v>8</v>
      </c>
      <c r="F45" s="6">
        <v>436600</v>
      </c>
      <c r="H45">
        <f>H42</f>
        <v>6.75</v>
      </c>
      <c r="I45">
        <f>I42</f>
        <v>2.5</v>
      </c>
      <c r="J45" s="18">
        <f>J42</f>
        <v>10.35</v>
      </c>
      <c r="K45" s="18">
        <f>K42</f>
        <v>3.26</v>
      </c>
      <c r="M45" s="7">
        <f t="shared" si="10"/>
        <v>11563</v>
      </c>
      <c r="O45" s="7">
        <f t="shared" si="11"/>
        <v>15226.76</v>
      </c>
    </row>
    <row r="46" spans="1:19" x14ac:dyDescent="0.25">
      <c r="F46" s="6"/>
      <c r="J46" s="18"/>
      <c r="K46" s="18"/>
    </row>
    <row r="47" spans="1:19" x14ac:dyDescent="0.25">
      <c r="A47" t="s">
        <v>19</v>
      </c>
      <c r="D47">
        <v>268</v>
      </c>
      <c r="F47" s="6">
        <v>1851016</v>
      </c>
      <c r="H47">
        <v>7.4249999999999998</v>
      </c>
      <c r="I47">
        <v>2.75</v>
      </c>
      <c r="J47" s="18">
        <f>(J42*0.1)+J42</f>
        <v>11.385</v>
      </c>
      <c r="K47" s="18">
        <f>(K42*0.1)+K42</f>
        <v>3.5859999999999999</v>
      </c>
      <c r="M47" s="7">
        <f t="shared" ref="M47:M50" si="12">(((H47*D47)*12)+((F47/100)*I47))</f>
        <v>74781.740000000005</v>
      </c>
      <c r="O47" s="7">
        <f t="shared" ref="O47:O50" si="13">(((J47*$D47)*12)+(($F47/100)*K47))</f>
        <v>102991.59375999999</v>
      </c>
      <c r="Q47" s="8">
        <f>H47+(I47*(534/100))</f>
        <v>22.11</v>
      </c>
      <c r="R47" s="8">
        <f>J47+((534/100)*K47)</f>
        <v>30.534239999999997</v>
      </c>
      <c r="S47" s="9">
        <f>(R47-Q47)/Q47</f>
        <v>0.38101492537313425</v>
      </c>
    </row>
    <row r="48" spans="1:19" x14ac:dyDescent="0.25">
      <c r="A48" t="s">
        <v>20</v>
      </c>
      <c r="D48">
        <v>5</v>
      </c>
      <c r="F48" s="6">
        <v>824080</v>
      </c>
      <c r="H48">
        <f>H47</f>
        <v>7.4249999999999998</v>
      </c>
      <c r="I48">
        <f>I47</f>
        <v>2.75</v>
      </c>
      <c r="J48" s="18">
        <f>J47</f>
        <v>11.385</v>
      </c>
      <c r="K48" s="18">
        <f>K47</f>
        <v>3.5859999999999999</v>
      </c>
      <c r="M48" s="7">
        <f t="shared" si="12"/>
        <v>23107.699999999997</v>
      </c>
      <c r="O48" s="7">
        <f t="shared" si="13"/>
        <v>30234.608799999995</v>
      </c>
    </row>
    <row r="49" spans="1:19" x14ac:dyDescent="0.25">
      <c r="A49" t="s">
        <v>21</v>
      </c>
      <c r="D49">
        <v>1</v>
      </c>
      <c r="F49" s="6">
        <v>42520</v>
      </c>
      <c r="H49">
        <f>H47</f>
        <v>7.4249999999999998</v>
      </c>
      <c r="I49">
        <f>I47</f>
        <v>2.75</v>
      </c>
      <c r="J49" s="18">
        <f>J47</f>
        <v>11.385</v>
      </c>
      <c r="K49" s="18">
        <f>K47</f>
        <v>3.5859999999999999</v>
      </c>
      <c r="M49" s="7">
        <f t="shared" si="12"/>
        <v>1258.3999999999999</v>
      </c>
      <c r="O49" s="7">
        <f t="shared" si="13"/>
        <v>1661.3872000000001</v>
      </c>
    </row>
    <row r="50" spans="1:19" x14ac:dyDescent="0.25">
      <c r="A50" t="s">
        <v>22</v>
      </c>
      <c r="D50">
        <v>1</v>
      </c>
      <c r="F50" s="6">
        <v>14</v>
      </c>
      <c r="H50">
        <f>H47</f>
        <v>7.4249999999999998</v>
      </c>
      <c r="I50">
        <f>I47</f>
        <v>2.75</v>
      </c>
      <c r="J50" s="18">
        <f>J47</f>
        <v>11.385</v>
      </c>
      <c r="K50" s="18">
        <f>K47</f>
        <v>3.5859999999999999</v>
      </c>
      <c r="M50" s="7">
        <f t="shared" si="12"/>
        <v>89.484999999999999</v>
      </c>
      <c r="O50" s="7">
        <f t="shared" si="13"/>
        <v>137.12204</v>
      </c>
    </row>
    <row r="51" spans="1:19" x14ac:dyDescent="0.25">
      <c r="F51" s="6"/>
      <c r="J51" s="18"/>
      <c r="K51" s="18"/>
    </row>
    <row r="52" spans="1:19" x14ac:dyDescent="0.25">
      <c r="A52" s="10" t="s">
        <v>23</v>
      </c>
      <c r="B52" s="10"/>
      <c r="C52" s="10"/>
      <c r="D52" s="10">
        <v>11</v>
      </c>
      <c r="E52" s="10"/>
      <c r="F52" s="11">
        <v>59825110</v>
      </c>
      <c r="G52" s="10"/>
      <c r="H52" s="10">
        <f>H42</f>
        <v>6.75</v>
      </c>
      <c r="I52" s="10">
        <f>I42</f>
        <v>2.5</v>
      </c>
      <c r="J52" s="19">
        <f>J42</f>
        <v>10.35</v>
      </c>
      <c r="K52" s="19">
        <f>K42</f>
        <v>3.26</v>
      </c>
      <c r="L52" s="10"/>
      <c r="M52" s="12">
        <f t="shared" ref="M52" si="14">(((H52*D52)*12)+((F52/100)*I52))</f>
        <v>1496518.75</v>
      </c>
      <c r="O52" s="12">
        <f>(((J52*$D52)*12)+(($F52/100)*K52))</f>
        <v>1951664.7859999998</v>
      </c>
      <c r="Q52" s="8">
        <f>((D52*H52)*12)+((F52/100)*I52)</f>
        <v>1496518.75</v>
      </c>
      <c r="R52" s="8">
        <f>((D52*H52)*12)+((F52/100)*K52)</f>
        <v>1951189.5859999999</v>
      </c>
      <c r="S52" s="9">
        <f>(R52-Q52)/Q52</f>
        <v>0.30381900393830674</v>
      </c>
    </row>
    <row r="54" spans="1:19" x14ac:dyDescent="0.25">
      <c r="D54">
        <f>SUM(D42:D52)</f>
        <v>2595</v>
      </c>
      <c r="F54" s="13">
        <f>SUM(F42:F52)</f>
        <v>96409111</v>
      </c>
      <c r="M54" s="14">
        <f>SUM(M42:M52)</f>
        <v>2629444.35</v>
      </c>
      <c r="O54" s="14">
        <f>SUM(O42:O52)</f>
        <v>3477510.9923999999</v>
      </c>
      <c r="P54" s="6"/>
    </row>
    <row r="56" spans="1:19" x14ac:dyDescent="0.25">
      <c r="L56" s="15"/>
      <c r="M56" s="6"/>
      <c r="O56" s="13">
        <f>'[1]Debt Srv'!$H$14</f>
        <v>3473578.824</v>
      </c>
      <c r="P56" t="s">
        <v>24</v>
      </c>
    </row>
    <row r="58" spans="1:19" x14ac:dyDescent="0.25">
      <c r="L58" s="15"/>
      <c r="M58" s="16"/>
      <c r="O58" s="14">
        <f>O54-O56</f>
        <v>3932.1683999998495</v>
      </c>
    </row>
  </sheetData>
  <mergeCells count="3">
    <mergeCell ref="H2:K2"/>
    <mergeCell ref="M2:O2"/>
    <mergeCell ref="H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Mary Ellen Wimberly</cp:lastModifiedBy>
  <dcterms:created xsi:type="dcterms:W3CDTF">2018-06-21T18:52:56Z</dcterms:created>
  <dcterms:modified xsi:type="dcterms:W3CDTF">2018-06-27T21:40:13Z</dcterms:modified>
</cp:coreProperties>
</file>