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750" tabRatio="551" activeTab="0"/>
  </bookViews>
  <sheets>
    <sheet name="Prepayment Model" sheetId="1" r:id="rId1"/>
    <sheet name="Prepayment Approval Email" sheetId="2" state="hidden" r:id="rId2"/>
  </sheets>
  <definedNames/>
  <calcPr calcMode="manual" fullCalcOnLoad="1"/>
</workbook>
</file>

<file path=xl/sharedStrings.xml><?xml version="1.0" encoding="utf-8"?>
<sst xmlns="http://schemas.openxmlformats.org/spreadsheetml/2006/main" count="158" uniqueCount="125">
  <si>
    <t>CALCULATIONS</t>
  </si>
  <si>
    <t>DIRECTIONS:</t>
  </si>
  <si>
    <t>Actual/360?</t>
  </si>
  <si>
    <t>to ppmt date, not today's date</t>
  </si>
  <si>
    <t>Day</t>
  </si>
  <si>
    <t>Month</t>
  </si>
  <si>
    <t>Year</t>
  </si>
  <si>
    <t>30/360 Days</t>
  </si>
  <si>
    <t>Actual Days</t>
  </si>
  <si>
    <t>User input cells are coded in a blue color.</t>
  </si>
  <si>
    <t>PV Check</t>
  </si>
  <si>
    <t>Deal Information</t>
  </si>
  <si>
    <t>Odd Period Days</t>
  </si>
  <si>
    <t xml:space="preserve">Principal flows are the cash flows to Pru </t>
  </si>
  <si>
    <t>Last Coupon Date</t>
  </si>
  <si>
    <t>NPV Cash Flows</t>
  </si>
  <si>
    <t>had the bond not been prepaid.</t>
  </si>
  <si>
    <t>Next Coupon Date</t>
  </si>
  <si>
    <t xml:space="preserve">  Prepay</t>
  </si>
  <si>
    <t>Adj for Odd Period Days</t>
  </si>
  <si>
    <t>Days Accrued Interest</t>
  </si>
  <si>
    <t xml:space="preserve">  Difference</t>
  </si>
  <si>
    <t>Days fr Settlement to Next Cpn</t>
  </si>
  <si>
    <t>Accrued Interest</t>
  </si>
  <si>
    <t>Maturity Date Calculation</t>
  </si>
  <si>
    <t>Total Payment Due</t>
  </si>
  <si>
    <t>For Average Life</t>
  </si>
  <si>
    <t>Cash Flows Rounded to Nearest 1/12 Year (Y/N)?</t>
  </si>
  <si>
    <t>Y</t>
  </si>
  <si>
    <t>|</t>
  </si>
  <si>
    <t>Actual/360 Interest Day Count (Y/N)?</t>
  </si>
  <si>
    <t>N</t>
  </si>
  <si>
    <t xml:space="preserve">Interest Payments Per Year </t>
  </si>
  <si>
    <t>Coupon Rate</t>
  </si>
  <si>
    <t>Treasury Maturity Date</t>
  </si>
  <si>
    <t>Bond Equivalent Yield</t>
  </si>
  <si>
    <t>year</t>
  </si>
  <si>
    <t>Accrued interest days</t>
  </si>
  <si>
    <t>Discount Yield (includes add-on, if any)</t>
  </si>
  <si>
    <t>interpolation</t>
  </si>
  <si>
    <t>30/360 Days Basis</t>
  </si>
  <si>
    <t>Discount Add-on</t>
  </si>
  <si>
    <t>Actual Days Basis</t>
  </si>
  <si>
    <t>(A)</t>
  </si>
  <si>
    <t>(B)</t>
  </si>
  <si>
    <t>(C)</t>
  </si>
  <si>
    <t>(D)</t>
  </si>
  <si>
    <t>(E)</t>
  </si>
  <si>
    <t>(F)</t>
  </si>
  <si>
    <t>(G)</t>
  </si>
  <si>
    <t>(H)</t>
  </si>
  <si>
    <t>Remaining Average Life</t>
  </si>
  <si>
    <t>Years</t>
  </si>
  <si>
    <t>Bond Equivalent</t>
  </si>
  <si>
    <t>Periodic</t>
  </si>
  <si>
    <t>Scheduled</t>
  </si>
  <si>
    <t>Days from</t>
  </si>
  <si>
    <t>from</t>
  </si>
  <si>
    <t>Remaining</t>
  </si>
  <si>
    <t>Modified</t>
  </si>
  <si>
    <t>Macaulay</t>
  </si>
  <si>
    <t>FLAT PRICE</t>
  </si>
  <si>
    <t>Prepayment</t>
  </si>
  <si>
    <t>Principal</t>
  </si>
  <si>
    <t>Prepmt. Date</t>
  </si>
  <si>
    <t>rounded to</t>
  </si>
  <si>
    <t>Average</t>
  </si>
  <si>
    <t>Duration from Prepayment Date</t>
  </si>
  <si>
    <t>FULL PRICE</t>
  </si>
  <si>
    <t>AVG LIFE</t>
  </si>
  <si>
    <t xml:space="preserve"> DURATION FROM PREPAY DATE</t>
  </si>
  <si>
    <t>30/360 DAY INTEREST CALCULATION</t>
  </si>
  <si>
    <t>Date</t>
  </si>
  <si>
    <t>Dates</t>
  </si>
  <si>
    <t>(30/360 basis)</t>
  </si>
  <si>
    <t>nearest 1/12</t>
  </si>
  <si>
    <t>(F) X (E)</t>
  </si>
  <si>
    <t>Life</t>
  </si>
  <si>
    <t>APPROX. DATES</t>
  </si>
  <si>
    <t>BALANCE</t>
  </si>
  <si>
    <t>PRINCIPAL</t>
  </si>
  <si>
    <t>TOTAL</t>
  </si>
  <si>
    <t>30/360 basis</t>
  </si>
  <si>
    <t>PD-WEIGHTED</t>
  </si>
  <si>
    <t>Sum of (G)</t>
  </si>
  <si>
    <t>YR</t>
  </si>
  <si>
    <t>M</t>
  </si>
  <si>
    <t>D</t>
  </si>
  <si>
    <t>YEAR</t>
  </si>
  <si>
    <t>OUTSTANDING</t>
  </si>
  <si>
    <t>INTEREST</t>
  </si>
  <si>
    <t>CASH FLOW</t>
  </si>
  <si>
    <t>Days</t>
  </si>
  <si>
    <t>PV of cash flows</t>
  </si>
  <si>
    <t>PV OF CFS</t>
  </si>
  <si>
    <t>31 DAYS</t>
  </si>
  <si>
    <t>30 DAYS</t>
  </si>
  <si>
    <t>FEB 28,29</t>
  </si>
  <si>
    <t>LEAP YEAR</t>
  </si>
  <si>
    <t>DATE</t>
  </si>
  <si>
    <t>divided by</t>
  </si>
  <si>
    <t>Sum of (F)</t>
  </si>
  <si>
    <t>\|/</t>
  </si>
  <si>
    <t>TOTALS</t>
  </si>
  <si>
    <t>Deduct Accrued Interest from First Cash Flow</t>
  </si>
  <si>
    <t xml:space="preserve">  Next  Coupon Date</t>
  </si>
  <si>
    <t xml:space="preserve">  Last  Coupon Date</t>
  </si>
  <si>
    <t>Days from settlement to Next Coupon Date</t>
  </si>
  <si>
    <t>Last coupon date and next coupon date are referenced</t>
  </si>
  <si>
    <t>Prepay Model</t>
  </si>
  <si>
    <t>Make-Whole Amount</t>
  </si>
  <si>
    <t>Called Principal</t>
  </si>
  <si>
    <t>Discounted Value</t>
  </si>
  <si>
    <t>Reinvestment Yield</t>
  </si>
  <si>
    <t>Remainng Average Life</t>
  </si>
  <si>
    <t>Remaining Scheduled Payments</t>
  </si>
  <si>
    <t>Settlement Date</t>
  </si>
  <si>
    <t>I have reviewed the following definititions in the Note Purchase Agreement and approve the calculations:</t>
  </si>
  <si>
    <t>Definitions</t>
  </si>
  <si>
    <t>Calculations</t>
  </si>
  <si>
    <t>Remaining Avg Life Rounded to 1/12 Year</t>
  </si>
  <si>
    <t>REMAINING SCHEDULED PAYMENTS</t>
  </si>
  <si>
    <t>BBB+</t>
  </si>
  <si>
    <t>Delta Natural Gas Company Inc.</t>
  </si>
  <si>
    <t>247748A@5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</si>
</sst>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00_)"/>
    <numFmt numFmtId="166" formatCode="0.0000%"/>
    <numFmt numFmtId="167" formatCode="0.00_)"/>
    <numFmt numFmtId="168" formatCode="&quot;$&quot;#,##0.0_);\(&quot;$&quot;#,##0.0\)"/>
    <numFmt numFmtId="169" formatCode="&quot;$&quot;#,##0.000_);\(&quot;$&quot;#,##0.000\)"/>
    <numFmt numFmtId="170" formatCode="&quot;$&quot;#,##0.0000_);\(&quot;$&quot;#,##0.0000\)"/>
    <numFmt numFmtId="171" formatCode="&quot;$&quot;#,##0.00000_);\(&quot;$&quot;#,##0.00000\)"/>
    <numFmt numFmtId="172" formatCode="&quot;$&quot;#,##0.000000_);\(&quot;$&quot;#,##0.000000\)"/>
    <numFmt numFmtId="173" formatCode="&quot;$&quot;#,##0.0000000_);\(&quot;$&quot;#,##0.0000000\)"/>
    <numFmt numFmtId="174" formatCode="&quot;$&quot;#,##0.00000000_);\(&quot;$&quot;#,##0.00000000\)"/>
    <numFmt numFmtId="175" formatCode="&quot;$&quot;#,##0.000000000_);\(&quot;$&quot;#,##0.000000000\)"/>
    <numFmt numFmtId="176" formatCode="0.00000000"/>
    <numFmt numFmtId="177" formatCode="0.0000000"/>
    <numFmt numFmtId="178" formatCode="0.000000"/>
    <numFmt numFmtId="179" formatCode="0.000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mm/dd/yy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&quot;$&quot;#,##0.00;[Red]&quot;$&quot;#,##0.00"/>
  </numFmts>
  <fonts count="55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u val="single"/>
      <sz val="8.7"/>
      <color indexed="12"/>
      <name val="Arial MT"/>
      <family val="0"/>
    </font>
    <font>
      <u val="single"/>
      <sz val="10"/>
      <color indexed="36"/>
      <name val="Arial MT"/>
      <family val="0"/>
    </font>
    <font>
      <b/>
      <sz val="10"/>
      <color indexed="39"/>
      <name val="Arial"/>
      <family val="2"/>
    </font>
    <font>
      <b/>
      <sz val="14"/>
      <name val="Arial"/>
      <family val="2"/>
    </font>
    <font>
      <b/>
      <sz val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7" fontId="5" fillId="0" borderId="0" xfId="0" applyNumberFormat="1" applyFont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7" fontId="5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fill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/>
    </xf>
    <xf numFmtId="0" fontId="4" fillId="0" borderId="11" xfId="0" applyFont="1" applyBorder="1" applyAlignment="1">
      <alignment horizontal="right"/>
    </xf>
    <xf numFmtId="167" fontId="4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5" fontId="4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10" fontId="5" fillId="0" borderId="10" xfId="0" applyNumberFormat="1" applyFont="1" applyBorder="1" applyAlignment="1" applyProtection="1">
      <alignment horizontal="center"/>
      <protection locked="0"/>
    </xf>
    <xf numFmtId="10" fontId="9" fillId="0" borderId="10" xfId="0" applyNumberFormat="1" applyFont="1" applyFill="1" applyBorder="1" applyAlignment="1" applyProtection="1">
      <alignment horizontal="center"/>
      <protection locked="0"/>
    </xf>
    <xf numFmtId="1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5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9" fontId="9" fillId="0" borderId="0" xfId="0" applyNumberFormat="1" applyFont="1" applyAlignment="1" applyProtection="1">
      <alignment/>
      <protection locked="0"/>
    </xf>
    <xf numFmtId="179" fontId="9" fillId="0" borderId="0" xfId="0" applyNumberFormat="1" applyFont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10" fillId="0" borderId="0" xfId="0" applyFont="1" applyAlignment="1">
      <alignment horizontal="fill"/>
    </xf>
    <xf numFmtId="0" fontId="4" fillId="0" borderId="19" xfId="0" applyFont="1" applyBorder="1" applyAlignment="1">
      <alignment/>
    </xf>
    <xf numFmtId="164" fontId="4" fillId="0" borderId="2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7" fontId="4" fillId="0" borderId="21" xfId="0" applyNumberFormat="1" applyFont="1" applyBorder="1" applyAlignment="1" applyProtection="1">
      <alignment/>
      <protection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10" fontId="5" fillId="0" borderId="21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0" fontId="10" fillId="0" borderId="14" xfId="0" applyFont="1" applyBorder="1" applyAlignment="1">
      <alignment/>
    </xf>
    <xf numFmtId="5" fontId="5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right"/>
    </xf>
    <xf numFmtId="7" fontId="5" fillId="0" borderId="18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right"/>
    </xf>
    <xf numFmtId="10" fontId="0" fillId="0" borderId="17" xfId="0" applyNumberFormat="1" applyBorder="1" applyAlignment="1">
      <alignment/>
    </xf>
    <xf numFmtId="7" fontId="4" fillId="0" borderId="18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7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37" fontId="5" fillId="0" borderId="22" xfId="0" applyNumberFormat="1" applyFont="1" applyBorder="1" applyAlignment="1" applyProtection="1">
      <alignment horizontal="left"/>
      <protection locked="0"/>
    </xf>
    <xf numFmtId="10" fontId="5" fillId="0" borderId="22" xfId="0" applyNumberFormat="1" applyFont="1" applyBorder="1" applyAlignment="1" applyProtection="1">
      <alignment horizontal="left"/>
      <protection locked="0"/>
    </xf>
    <xf numFmtId="10" fontId="4" fillId="0" borderId="22" xfId="0" applyNumberFormat="1" applyFont="1" applyBorder="1" applyAlignment="1" applyProtection="1">
      <alignment horizontal="left"/>
      <protection/>
    </xf>
    <xf numFmtId="39" fontId="4" fillId="0" borderId="22" xfId="0" applyNumberFormat="1" applyFont="1" applyBorder="1" applyAlignment="1" applyProtection="1">
      <alignment horizontal="left"/>
      <protection/>
    </xf>
    <xf numFmtId="39" fontId="4" fillId="0" borderId="23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11" fillId="0" borderId="16" xfId="0" applyFont="1" applyBorder="1" applyAlignment="1">
      <alignment/>
    </xf>
    <xf numFmtId="182" fontId="4" fillId="0" borderId="20" xfId="42" applyNumberFormat="1" applyFont="1" applyBorder="1" applyAlignment="1" applyProtection="1">
      <alignment horizontal="right"/>
      <protection/>
    </xf>
    <xf numFmtId="182" fontId="4" fillId="0" borderId="21" xfId="42" applyNumberFormat="1" applyFont="1" applyBorder="1" applyAlignment="1">
      <alignment horizontal="right"/>
    </xf>
    <xf numFmtId="43" fontId="4" fillId="0" borderId="19" xfId="42" applyFont="1" applyBorder="1" applyAlignment="1">
      <alignment horizontal="left"/>
    </xf>
    <xf numFmtId="43" fontId="4" fillId="0" borderId="11" xfId="42" applyFont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14" fontId="9" fillId="0" borderId="14" xfId="0" applyNumberFormat="1" applyFont="1" applyFill="1" applyBorder="1" applyAlignment="1" applyProtection="1">
      <alignment horizontal="center"/>
      <protection locked="0"/>
    </xf>
    <xf numFmtId="14" fontId="5" fillId="0" borderId="14" xfId="0" applyNumberFormat="1" applyFont="1" applyFill="1" applyBorder="1" applyAlignment="1" applyProtection="1">
      <alignment horizontal="center"/>
      <protection locked="0"/>
    </xf>
    <xf numFmtId="14" fontId="5" fillId="0" borderId="11" xfId="0" applyNumberFormat="1" applyFont="1" applyFill="1" applyBorder="1" applyAlignment="1" applyProtection="1">
      <alignment horizontal="center"/>
      <protection locked="0"/>
    </xf>
    <xf numFmtId="7" fontId="12" fillId="0" borderId="2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185" fontId="4" fillId="0" borderId="0" xfId="42" applyNumberFormat="1" applyFont="1" applyAlignment="1">
      <alignment/>
    </xf>
    <xf numFmtId="14" fontId="5" fillId="0" borderId="24" xfId="0" applyNumberFormat="1" applyFont="1" applyFill="1" applyBorder="1" applyAlignment="1" applyProtection="1">
      <alignment horizontal="center"/>
      <protection locked="0"/>
    </xf>
    <xf numFmtId="14" fontId="5" fillId="0" borderId="22" xfId="0" applyNumberFormat="1" applyFont="1" applyFill="1" applyBorder="1" applyAlignment="1" applyProtection="1">
      <alignment horizontal="center"/>
      <protection locked="0"/>
    </xf>
    <xf numFmtId="14" fontId="5" fillId="0" borderId="2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fill"/>
    </xf>
    <xf numFmtId="185" fontId="1" fillId="0" borderId="0" xfId="42" applyNumberFormat="1" applyFont="1" applyAlignment="1">
      <alignment/>
    </xf>
    <xf numFmtId="185" fontId="1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22" xfId="0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2" fontId="15" fillId="33" borderId="24" xfId="0" applyNumberFormat="1" applyFont="1" applyFill="1" applyBorder="1" applyAlignment="1" applyProtection="1">
      <alignment horizontal="center"/>
      <protection locked="0"/>
    </xf>
    <xf numFmtId="2" fontId="15" fillId="33" borderId="23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43" fontId="4" fillId="0" borderId="0" xfId="42" applyFont="1" applyAlignment="1">
      <alignment/>
    </xf>
    <xf numFmtId="0" fontId="4" fillId="0" borderId="14" xfId="0" applyFont="1" applyBorder="1" applyAlignment="1">
      <alignment/>
    </xf>
    <xf numFmtId="39" fontId="4" fillId="0" borderId="0" xfId="0" applyNumberFormat="1" applyFont="1" applyAlignment="1" applyProtection="1">
      <alignment/>
      <protection/>
    </xf>
    <xf numFmtId="0" fontId="4" fillId="0" borderId="17" xfId="0" applyFont="1" applyBorder="1" applyAlignment="1">
      <alignment/>
    </xf>
    <xf numFmtId="164" fontId="4" fillId="0" borderId="19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0" fontId="9" fillId="0" borderId="22" xfId="0" applyNumberFormat="1" applyFont="1" applyBorder="1" applyAlignment="1" applyProtection="1">
      <alignment horizontal="left"/>
      <protection/>
    </xf>
    <xf numFmtId="2" fontId="9" fillId="0" borderId="2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2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24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530"/>
  <sheetViews>
    <sheetView tabSelected="1" defaultGridColor="0" zoomScale="87" zoomScaleNormal="87" zoomScalePageLayoutView="0" colorId="22" workbookViewId="0" topLeftCell="A1">
      <selection activeCell="F17" sqref="F17"/>
    </sheetView>
  </sheetViews>
  <sheetFormatPr defaultColWidth="14.7109375" defaultRowHeight="12.75"/>
  <cols>
    <col min="1" max="1" width="7.00390625" style="3" customWidth="1"/>
    <col min="2" max="2" width="5.28125" style="3" customWidth="1"/>
    <col min="3" max="3" width="5.421875" style="3" customWidth="1"/>
    <col min="4" max="4" width="12.140625" style="3" customWidth="1"/>
    <col min="5" max="5" width="18.421875" style="3" customWidth="1"/>
    <col min="6" max="6" width="18.8515625" style="3" customWidth="1"/>
    <col min="7" max="7" width="21.7109375" style="3" customWidth="1"/>
    <col min="8" max="8" width="20.28125" style="3" customWidth="1"/>
    <col min="9" max="9" width="12.57421875" style="3" customWidth="1"/>
    <col min="10" max="10" width="17.7109375" style="3" customWidth="1"/>
    <col min="11" max="11" width="22.140625" style="3" hidden="1" customWidth="1"/>
    <col min="12" max="12" width="17.7109375" style="3" hidden="1" customWidth="1"/>
    <col min="13" max="13" width="17.57421875" style="3" hidden="1" customWidth="1"/>
    <col min="14" max="14" width="9.7109375" style="3" hidden="1" customWidth="1"/>
    <col min="15" max="15" width="8.7109375" style="3" hidden="1" customWidth="1"/>
    <col min="16" max="17" width="0" style="3" hidden="1" customWidth="1"/>
    <col min="18" max="18" width="13.7109375" style="3" hidden="1" customWidth="1"/>
    <col min="19" max="19" width="0" style="3" hidden="1" customWidth="1"/>
    <col min="20" max="20" width="17.7109375" style="3" hidden="1" customWidth="1"/>
    <col min="21" max="22" width="17.28125" style="3" hidden="1" customWidth="1"/>
    <col min="23" max="24" width="9.7109375" style="3" hidden="1" customWidth="1"/>
    <col min="25" max="25" width="0" style="3" hidden="1" customWidth="1"/>
    <col min="26" max="26" width="12.00390625" style="3" hidden="1" customWidth="1"/>
    <col min="27" max="27" width="13.421875" style="3" hidden="1" customWidth="1"/>
    <col min="28" max="29" width="14.28125" style="3" hidden="1" customWidth="1"/>
    <col min="30" max="30" width="12.421875" style="3" hidden="1" customWidth="1"/>
    <col min="31" max="31" width="17.00390625" style="3" hidden="1" customWidth="1"/>
    <col min="32" max="32" width="13.7109375" style="3" hidden="1" customWidth="1"/>
    <col min="33" max="33" width="11.140625" style="3" hidden="1" customWidth="1"/>
    <col min="34" max="34" width="9.7109375" style="3" hidden="1" customWidth="1"/>
    <col min="35" max="35" width="12.140625" style="3" hidden="1" customWidth="1"/>
    <col min="36" max="36" width="11.140625" style="3" hidden="1" customWidth="1"/>
    <col min="37" max="37" width="11.00390625" style="3" hidden="1" customWidth="1"/>
    <col min="38" max="38" width="10.8515625" style="3" hidden="1" customWidth="1"/>
    <col min="39" max="39" width="0" style="3" hidden="1" customWidth="1"/>
    <col min="40" max="40" width="0" style="108" hidden="1" customWidth="1"/>
    <col min="41" max="41" width="0" style="3" hidden="1" customWidth="1"/>
    <col min="42" max="16384" width="14.7109375" style="3" customWidth="1"/>
  </cols>
  <sheetData>
    <row r="1" spans="1:6" ht="18">
      <c r="A1" s="143" t="s">
        <v>109</v>
      </c>
      <c r="D1" s="4"/>
      <c r="E1" s="4"/>
      <c r="F1" s="8" t="s">
        <v>123</v>
      </c>
    </row>
    <row r="2" spans="1:46" ht="18">
      <c r="A2" s="126"/>
      <c r="B2" s="4"/>
      <c r="C2" s="4"/>
      <c r="D2" s="4"/>
      <c r="F2" s="8" t="s">
        <v>124</v>
      </c>
      <c r="G2" s="8" t="s">
        <v>122</v>
      </c>
      <c r="H2" s="115"/>
      <c r="I2"/>
      <c r="K2" s="3" t="s">
        <v>0</v>
      </c>
      <c r="L2" s="3">
        <f>IF(DAYS360(E6,E7)*F14&lt;&gt;360,1,0)</f>
        <v>0</v>
      </c>
      <c r="U2" s="3" t="s">
        <v>1</v>
      </c>
      <c r="V2" s="126" t="s">
        <v>108</v>
      </c>
      <c r="AB2" s="4"/>
      <c r="AI2" s="2"/>
      <c r="AJ2" s="2"/>
      <c r="AK2" s="9"/>
      <c r="AO2" s="10"/>
      <c r="AP2" s="11"/>
      <c r="AQ2" s="11"/>
      <c r="AR2" s="10"/>
      <c r="AS2" s="11"/>
      <c r="AT2" s="10"/>
    </row>
    <row r="3" spans="1:47" ht="12.75">
      <c r="A3" s="12"/>
      <c r="B3" s="13"/>
      <c r="C3" s="13"/>
      <c r="D3" s="13"/>
      <c r="E3" s="13"/>
      <c r="F3" s="13"/>
      <c r="G3" s="13"/>
      <c r="H3" s="13"/>
      <c r="K3" s="3" t="s">
        <v>2</v>
      </c>
      <c r="M3" s="3" t="b">
        <f>OR(F12="Y",+F12="YES")</f>
        <v>0</v>
      </c>
      <c r="V3" s="3" t="s">
        <v>3</v>
      </c>
      <c r="Z3" s="4"/>
      <c r="AI3" s="2"/>
      <c r="AJ3" s="2"/>
      <c r="AL3" s="9"/>
      <c r="AP3" s="10"/>
      <c r="AQ3" s="11"/>
      <c r="AR3" s="11"/>
      <c r="AS3" s="10"/>
      <c r="AT3" s="11"/>
      <c r="AU3" s="10"/>
    </row>
    <row r="4" spans="1:36" ht="12.75">
      <c r="A4" s="112"/>
      <c r="B4" s="13"/>
      <c r="C4" s="13"/>
      <c r="D4" s="55"/>
      <c r="E4" s="129" t="s">
        <v>9</v>
      </c>
      <c r="F4" s="129"/>
      <c r="G4" s="130"/>
      <c r="H4" s="127"/>
      <c r="I4" s="128"/>
      <c r="J4" s="55"/>
      <c r="M4" s="14" t="s">
        <v>4</v>
      </c>
      <c r="N4" s="14" t="s">
        <v>5</v>
      </c>
      <c r="O4" s="14" t="s">
        <v>6</v>
      </c>
      <c r="P4" s="14" t="s">
        <v>7</v>
      </c>
      <c r="Q4" s="14" t="s">
        <v>8</v>
      </c>
      <c r="Z4" s="4"/>
      <c r="AI4" s="2"/>
      <c r="AJ4" s="2"/>
    </row>
    <row r="5" spans="1:36" ht="12.75">
      <c r="A5" s="52" t="s">
        <v>11</v>
      </c>
      <c r="B5" s="53"/>
      <c r="C5" s="53"/>
      <c r="D5" s="54"/>
      <c r="E5" s="15"/>
      <c r="F5" s="16"/>
      <c r="G5" s="77"/>
      <c r="H5" s="78"/>
      <c r="I5" s="155" t="s">
        <v>111</v>
      </c>
      <c r="J5" s="79">
        <v>52000000</v>
      </c>
      <c r="M5" s="14"/>
      <c r="N5" s="14"/>
      <c r="O5" s="14"/>
      <c r="P5" s="14"/>
      <c r="Q5" s="14"/>
      <c r="S5" s="56" t="s">
        <v>10</v>
      </c>
      <c r="T5" s="60"/>
      <c r="Z5" s="4"/>
      <c r="AI5" s="2"/>
      <c r="AJ5" s="2"/>
    </row>
    <row r="6" spans="1:37" ht="12.75">
      <c r="A6" s="132" t="s">
        <v>14</v>
      </c>
      <c r="B6" s="18"/>
      <c r="C6" s="18"/>
      <c r="D6" s="18"/>
      <c r="E6" s="109">
        <v>42633</v>
      </c>
      <c r="F6"/>
      <c r="G6"/>
      <c r="H6"/>
      <c r="I6"/>
      <c r="J6" s="5"/>
      <c r="K6" s="3" t="s">
        <v>12</v>
      </c>
      <c r="S6" s="17"/>
      <c r="T6" s="24"/>
      <c r="V6" s="3" t="s">
        <v>13</v>
      </c>
      <c r="AI6" s="2"/>
      <c r="AJ6" s="2"/>
      <c r="AK6" s="9"/>
    </row>
    <row r="7" spans="1:22" ht="12.75">
      <c r="A7" s="132" t="s">
        <v>17</v>
      </c>
      <c r="B7" s="18"/>
      <c r="C7" s="18"/>
      <c r="D7" s="18"/>
      <c r="E7" s="110">
        <v>42724</v>
      </c>
      <c r="F7"/>
      <c r="G7" s="77"/>
      <c r="H7" s="155" t="s">
        <v>112</v>
      </c>
      <c r="I7" s="81">
        <f>+F18</f>
        <v>0.0233</v>
      </c>
      <c r="J7" s="82">
        <f>ROUND(J406,2)</f>
        <v>62066934.09</v>
      </c>
      <c r="K7" s="126" t="s">
        <v>105</v>
      </c>
      <c r="L7" s="20">
        <f>E7</f>
        <v>42724</v>
      </c>
      <c r="M7" s="3">
        <f>DAY(L7)</f>
        <v>20</v>
      </c>
      <c r="N7" s="3">
        <f>MONTH(L7)</f>
        <v>12</v>
      </c>
      <c r="O7" s="3">
        <f>(YEAR(L7)-1900)</f>
        <v>116</v>
      </c>
      <c r="P7" s="10">
        <f>O7*360+N7*30+IF(AND(AND(+N7=2,MOD((+O7+1900),4)&lt;&gt;0),+M7=28),30,IF(AND(AND(+N7=2,MOD((+O7+1900),4)=0),+M7=29),30,IF(M7=31,30,M7)))</f>
        <v>42140</v>
      </c>
      <c r="Q7" s="10">
        <f>L7</f>
        <v>42724</v>
      </c>
      <c r="S7" s="61" t="s">
        <v>15</v>
      </c>
      <c r="T7" s="19">
        <f>IF(F19=0,NA(),NPV(F19/F14,H31:H323)+H30)</f>
        <v>62290995.40853517</v>
      </c>
      <c r="V7" s="3" t="s">
        <v>16</v>
      </c>
    </row>
    <row r="8" spans="1:20" ht="12.75">
      <c r="A8" s="132" t="s">
        <v>116</v>
      </c>
      <c r="B8" s="18"/>
      <c r="C8" s="18"/>
      <c r="D8" s="18"/>
      <c r="E8" s="111">
        <v>42667</v>
      </c>
      <c r="F8"/>
      <c r="G8" s="6">
        <f>IF(F12="N",L17,L18)</f>
        <v>34</v>
      </c>
      <c r="H8" s="80"/>
      <c r="I8" s="80" t="s">
        <v>20</v>
      </c>
      <c r="J8" s="62">
        <f>ROUND(IF(F12="Y",L18,L17)/360*E29*F15,2)</f>
        <v>209213.33</v>
      </c>
      <c r="K8" s="3" t="s">
        <v>18</v>
      </c>
      <c r="L8" s="20">
        <f>E8</f>
        <v>42667</v>
      </c>
      <c r="M8" s="3">
        <f>DAY(L8)</f>
        <v>24</v>
      </c>
      <c r="N8" s="3">
        <f>MONTH(L8)</f>
        <v>10</v>
      </c>
      <c r="O8" s="3">
        <f>(YEAR(L8)-1900)</f>
        <v>116</v>
      </c>
      <c r="P8" s="10">
        <f>O8*360+N8*30+IF(AND(AND(+N8=2,MOD((+O8+1900),4)&lt;&gt;0),+M8=28),30,IF(AND(AND(+N8=2,MOD((+O8+1900),4)=0),M8=29),30,IF(M8=31,IF(OR(OR(OR(M7=30,M7=31),(AND(AND(M7=28,N7=2),MOD((+O7+1900),4)&lt;&gt;0))),(AND(AND(M7=29,N7=2),MOD((+O7+1900),4)=0))),30,IF(M7&lt;30,M8,"ERROR")),IF(M8&lt;31,M8,"ERROR"))))</f>
        <v>42084</v>
      </c>
      <c r="Q8" s="10">
        <f>L8</f>
        <v>42667</v>
      </c>
      <c r="S8" s="36" t="s">
        <v>19</v>
      </c>
      <c r="T8" s="62">
        <f>T7/(((1+F18/2)^2)^(P9/360))</f>
        <v>62066934.08673293</v>
      </c>
    </row>
    <row r="9" spans="1:20" ht="12.75">
      <c r="A9" s="86" t="s">
        <v>22</v>
      </c>
      <c r="B9" s="87"/>
      <c r="C9" s="87"/>
      <c r="D9" s="87"/>
      <c r="E9" s="88">
        <f>IF(F12="Y",N18,N17)</f>
        <v>56</v>
      </c>
      <c r="F9" s="89" t="str">
        <f>IF(F12="Y","Actual Days","30/360 Day Count")</f>
        <v>30/360 Day Count</v>
      </c>
      <c r="G9" s="6"/>
      <c r="H9" s="80"/>
      <c r="I9" s="156" t="s">
        <v>110</v>
      </c>
      <c r="J9" s="106">
        <f>IF(F13="N",IF((J7-J5-J8)&lt;0,0,J7-J5-J8),IF((J7-J5)&lt;=0,0,J7-J5))</f>
        <v>10066934.090000004</v>
      </c>
      <c r="K9" s="3" t="s">
        <v>21</v>
      </c>
      <c r="L9" s="20"/>
      <c r="M9" s="20"/>
      <c r="O9" s="22"/>
      <c r="P9" s="3">
        <f>P7-P8</f>
        <v>56</v>
      </c>
      <c r="Q9" s="3">
        <f>Q7-Q8</f>
        <v>57</v>
      </c>
      <c r="T9" s="48">
        <f>+T8-J5-J8</f>
        <v>9857720.756732931</v>
      </c>
    </row>
    <row r="10" spans="1:40" ht="12.75">
      <c r="A10" s="75">
        <f>IF(R17=1,"CHECK ACCRUED INTEREST DAYS.  EXCEL FUNCTION SOMETIMES SEEMS TO COUNT INCORRECTLY.","")</f>
      </c>
      <c r="B10" s="18"/>
      <c r="C10" s="18"/>
      <c r="D10" s="18"/>
      <c r="E10" s="23"/>
      <c r="F10" s="18"/>
      <c r="G10" s="58"/>
      <c r="H10" s="71"/>
      <c r="I10" s="80" t="s">
        <v>25</v>
      </c>
      <c r="J10" s="107">
        <f>+J9+J8+J5</f>
        <v>62276147.42</v>
      </c>
      <c r="L10" s="20"/>
      <c r="P10" s="10"/>
      <c r="Q10" s="10"/>
      <c r="T10" s="48">
        <f>+T9-J9</f>
        <v>-209213.33326707222</v>
      </c>
      <c r="AI10" s="46"/>
      <c r="AJ10" s="46">
        <f>AC30</f>
        <v>0.15555555555555556</v>
      </c>
      <c r="AK10" s="46"/>
      <c r="AL10" s="46"/>
      <c r="AN10" s="113" t="s">
        <v>24</v>
      </c>
    </row>
    <row r="11" spans="1:40" ht="12.75">
      <c r="A11" s="56" t="s">
        <v>27</v>
      </c>
      <c r="B11" s="15"/>
      <c r="C11" s="15"/>
      <c r="D11" s="15"/>
      <c r="E11" s="60"/>
      <c r="F11" s="158" t="s">
        <v>28</v>
      </c>
      <c r="G11" s="120"/>
      <c r="H11"/>
      <c r="J11" s="24"/>
      <c r="K11" s="3" t="s">
        <v>23</v>
      </c>
      <c r="L11" s="20"/>
      <c r="P11" s="10"/>
      <c r="Q11" s="10"/>
      <c r="AI11" s="46"/>
      <c r="AJ11" s="46"/>
      <c r="AK11" s="46"/>
      <c r="AL11" s="46"/>
      <c r="AN11" s="113" t="s">
        <v>26</v>
      </c>
    </row>
    <row r="12" spans="1:40" ht="12.75">
      <c r="A12" s="17" t="s">
        <v>30</v>
      </c>
      <c r="B12" s="18"/>
      <c r="C12" s="18"/>
      <c r="D12" s="18"/>
      <c r="E12" s="24"/>
      <c r="F12" s="90" t="s">
        <v>31</v>
      </c>
      <c r="G12" s="124"/>
      <c r="H12" s="71"/>
      <c r="I12" s="71"/>
      <c r="J12" s="123"/>
      <c r="K12" s="126" t="s">
        <v>106</v>
      </c>
      <c r="L12" s="20">
        <f>E6</f>
        <v>42633</v>
      </c>
      <c r="M12" s="3">
        <f>DAY(L12)</f>
        <v>20</v>
      </c>
      <c r="N12" s="3">
        <f>MONTH(L12)</f>
        <v>9</v>
      </c>
      <c r="O12" s="3">
        <f>(YEAR(L12)-1900)</f>
        <v>116</v>
      </c>
      <c r="P12" s="10">
        <f>O12*360+N12*30+IF(AND(AND(+N12=2,MOD((+O12+1900),4)&lt;&gt;0),+M12=28),30,IF(AND(AND(+N12=2,MOD((+O12+1900),4)=0),+M12=29),30,IF(M12=31,30,M12)))</f>
        <v>42050</v>
      </c>
      <c r="Q12" s="10">
        <f>L12</f>
        <v>42633</v>
      </c>
      <c r="AI12" s="46"/>
      <c r="AJ12" s="46"/>
      <c r="AK12" s="46"/>
      <c r="AL12" s="46"/>
      <c r="AN12" s="114" t="s">
        <v>29</v>
      </c>
    </row>
    <row r="13" spans="1:40" ht="12.75">
      <c r="A13" s="116" t="s">
        <v>104</v>
      </c>
      <c r="B13" s="117"/>
      <c r="C13" s="117"/>
      <c r="D13" s="117"/>
      <c r="E13" s="118"/>
      <c r="F13" s="119" t="s">
        <v>28</v>
      </c>
      <c r="G13" s="125"/>
      <c r="H13"/>
      <c r="I13"/>
      <c r="J13" s="5"/>
      <c r="K13" s="3" t="s">
        <v>18</v>
      </c>
      <c r="L13" s="20">
        <f>E8</f>
        <v>42667</v>
      </c>
      <c r="M13" s="3">
        <f>DAY(L13)</f>
        <v>24</v>
      </c>
      <c r="N13" s="3">
        <f>MONTH(L13)</f>
        <v>10</v>
      </c>
      <c r="O13" s="3">
        <f>(YEAR(L13)-1900)</f>
        <v>116</v>
      </c>
      <c r="P13" s="10">
        <f>O13*360+N13*30+IF(AND(AND(+N13=2,MOD((+O13+1900),4)&lt;&gt;0),+M13=28),30,IF(AND(AND(+N13=2,MOD((+O13+1900),4)=0),M13=29),30,IF(M13=31,IF(OR(OR(OR(M12=30,M12=31),(AND(AND(M12=28,N12=2),MOD((+O12+1900),4)&lt;&gt;0))),(AND(AND(M12=29,N12=2),MOD((+O12+1900),4)=0))),30,IF(M12&lt;30,M13,"ERROR")),IF(M13&lt;31,M13,"ERROR"))))</f>
        <v>42084</v>
      </c>
      <c r="Q13" s="10">
        <f>L13</f>
        <v>42667</v>
      </c>
      <c r="AI13" s="50">
        <v>0</v>
      </c>
      <c r="AJ13" s="50"/>
      <c r="AK13" s="46"/>
      <c r="AL13" s="46"/>
      <c r="AN13" s="114" t="s">
        <v>29</v>
      </c>
    </row>
    <row r="14" spans="1:40" ht="12.75">
      <c r="A14" s="17" t="s">
        <v>32</v>
      </c>
      <c r="B14" s="18"/>
      <c r="C14" s="18"/>
      <c r="D14" s="18"/>
      <c r="E14" s="24"/>
      <c r="F14" s="91">
        <v>4</v>
      </c>
      <c r="G14" s="125"/>
      <c r="H14" s="67"/>
      <c r="I14"/>
      <c r="J14" s="5"/>
      <c r="K14" s="3" t="s">
        <v>21</v>
      </c>
      <c r="L14" s="20"/>
      <c r="M14" s="20"/>
      <c r="O14" s="22"/>
      <c r="P14" s="3">
        <f>P13-P12</f>
        <v>34</v>
      </c>
      <c r="Q14" s="3">
        <f>Q13-Q12</f>
        <v>34</v>
      </c>
      <c r="AI14" s="50">
        <f>1/12</f>
        <v>0.08333333333333333</v>
      </c>
      <c r="AJ14" s="50">
        <f>AI14/2</f>
        <v>0.041666666666666664</v>
      </c>
      <c r="AK14" s="46">
        <f aca="true" t="shared" si="0" ref="AK14:AK25">IF($AJ$10&lt;AJ14,0,AI14)</f>
        <v>0.08333333333333333</v>
      </c>
      <c r="AL14" s="46">
        <f>IF(AK15&gt;0.01,0,AK14)</f>
        <v>0</v>
      </c>
      <c r="AN14" s="114" t="s">
        <v>29</v>
      </c>
    </row>
    <row r="15" spans="1:40" ht="12.75">
      <c r="A15" s="132" t="s">
        <v>33</v>
      </c>
      <c r="B15" s="18"/>
      <c r="C15" s="18"/>
      <c r="D15" s="18"/>
      <c r="E15" s="24"/>
      <c r="F15" s="92">
        <v>0.0426</v>
      </c>
      <c r="G15" s="102" t="s">
        <v>34</v>
      </c>
      <c r="H15" s="102"/>
      <c r="I15" s="70"/>
      <c r="J15" s="72"/>
      <c r="P15" s="3">
        <f>+P14+P9</f>
        <v>90</v>
      </c>
      <c r="Q15" s="3">
        <f>+Q14+Q9</f>
        <v>91</v>
      </c>
      <c r="AI15" s="50">
        <f>1/12+AI14</f>
        <v>0.16666666666666666</v>
      </c>
      <c r="AJ15" s="50">
        <f>AI14+((1/12)/2)</f>
        <v>0.125</v>
      </c>
      <c r="AK15" s="46">
        <f t="shared" si="0"/>
        <v>0.16666666666666666</v>
      </c>
      <c r="AL15" s="46">
        <f>IF(AK16&gt;0.01,0,AK15)</f>
        <v>0.16666666666666666</v>
      </c>
      <c r="AN15" s="114" t="s">
        <v>29</v>
      </c>
    </row>
    <row r="16" spans="1:40" ht="12.75">
      <c r="A16" s="17" t="s">
        <v>35</v>
      </c>
      <c r="B16" s="18"/>
      <c r="C16" s="18"/>
      <c r="D16" s="18"/>
      <c r="E16" s="24"/>
      <c r="F16" s="93">
        <f>IF(F14=0,0,((((1+(F15/F14))^F14)^0.5)*2)-2)</f>
        <v>0.042826845</v>
      </c>
      <c r="G16" s="104">
        <v>46249</v>
      </c>
      <c r="H16" s="121">
        <v>10</v>
      </c>
      <c r="I16" s="67" t="s">
        <v>36</v>
      </c>
      <c r="J16" s="42">
        <v>0.01765</v>
      </c>
      <c r="K16" s="73" t="s">
        <v>37</v>
      </c>
      <c r="L16" s="57"/>
      <c r="M16" s="135" t="s">
        <v>107</v>
      </c>
      <c r="N16" s="60"/>
      <c r="O16" s="22"/>
      <c r="AD16" s="3">
        <f>IF(F14=2,2,IF(F14=4,4,IF(F14=1,1,12)))</f>
        <v>4</v>
      </c>
      <c r="AI16" s="51">
        <f>1/12+AI15</f>
        <v>0.25</v>
      </c>
      <c r="AJ16" s="50">
        <f>AI15+((1/12)/2)</f>
        <v>0.20833333333333331</v>
      </c>
      <c r="AK16" s="46">
        <f t="shared" si="0"/>
        <v>0</v>
      </c>
      <c r="AL16" s="46">
        <f>IF(AK17&gt;0.01,0,AK16)</f>
        <v>0</v>
      </c>
      <c r="AN16" s="114" t="s">
        <v>29</v>
      </c>
    </row>
    <row r="17" spans="1:40" ht="12.75">
      <c r="A17" s="17" t="s">
        <v>41</v>
      </c>
      <c r="B17" s="18"/>
      <c r="C17" s="18"/>
      <c r="D17" s="18"/>
      <c r="E17" s="96"/>
      <c r="F17" s="92">
        <v>0.005</v>
      </c>
      <c r="G17" s="103"/>
      <c r="H17" s="142">
        <f>IF(F11="Y",F21,F20)</f>
        <v>11.71</v>
      </c>
      <c r="I17" s="67" t="s">
        <v>39</v>
      </c>
      <c r="J17" s="43">
        <f>ROUND(((+H17-H16)/(H18-H16)*(J18-J16))+J16,4)</f>
        <v>0.0183</v>
      </c>
      <c r="K17" s="74" t="s">
        <v>40</v>
      </c>
      <c r="L17" s="24">
        <f>DAYS360(E6,E8)</f>
        <v>34</v>
      </c>
      <c r="M17" s="17"/>
      <c r="N17" s="24">
        <f>+P17-L17</f>
        <v>56</v>
      </c>
      <c r="O17" s="3">
        <f>+N17+L17</f>
        <v>90</v>
      </c>
      <c r="P17" s="3">
        <f>IF(F14=2,180,IF(F14=4,90,IF(F14=12,30,360)))</f>
        <v>90</v>
      </c>
      <c r="Q17" s="3">
        <f>+O17-P17</f>
        <v>0</v>
      </c>
      <c r="R17" s="3">
        <f>IF(Q17&lt;&gt;0,1,0)</f>
        <v>0</v>
      </c>
      <c r="AI17" s="51">
        <f>1/12+AI16</f>
        <v>0.3333333333333333</v>
      </c>
      <c r="AJ17" s="50">
        <f>AI16+((1/12)/2)</f>
        <v>0.2916666666666667</v>
      </c>
      <c r="AK17" s="46">
        <f t="shared" si="0"/>
        <v>0</v>
      </c>
      <c r="AL17" s="46">
        <f>IF(AK18&gt;0.01,0,AK17)</f>
        <v>0</v>
      </c>
      <c r="AN17" s="114" t="s">
        <v>29</v>
      </c>
    </row>
    <row r="18" spans="1:40" ht="12.75">
      <c r="A18" s="132" t="s">
        <v>38</v>
      </c>
      <c r="B18" s="18"/>
      <c r="C18" s="18"/>
      <c r="D18" s="18"/>
      <c r="E18" s="96"/>
      <c r="F18" s="141">
        <f>J17+F17</f>
        <v>0.0233</v>
      </c>
      <c r="G18" s="105">
        <v>53554</v>
      </c>
      <c r="H18" s="122">
        <v>30</v>
      </c>
      <c r="I18" s="71" t="s">
        <v>36</v>
      </c>
      <c r="J18" s="69">
        <v>0.02517</v>
      </c>
      <c r="K18" s="36" t="s">
        <v>42</v>
      </c>
      <c r="L18" s="59">
        <f>+E8-E6</f>
        <v>34</v>
      </c>
      <c r="M18" s="58"/>
      <c r="N18" s="68">
        <f>+E7-E8</f>
        <v>57</v>
      </c>
      <c r="O18" s="3">
        <f>+N18+L18</f>
        <v>91</v>
      </c>
      <c r="AI18" s="51">
        <f aca="true" t="shared" si="1" ref="AI18:AI25">1/12+AI17</f>
        <v>0.41666666666666663</v>
      </c>
      <c r="AJ18" s="50">
        <f aca="true" t="shared" si="2" ref="AJ18:AJ25">AI17+((1/12)/2)</f>
        <v>0.375</v>
      </c>
      <c r="AK18" s="46">
        <f t="shared" si="0"/>
        <v>0</v>
      </c>
      <c r="AL18" s="46">
        <f>IF(AK19&gt;0.01,0,AK18)</f>
        <v>0</v>
      </c>
      <c r="AN18" s="114" t="s">
        <v>29</v>
      </c>
    </row>
    <row r="19" spans="1:40" ht="12.75">
      <c r="A19" s="132" t="s">
        <v>113</v>
      </c>
      <c r="B19" s="18"/>
      <c r="C19" s="18"/>
      <c r="D19" s="18"/>
      <c r="E19" s="24"/>
      <c r="F19" s="93">
        <f>IF(F18=0,0,((1+F18/2)^(2/F14)-1)*F14)</f>
        <v>0.02323253118683155</v>
      </c>
      <c r="G19" s="136"/>
      <c r="H19" s="138"/>
      <c r="I19" s="137"/>
      <c r="J19" s="139"/>
      <c r="Z19" s="3" t="s">
        <v>43</v>
      </c>
      <c r="AA19" s="3" t="s">
        <v>44</v>
      </c>
      <c r="AB19" s="3" t="s">
        <v>45</v>
      </c>
      <c r="AC19" s="3" t="s">
        <v>46</v>
      </c>
      <c r="AD19" s="3" t="s">
        <v>47</v>
      </c>
      <c r="AE19" s="3" t="s">
        <v>48</v>
      </c>
      <c r="AF19" s="3" t="s">
        <v>49</v>
      </c>
      <c r="AG19" s="3" t="s">
        <v>50</v>
      </c>
      <c r="AI19" s="51">
        <f>1/12+AI18</f>
        <v>0.49999999999999994</v>
      </c>
      <c r="AJ19" s="50">
        <f>AI18+((1/12)/2)</f>
        <v>0.4583333333333333</v>
      </c>
      <c r="AK19" s="46">
        <f t="shared" si="0"/>
        <v>0</v>
      </c>
      <c r="AL19" s="46">
        <f aca="true" t="shared" si="3" ref="AL19:AL25">IF(AK20&gt;0.01,0,AK19)</f>
        <v>0</v>
      </c>
      <c r="AN19" s="114" t="s">
        <v>29</v>
      </c>
    </row>
    <row r="20" spans="1:40" ht="12.75">
      <c r="A20" s="17" t="s">
        <v>51</v>
      </c>
      <c r="B20" s="18"/>
      <c r="C20" s="18"/>
      <c r="D20" s="18"/>
      <c r="E20" s="24"/>
      <c r="F20" s="94">
        <f>ROUND(K406/J5,2)</f>
        <v>11.69</v>
      </c>
      <c r="G20" s="140"/>
      <c r="H20" s="136"/>
      <c r="I20" s="137"/>
      <c r="J20" s="139"/>
      <c r="AI20" s="51">
        <f t="shared" si="1"/>
        <v>0.5833333333333333</v>
      </c>
      <c r="AJ20" s="50">
        <f t="shared" si="2"/>
        <v>0.5416666666666666</v>
      </c>
      <c r="AK20" s="46">
        <f t="shared" si="0"/>
        <v>0</v>
      </c>
      <c r="AL20" s="46">
        <f t="shared" si="3"/>
        <v>0</v>
      </c>
      <c r="AN20" s="114" t="s">
        <v>29</v>
      </c>
    </row>
    <row r="21" spans="1:40" ht="12.75">
      <c r="A21" s="157" t="s">
        <v>120</v>
      </c>
      <c r="B21" s="25"/>
      <c r="C21" s="25"/>
      <c r="D21" s="25"/>
      <c r="E21" s="68"/>
      <c r="F21" s="95">
        <f>ROUND(AG30,2)</f>
        <v>11.71</v>
      </c>
      <c r="G21" s="140"/>
      <c r="H21" s="136"/>
      <c r="I21" s="137"/>
      <c r="J21" s="139"/>
      <c r="L21" s="131"/>
      <c r="AI21" s="51">
        <f t="shared" si="1"/>
        <v>0.6666666666666666</v>
      </c>
      <c r="AJ21" s="50">
        <f t="shared" si="2"/>
        <v>0.6249999999999999</v>
      </c>
      <c r="AK21" s="46">
        <f t="shared" si="0"/>
        <v>0</v>
      </c>
      <c r="AL21" s="46">
        <f t="shared" si="3"/>
        <v>0</v>
      </c>
      <c r="AN21" s="114" t="s">
        <v>29</v>
      </c>
    </row>
    <row r="22" spans="1:40" ht="14.25">
      <c r="A22" s="97"/>
      <c r="B22" s="134"/>
      <c r="C22" s="87"/>
      <c r="D22" s="87"/>
      <c r="E22" s="87"/>
      <c r="F22" s="87"/>
      <c r="G22" s="87"/>
      <c r="H22" s="87"/>
      <c r="I22" s="87"/>
      <c r="J22" s="89"/>
      <c r="L22" s="131"/>
      <c r="P22" s="3">
        <f>IF($D$30/4=(ROUND($D$30/4,0)),1,0)</f>
        <v>1</v>
      </c>
      <c r="AC22" s="3" t="s">
        <v>52</v>
      </c>
      <c r="AI22" s="51">
        <f t="shared" si="1"/>
        <v>0.75</v>
      </c>
      <c r="AJ22" s="50">
        <f t="shared" si="2"/>
        <v>0.7083333333333333</v>
      </c>
      <c r="AK22" s="46">
        <f t="shared" si="0"/>
        <v>0</v>
      </c>
      <c r="AL22" s="46">
        <f t="shared" si="3"/>
        <v>0</v>
      </c>
      <c r="AN22" s="114" t="s">
        <v>29</v>
      </c>
    </row>
    <row r="23" spans="1:40" ht="12.75">
      <c r="A23" s="17"/>
      <c r="B23" s="18"/>
      <c r="C23" s="18"/>
      <c r="D23" s="56"/>
      <c r="E23" s="15"/>
      <c r="F23" s="83" t="s">
        <v>53</v>
      </c>
      <c r="G23" s="83" t="s">
        <v>54</v>
      </c>
      <c r="H23" s="60"/>
      <c r="J23" s="24"/>
      <c r="AA23" s="3" t="s">
        <v>55</v>
      </c>
      <c r="AB23" s="3" t="s">
        <v>56</v>
      </c>
      <c r="AC23" s="3" t="s">
        <v>57</v>
      </c>
      <c r="AD23" s="3" t="s">
        <v>52</v>
      </c>
      <c r="AG23" s="3" t="s">
        <v>58</v>
      </c>
      <c r="AI23" s="51">
        <f t="shared" si="1"/>
        <v>0.8333333333333334</v>
      </c>
      <c r="AJ23" s="50">
        <f t="shared" si="2"/>
        <v>0.7916666666666666</v>
      </c>
      <c r="AK23" s="46">
        <f t="shared" si="0"/>
        <v>0</v>
      </c>
      <c r="AL23" s="46">
        <f t="shared" si="3"/>
        <v>0</v>
      </c>
      <c r="AN23" s="114" t="s">
        <v>29</v>
      </c>
    </row>
    <row r="24" spans="1:40" ht="12.75">
      <c r="A24" s="17"/>
      <c r="B24" s="18"/>
      <c r="C24" s="18"/>
      <c r="D24" s="17"/>
      <c r="E24" s="18"/>
      <c r="F24" s="38" t="s">
        <v>59</v>
      </c>
      <c r="G24" s="38" t="s">
        <v>59</v>
      </c>
      <c r="H24" s="84" t="s">
        <v>60</v>
      </c>
      <c r="I24" s="100" t="s">
        <v>61</v>
      </c>
      <c r="J24" s="98">
        <f>IF(F13="Y",(J7/J$5)*100,(J7-J8)/J5*100)</f>
        <v>119.35948863461539</v>
      </c>
      <c r="Z24" s="49" t="s">
        <v>62</v>
      </c>
      <c r="AA24" s="3" t="s">
        <v>63</v>
      </c>
      <c r="AB24" s="3" t="s">
        <v>64</v>
      </c>
      <c r="AC24" s="44">
        <f>+Z29</f>
        <v>42667</v>
      </c>
      <c r="AD24" s="3" t="s">
        <v>65</v>
      </c>
      <c r="AE24" s="3" t="s">
        <v>55</v>
      </c>
      <c r="AG24" s="3" t="s">
        <v>66</v>
      </c>
      <c r="AI24" s="51">
        <f t="shared" si="1"/>
        <v>0.9166666666666667</v>
      </c>
      <c r="AJ24" s="50">
        <f t="shared" si="2"/>
        <v>0.875</v>
      </c>
      <c r="AK24" s="46">
        <f t="shared" si="0"/>
        <v>0</v>
      </c>
      <c r="AL24" s="46">
        <f t="shared" si="3"/>
        <v>0</v>
      </c>
      <c r="AN24" s="114" t="s">
        <v>29</v>
      </c>
    </row>
    <row r="25" spans="1:40" ht="12.75">
      <c r="A25" s="6"/>
      <c r="B25" s="25"/>
      <c r="C25" s="25"/>
      <c r="D25" s="58"/>
      <c r="E25" s="36" t="s">
        <v>67</v>
      </c>
      <c r="F25" s="37">
        <f>H25/(1+F16/2)</f>
        <v>8.747977809089605</v>
      </c>
      <c r="G25" s="37">
        <f>$H$25/(1+$F$15/$F$14)</f>
        <v>8.841143772756409</v>
      </c>
      <c r="H25" s="85">
        <f>$M$406/$L$406/$F$14</f>
        <v>8.935301953936264</v>
      </c>
      <c r="I25" s="101" t="s">
        <v>68</v>
      </c>
      <c r="J25" s="99">
        <f>IF(F13="Y",((J7+J8)/J$5)*100,+J7/J5*100)</f>
        <v>119.76182196153846</v>
      </c>
      <c r="K25" s="26" t="s">
        <v>69</v>
      </c>
      <c r="L25" s="27" t="s">
        <v>70</v>
      </c>
      <c r="M25" s="27"/>
      <c r="O25" s="27" t="s">
        <v>71</v>
      </c>
      <c r="P25" s="28"/>
      <c r="Q25" s="28"/>
      <c r="R25" s="28"/>
      <c r="S25" s="28"/>
      <c r="Z25" s="49" t="s">
        <v>72</v>
      </c>
      <c r="AA25" s="3" t="s">
        <v>73</v>
      </c>
      <c r="AB25" s="3" t="s">
        <v>74</v>
      </c>
      <c r="AC25" s="3" t="s">
        <v>74</v>
      </c>
      <c r="AD25" s="3" t="s">
        <v>75</v>
      </c>
      <c r="AE25" s="3" t="s">
        <v>63</v>
      </c>
      <c r="AF25" s="3" t="s">
        <v>76</v>
      </c>
      <c r="AG25" s="3" t="s">
        <v>77</v>
      </c>
      <c r="AI25" s="51">
        <f t="shared" si="1"/>
        <v>1</v>
      </c>
      <c r="AJ25" s="50">
        <f t="shared" si="2"/>
        <v>0.9583333333333334</v>
      </c>
      <c r="AK25" s="46">
        <f t="shared" si="0"/>
        <v>0</v>
      </c>
      <c r="AL25" s="46">
        <f t="shared" si="3"/>
        <v>0</v>
      </c>
      <c r="AN25" s="114" t="s">
        <v>29</v>
      </c>
    </row>
    <row r="26" spans="1:40" ht="12.75">
      <c r="A26" s="13"/>
      <c r="B26" s="13"/>
      <c r="C26" s="13"/>
      <c r="D26" s="13"/>
      <c r="E26" s="13"/>
      <c r="F26" s="13"/>
      <c r="G26" s="13"/>
      <c r="H26" s="13"/>
      <c r="L26" s="13"/>
      <c r="M26" s="13"/>
      <c r="O26" s="13"/>
      <c r="P26" s="13"/>
      <c r="Q26" s="13"/>
      <c r="R26" s="13"/>
      <c r="S26" s="13"/>
      <c r="Z26" s="4"/>
      <c r="AI26" s="47"/>
      <c r="AJ26" s="47"/>
      <c r="AK26" s="46"/>
      <c r="AL26" s="46">
        <f>SUM(AL14:AL25)</f>
        <v>0.16666666666666666</v>
      </c>
      <c r="AN26" s="114" t="s">
        <v>29</v>
      </c>
    </row>
    <row r="27" spans="1:40" ht="12.75">
      <c r="A27" s="29" t="str">
        <f>IF(F14=2,"1/2",IF(F14=4,"1/4",IF(F14=1,"1","1/12")))</f>
        <v>1/4</v>
      </c>
      <c r="B27" s="3" t="s">
        <v>78</v>
      </c>
      <c r="E27" s="30" t="s">
        <v>79</v>
      </c>
      <c r="F27" s="159" t="s">
        <v>121</v>
      </c>
      <c r="G27" s="160"/>
      <c r="H27" s="30" t="s">
        <v>81</v>
      </c>
      <c r="I27" s="63" t="s">
        <v>82</v>
      </c>
      <c r="J27" s="64"/>
      <c r="K27" s="30" t="s">
        <v>83</v>
      </c>
      <c r="M27" s="30" t="s">
        <v>83</v>
      </c>
      <c r="AG27" s="3" t="s">
        <v>84</v>
      </c>
      <c r="AI27" s="2"/>
      <c r="AJ27" s="11"/>
      <c r="AN27" s="114" t="s">
        <v>29</v>
      </c>
    </row>
    <row r="28" spans="1:40" ht="12.75">
      <c r="A28" s="31" t="s">
        <v>85</v>
      </c>
      <c r="B28" s="31" t="s">
        <v>86</v>
      </c>
      <c r="C28" s="31" t="s">
        <v>87</v>
      </c>
      <c r="D28" s="31" t="s">
        <v>88</v>
      </c>
      <c r="E28" s="31" t="s">
        <v>89</v>
      </c>
      <c r="F28" s="7" t="s">
        <v>80</v>
      </c>
      <c r="G28" s="31" t="s">
        <v>90</v>
      </c>
      <c r="H28" s="31" t="s">
        <v>91</v>
      </c>
      <c r="I28" s="65" t="s">
        <v>92</v>
      </c>
      <c r="J28" s="66" t="s">
        <v>93</v>
      </c>
      <c r="K28" s="31" t="s">
        <v>80</v>
      </c>
      <c r="L28" s="31" t="s">
        <v>94</v>
      </c>
      <c r="M28" s="31" t="s">
        <v>94</v>
      </c>
      <c r="O28" s="31" t="s">
        <v>95</v>
      </c>
      <c r="P28" s="31" t="s">
        <v>96</v>
      </c>
      <c r="Q28" s="31" t="s">
        <v>97</v>
      </c>
      <c r="R28" s="31" t="s">
        <v>98</v>
      </c>
      <c r="S28" s="31" t="s">
        <v>99</v>
      </c>
      <c r="AG28" s="3" t="s">
        <v>100</v>
      </c>
      <c r="AI28" s="2"/>
      <c r="AJ28" s="11"/>
      <c r="AN28" s="114" t="s">
        <v>29</v>
      </c>
    </row>
    <row r="29" spans="1:40" ht="12.75">
      <c r="A29" s="30"/>
      <c r="B29" s="30">
        <f>MONTH($E$7)</f>
        <v>12</v>
      </c>
      <c r="C29" s="30">
        <f>DAY($E$7)</f>
        <v>20</v>
      </c>
      <c r="D29" s="30">
        <f>YEAR($E$7)</f>
        <v>2016</v>
      </c>
      <c r="E29" s="21">
        <f>J5</f>
        <v>52000000</v>
      </c>
      <c r="F29" s="1"/>
      <c r="G29" s="21"/>
      <c r="H29" s="21"/>
      <c r="K29" s="10"/>
      <c r="N29" s="2"/>
      <c r="O29" s="30"/>
      <c r="P29" s="30"/>
      <c r="Q29" s="30"/>
      <c r="R29" s="30"/>
      <c r="S29" s="32"/>
      <c r="Z29" s="45">
        <f>+E8</f>
        <v>42667</v>
      </c>
      <c r="AG29" s="3" t="s">
        <v>101</v>
      </c>
      <c r="AI29" s="2"/>
      <c r="AJ29" s="11"/>
      <c r="AN29" s="114" t="s">
        <v>102</v>
      </c>
    </row>
    <row r="30" spans="1:40" ht="12.75">
      <c r="A30" s="33">
        <v>0</v>
      </c>
      <c r="B30" s="30">
        <f>B29</f>
        <v>12</v>
      </c>
      <c r="C30" s="30">
        <f>C29</f>
        <v>20</v>
      </c>
      <c r="D30" s="30">
        <f>D29</f>
        <v>2016</v>
      </c>
      <c r="E30" s="133">
        <f aca="true" t="shared" si="4" ref="E30:E70">ROUND(IF((+E29-F30)&lt;=-1,#VALUE!,E29-F30),2)</f>
        <v>50500000</v>
      </c>
      <c r="F30" s="1">
        <v>1500000</v>
      </c>
      <c r="G30" s="21">
        <f>ROUND(IF(F13="N",IF($M$3,E29*(S30-$E$6)*$F$15/360,ROUND(E29*F$15/F$14,2)),IF($M$3,(E29*(S30-$E$6)*$F$15/360)-J8,ROUND(E29*F$15/F$14,2)-J8)),2)</f>
        <v>344586.67</v>
      </c>
      <c r="H30" s="21">
        <f aca="true" t="shared" si="5" ref="H30:H93">G30+F30</f>
        <v>1844586.67</v>
      </c>
      <c r="I30" s="30">
        <f>+N17</f>
        <v>56</v>
      </c>
      <c r="J30" s="21">
        <f>(H30/((1+F19/F14)^(I30/360*F14)))</f>
        <v>1837951.6736454167</v>
      </c>
      <c r="K30" s="10">
        <f aca="true" t="shared" si="6" ref="K30:K93">F30*((A30/$F$14)+$E$9/IF($M$3,365,360))</f>
        <v>233333.33333333334</v>
      </c>
      <c r="L30" s="22">
        <f aca="true" t="shared" si="7" ref="L30:L93">(H30/((1+$F$15/$F$14)^(A30+($E$7-$E$8)/365*$F$14)))</f>
        <v>1832420.5506783521</v>
      </c>
      <c r="M30" s="10">
        <f aca="true" t="shared" si="8" ref="M30:M93">L30*(A30+($E$7-$E$8)/365*$F$14)</f>
        <v>1144635.3028894912</v>
      </c>
      <c r="O30" s="30" t="b">
        <f aca="true" t="shared" si="9" ref="O30:O93">(OR(OR(OR(OR(OR(OR(B30=1,B30=3),B30=5),B30=7),B30=8),B30=10),B30=12))</f>
        <v>1</v>
      </c>
      <c r="P30" s="30" t="b">
        <f aca="true" t="shared" si="10" ref="P30:P93">(OR(OR(OR(B30=4,B30=6),B30=9),B30=11))</f>
        <v>0</v>
      </c>
      <c r="Q30" s="30" t="b">
        <f aca="true" t="shared" si="11" ref="Q30:Q93">OR((AND(B30=2,C30=28)),(AND(B30=2,C30=29)))</f>
        <v>0</v>
      </c>
      <c r="R30" s="30">
        <f aca="true" t="shared" si="12" ref="R30:R93">IF(AND(D30/4=(ROUND(D30/4,0)),B30=2),1,0)</f>
        <v>0</v>
      </c>
      <c r="S30" s="32">
        <f>DATE(+D30-1900,+B30,+C30)</f>
        <v>42724</v>
      </c>
      <c r="AA30" s="45">
        <f aca="true" t="shared" si="13" ref="AA30:AA93">S30</f>
        <v>42724</v>
      </c>
      <c r="AB30" s="3">
        <f aca="true" t="shared" si="14" ref="AB30:AB93">DAYS360($Z$29,AA30)</f>
        <v>56</v>
      </c>
      <c r="AC30" s="3">
        <f aca="true" t="shared" si="15" ref="AC30:AC61">AB30/360</f>
        <v>0.15555555555555556</v>
      </c>
      <c r="AD30" s="3">
        <f>AL26</f>
        <v>0.16666666666666666</v>
      </c>
      <c r="AE30" s="48">
        <f aca="true" t="shared" si="16" ref="AE30:AE93">F30</f>
        <v>1500000</v>
      </c>
      <c r="AF30" s="3">
        <f aca="true" t="shared" si="17" ref="AF30:AF61">AE30*AD30</f>
        <v>250000</v>
      </c>
      <c r="AG30" s="131">
        <f>AF406/J5</f>
        <v>11.705128205128204</v>
      </c>
      <c r="AH30" s="4"/>
      <c r="AI30" s="2"/>
      <c r="AJ30" s="11"/>
      <c r="AN30" s="108">
        <f aca="true" t="shared" si="18" ref="AN30:AN93">IF($H30=0,0,DATE($D30,$B30,$C30))</f>
        <v>42724</v>
      </c>
    </row>
    <row r="31" spans="1:40" ht="12.75">
      <c r="A31" s="33">
        <f aca="true" t="shared" si="19" ref="A31:A70">A30+1</f>
        <v>1</v>
      </c>
      <c r="B31" s="30">
        <f aca="true" t="shared" si="20" ref="B31:B70">IF(F$14=12,MOD(B30,12)+1,IF(F$14=4,IF(AND(MOD(B30,12)+3&gt;12,B30=11),2,IF(MOD(B30,12)+3&gt;12,1,MOD(B30,12)+3)),IF(F$14=2,IF((B30+6)&gt;12,(B30+6)-12,MOD(B30,12)+6),+B30)))</f>
        <v>3</v>
      </c>
      <c r="C31" s="30">
        <f>IF(AND((OR(C$30=31,Q$30=1)),P31=1),30,IF(AND((OR(C$30=30,Q$30=1)),O31=1),31,IF(AND(AND(C30&gt;29,B31=2),R31=1),29,IF(AND(AND(C30&gt;29,B31=2),R31=0),28,C$30))))</f>
        <v>20</v>
      </c>
      <c r="D31" s="30">
        <f aca="true" t="shared" si="21" ref="D31:D70">IF(F$14=1,D30+1,IF(AND(F$14=2,B31&lt;B30),D30+1,IF(AND(F$14=4,B31&lt;B30),D30+1,IF(OR(B31=1,B30=12),D30+1,D30))))</f>
        <v>2017</v>
      </c>
      <c r="E31" s="133">
        <f t="shared" si="4"/>
        <v>50500000</v>
      </c>
      <c r="F31" s="1"/>
      <c r="G31" s="133">
        <f>ROUND(IF(D31&gt;2078,0,IF($M$3,E30*(S31-S30)*$F$15/360,IF(AND(Q31&gt;0,OR(F$12="N",F$12="No")),(E30*F$15/F$14),ROUND(E30*$F$15*DAYS360(S30,S31)/360,2)))),2)</f>
        <v>537825</v>
      </c>
      <c r="H31" s="133">
        <f t="shared" si="5"/>
        <v>537825</v>
      </c>
      <c r="I31" s="30">
        <f aca="true" t="shared" si="22" ref="I31:I70">I30+(360/$F$14)</f>
        <v>146</v>
      </c>
      <c r="J31" s="133">
        <f aca="true" t="shared" si="23" ref="J31:J94">($H31/((1+$F$19/$F$14)^(I31/360*$F$14)))</f>
        <v>532795.8889204481</v>
      </c>
      <c r="K31" s="10">
        <f t="shared" si="6"/>
        <v>0</v>
      </c>
      <c r="L31" s="22">
        <f t="shared" si="7"/>
        <v>528647.6347675492</v>
      </c>
      <c r="M31" s="10">
        <f t="shared" si="8"/>
        <v>858871.3627867308</v>
      </c>
      <c r="O31" s="30" t="b">
        <f t="shared" si="9"/>
        <v>1</v>
      </c>
      <c r="P31" s="30" t="b">
        <f t="shared" si="10"/>
        <v>0</v>
      </c>
      <c r="Q31" s="30" t="b">
        <f t="shared" si="11"/>
        <v>0</v>
      </c>
      <c r="R31" s="30">
        <f t="shared" si="12"/>
        <v>0</v>
      </c>
      <c r="S31" s="32">
        <f aca="true" t="shared" si="24" ref="S31:S94">IF(D31&gt;2078,0,DATE(+D31-1900,+B31,+C31))</f>
        <v>42814</v>
      </c>
      <c r="AA31" s="45">
        <f t="shared" si="13"/>
        <v>42814</v>
      </c>
      <c r="AB31" s="3">
        <f t="shared" si="14"/>
        <v>146</v>
      </c>
      <c r="AC31" s="3">
        <f t="shared" si="15"/>
        <v>0.40555555555555556</v>
      </c>
      <c r="AD31" s="3">
        <f aca="true" t="shared" si="25" ref="AD31:AD94">AD30+(1/$AD$16)</f>
        <v>0.41666666666666663</v>
      </c>
      <c r="AE31" s="48">
        <f t="shared" si="16"/>
        <v>0</v>
      </c>
      <c r="AF31" s="3">
        <f t="shared" si="17"/>
        <v>0</v>
      </c>
      <c r="AH31" s="4"/>
      <c r="AI31" s="2"/>
      <c r="AJ31" s="11"/>
      <c r="AN31" s="108">
        <f t="shared" si="18"/>
        <v>42814</v>
      </c>
    </row>
    <row r="32" spans="1:40" ht="12.75">
      <c r="A32" s="33">
        <f t="shared" si="19"/>
        <v>2</v>
      </c>
      <c r="B32" s="30">
        <f t="shared" si="20"/>
        <v>6</v>
      </c>
      <c r="C32" s="30">
        <f>IF(AND((OR(C$30=31,Q$30=1)),P32=1),30,IF(AND((OR(C$30=30,Q$30=1)),O32=1),31,IF(AND(AND(C31&gt;29,B32=2),R32=1),29,IF(AND(AND(C31&gt;29,B32=2),R32=0),28,C$30))))</f>
        <v>20</v>
      </c>
      <c r="D32" s="30">
        <f t="shared" si="21"/>
        <v>2017</v>
      </c>
      <c r="E32" s="133">
        <f t="shared" si="4"/>
        <v>50500000</v>
      </c>
      <c r="F32" s="1"/>
      <c r="G32" s="133">
        <f aca="true" t="shared" si="26" ref="G32:G95">ROUND(IF(D32&gt;2078,0,IF($M$3,E31*(S32-S31)*$F$15/360,IF(AND(Q32&gt;0,OR(F$12="N",F$12="No")),(E31*F$15/F$14),ROUND(E31*$F$15*DAYS360(S31,S32)/360,2)))),2)</f>
        <v>537825</v>
      </c>
      <c r="H32" s="133">
        <f t="shared" si="5"/>
        <v>537825</v>
      </c>
      <c r="I32" s="30">
        <f t="shared" si="22"/>
        <v>236</v>
      </c>
      <c r="J32" s="133">
        <f t="shared" si="23"/>
        <v>529719.2094072436</v>
      </c>
      <c r="K32" s="10">
        <f t="shared" si="6"/>
        <v>0</v>
      </c>
      <c r="L32" s="22">
        <f t="shared" si="7"/>
        <v>523076.8661431248</v>
      </c>
      <c r="M32" s="10">
        <f t="shared" si="8"/>
        <v>1372897.63771264</v>
      </c>
      <c r="O32" s="30" t="b">
        <f t="shared" si="9"/>
        <v>0</v>
      </c>
      <c r="P32" s="30" t="b">
        <f t="shared" si="10"/>
        <v>1</v>
      </c>
      <c r="Q32" s="30" t="b">
        <f t="shared" si="11"/>
        <v>0</v>
      </c>
      <c r="R32" s="30">
        <f t="shared" si="12"/>
        <v>0</v>
      </c>
      <c r="S32" s="32">
        <f t="shared" si="24"/>
        <v>42906</v>
      </c>
      <c r="AA32" s="45">
        <f t="shared" si="13"/>
        <v>42906</v>
      </c>
      <c r="AB32" s="3">
        <f t="shared" si="14"/>
        <v>236</v>
      </c>
      <c r="AC32" s="3">
        <f t="shared" si="15"/>
        <v>0.6555555555555556</v>
      </c>
      <c r="AD32" s="3">
        <f t="shared" si="25"/>
        <v>0.6666666666666666</v>
      </c>
      <c r="AE32" s="48">
        <f t="shared" si="16"/>
        <v>0</v>
      </c>
      <c r="AF32" s="3">
        <f t="shared" si="17"/>
        <v>0</v>
      </c>
      <c r="AH32" s="4"/>
      <c r="AI32" s="2"/>
      <c r="AJ32" s="11"/>
      <c r="AN32" s="108">
        <f t="shared" si="18"/>
        <v>42906</v>
      </c>
    </row>
    <row r="33" spans="1:40" ht="12.75">
      <c r="A33" s="33">
        <f t="shared" si="19"/>
        <v>3</v>
      </c>
      <c r="B33" s="30">
        <f t="shared" si="20"/>
        <v>9</v>
      </c>
      <c r="C33" s="30">
        <f>IF(AND((OR(C$30=31,Q$30=1)),P33=1),30,IF(AND((OR(C$30=30,Q$30=1)),O33=1),31,IF(AND(AND(C32&gt;29,B33=2),R33=1),29,IF(AND(AND(C32&gt;29,B33=2),R33=0),28,C$30))))</f>
        <v>20</v>
      </c>
      <c r="D33" s="30">
        <f t="shared" si="21"/>
        <v>2017</v>
      </c>
      <c r="E33" s="133">
        <f t="shared" si="4"/>
        <v>50500000</v>
      </c>
      <c r="F33" s="1"/>
      <c r="G33" s="133">
        <f t="shared" si="26"/>
        <v>537825</v>
      </c>
      <c r="H33" s="133">
        <f t="shared" si="5"/>
        <v>537825</v>
      </c>
      <c r="I33" s="30">
        <f t="shared" si="22"/>
        <v>326</v>
      </c>
      <c r="J33" s="133">
        <f t="shared" si="23"/>
        <v>526660.296466612</v>
      </c>
      <c r="K33" s="10">
        <f t="shared" si="6"/>
        <v>0</v>
      </c>
      <c r="L33" s="22">
        <f t="shared" si="7"/>
        <v>517564.8010123434</v>
      </c>
      <c r="M33" s="10">
        <f t="shared" si="8"/>
        <v>1875995.15545022</v>
      </c>
      <c r="O33" s="30" t="b">
        <f t="shared" si="9"/>
        <v>0</v>
      </c>
      <c r="P33" s="30" t="b">
        <f t="shared" si="10"/>
        <v>1</v>
      </c>
      <c r="Q33" s="30" t="b">
        <f t="shared" si="11"/>
        <v>0</v>
      </c>
      <c r="R33" s="30">
        <f t="shared" si="12"/>
        <v>0</v>
      </c>
      <c r="S33" s="32">
        <f t="shared" si="24"/>
        <v>42998</v>
      </c>
      <c r="AA33" s="45">
        <f t="shared" si="13"/>
        <v>42998</v>
      </c>
      <c r="AB33" s="3">
        <f t="shared" si="14"/>
        <v>326</v>
      </c>
      <c r="AC33" s="3">
        <f t="shared" si="15"/>
        <v>0.9055555555555556</v>
      </c>
      <c r="AD33" s="3">
        <f t="shared" si="25"/>
        <v>0.9166666666666666</v>
      </c>
      <c r="AE33" s="48">
        <f t="shared" si="16"/>
        <v>0</v>
      </c>
      <c r="AF33" s="3">
        <f t="shared" si="17"/>
        <v>0</v>
      </c>
      <c r="AH33" s="4"/>
      <c r="AI33" s="2"/>
      <c r="AJ33" s="11"/>
      <c r="AN33" s="108">
        <f t="shared" si="18"/>
        <v>42998</v>
      </c>
    </row>
    <row r="34" spans="1:40" ht="12.75">
      <c r="A34" s="33">
        <f t="shared" si="19"/>
        <v>4</v>
      </c>
      <c r="B34" s="30">
        <f t="shared" si="20"/>
        <v>12</v>
      </c>
      <c r="C34" s="30">
        <f>IF(AND((OR(C$30=31,Q$30=1)),P34=1),30,IF(AND((OR(C$30=30,Q$30=1)),O34=1),31,IF(AND(AND(C33&gt;29,B34=2),R34=1),29,IF(AND(AND(C33&gt;29,B34=2),R34=0),28,C$30))))</f>
        <v>20</v>
      </c>
      <c r="D34" s="30">
        <f t="shared" si="21"/>
        <v>2017</v>
      </c>
      <c r="E34" s="133">
        <f t="shared" si="4"/>
        <v>49000000</v>
      </c>
      <c r="F34" s="1">
        <v>1500000</v>
      </c>
      <c r="G34" s="133">
        <f t="shared" si="26"/>
        <v>537825</v>
      </c>
      <c r="H34" s="133">
        <f t="shared" si="5"/>
        <v>2037825</v>
      </c>
      <c r="I34" s="30">
        <f t="shared" si="22"/>
        <v>416</v>
      </c>
      <c r="J34" s="133">
        <f t="shared" si="23"/>
        <v>1983998.485528714</v>
      </c>
      <c r="K34" s="10">
        <f t="shared" si="6"/>
        <v>1733333.3333333333</v>
      </c>
      <c r="L34" s="22">
        <f t="shared" si="7"/>
        <v>1940393.6844474128</v>
      </c>
      <c r="M34" s="10">
        <f t="shared" si="8"/>
        <v>8973656.272184199</v>
      </c>
      <c r="O34" s="30" t="b">
        <f t="shared" si="9"/>
        <v>1</v>
      </c>
      <c r="P34" s="30" t="b">
        <f t="shared" si="10"/>
        <v>0</v>
      </c>
      <c r="Q34" s="30" t="b">
        <f t="shared" si="11"/>
        <v>0</v>
      </c>
      <c r="R34" s="30">
        <f t="shared" si="12"/>
        <v>0</v>
      </c>
      <c r="S34" s="32">
        <f t="shared" si="24"/>
        <v>43089</v>
      </c>
      <c r="AA34" s="45">
        <f t="shared" si="13"/>
        <v>43089</v>
      </c>
      <c r="AB34" s="3">
        <f t="shared" si="14"/>
        <v>416</v>
      </c>
      <c r="AC34" s="3">
        <f t="shared" si="15"/>
        <v>1.1555555555555554</v>
      </c>
      <c r="AD34" s="3">
        <f t="shared" si="25"/>
        <v>1.1666666666666665</v>
      </c>
      <c r="AE34" s="48">
        <f t="shared" si="16"/>
        <v>1500000</v>
      </c>
      <c r="AF34" s="3">
        <f t="shared" si="17"/>
        <v>1749999.9999999998</v>
      </c>
      <c r="AI34" s="2"/>
      <c r="AJ34" s="11"/>
      <c r="AN34" s="108">
        <f t="shared" si="18"/>
        <v>43089</v>
      </c>
    </row>
    <row r="35" spans="1:40" ht="12.75">
      <c r="A35" s="33">
        <f t="shared" si="19"/>
        <v>5</v>
      </c>
      <c r="B35" s="30">
        <f t="shared" si="20"/>
        <v>3</v>
      </c>
      <c r="C35" s="30">
        <f>IF(AND((OR(C$30=31,Q$30=1)),P35=1),30,IF(AND((OR(C$30=30,Q$30=1)),O35=1),31,IF(AND(AND(C34&gt;29,B35=2),R35=1),29,IF(AND(AND(C34&gt;29,B35=2),R35=0),28,C$30))))</f>
        <v>20</v>
      </c>
      <c r="D35" s="30">
        <f t="shared" si="21"/>
        <v>2018</v>
      </c>
      <c r="E35" s="133">
        <f t="shared" si="4"/>
        <v>49000000</v>
      </c>
      <c r="F35" s="1"/>
      <c r="G35" s="133">
        <f t="shared" si="26"/>
        <v>521850</v>
      </c>
      <c r="H35" s="133">
        <f t="shared" si="5"/>
        <v>521850</v>
      </c>
      <c r="I35" s="30">
        <f t="shared" si="22"/>
        <v>506</v>
      </c>
      <c r="J35" s="133">
        <f t="shared" si="23"/>
        <v>505132.13198639796</v>
      </c>
      <c r="K35" s="10">
        <f t="shared" si="6"/>
        <v>0</v>
      </c>
      <c r="L35" s="22">
        <f t="shared" si="7"/>
        <v>491663.3931360792</v>
      </c>
      <c r="M35" s="10">
        <f t="shared" si="8"/>
        <v>2765438.2085160837</v>
      </c>
      <c r="O35" s="30" t="b">
        <f t="shared" si="9"/>
        <v>1</v>
      </c>
      <c r="P35" s="30" t="b">
        <f t="shared" si="10"/>
        <v>0</v>
      </c>
      <c r="Q35" s="30" t="b">
        <f t="shared" si="11"/>
        <v>0</v>
      </c>
      <c r="R35" s="30">
        <f t="shared" si="12"/>
        <v>0</v>
      </c>
      <c r="S35" s="32">
        <f t="shared" si="24"/>
        <v>43179</v>
      </c>
      <c r="AA35" s="45">
        <f t="shared" si="13"/>
        <v>43179</v>
      </c>
      <c r="AB35" s="3">
        <f t="shared" si="14"/>
        <v>506</v>
      </c>
      <c r="AC35" s="3">
        <f t="shared" si="15"/>
        <v>1.4055555555555554</v>
      </c>
      <c r="AD35" s="3">
        <f t="shared" si="25"/>
        <v>1.4166666666666665</v>
      </c>
      <c r="AE35" s="48">
        <f t="shared" si="16"/>
        <v>0</v>
      </c>
      <c r="AF35" s="3">
        <f t="shared" si="17"/>
        <v>0</v>
      </c>
      <c r="AH35" s="4"/>
      <c r="AI35" s="2"/>
      <c r="AJ35" s="11"/>
      <c r="AN35" s="108">
        <f t="shared" si="18"/>
        <v>43179</v>
      </c>
    </row>
    <row r="36" spans="1:40" ht="12.75">
      <c r="A36" s="33">
        <f t="shared" si="19"/>
        <v>6</v>
      </c>
      <c r="B36" s="30">
        <f t="shared" si="20"/>
        <v>6</v>
      </c>
      <c r="C36" s="30">
        <f>IF(AND((OR(C$30=31,Q$30=1)),P36=1),30,IF(AND((OR(C$30=30,Q$30=1)),O36=1),31,IF(AND(AND(C35&gt;29,B36=2),R36=1),29,IF(AND(AND(C35&gt;29,B36=2),R36=0),28,C$30))))</f>
        <v>20</v>
      </c>
      <c r="D36" s="30">
        <f t="shared" si="21"/>
        <v>2018</v>
      </c>
      <c r="E36" s="133">
        <f t="shared" si="4"/>
        <v>49000000</v>
      </c>
      <c r="F36" s="1"/>
      <c r="G36" s="133">
        <f t="shared" si="26"/>
        <v>521850</v>
      </c>
      <c r="H36" s="133">
        <f t="shared" si="5"/>
        <v>521850</v>
      </c>
      <c r="I36" s="30">
        <f t="shared" si="22"/>
        <v>596</v>
      </c>
      <c r="J36" s="133">
        <f t="shared" si="23"/>
        <v>502215.19941566663</v>
      </c>
      <c r="K36" s="10">
        <f t="shared" si="6"/>
        <v>0</v>
      </c>
      <c r="L36" s="22">
        <f t="shared" si="7"/>
        <v>486482.3560442083</v>
      </c>
      <c r="M36" s="10">
        <f t="shared" si="8"/>
        <v>3222779.005246289</v>
      </c>
      <c r="O36" s="30" t="b">
        <f t="shared" si="9"/>
        <v>0</v>
      </c>
      <c r="P36" s="30" t="b">
        <f t="shared" si="10"/>
        <v>1</v>
      </c>
      <c r="Q36" s="30" t="b">
        <f t="shared" si="11"/>
        <v>0</v>
      </c>
      <c r="R36" s="30">
        <f t="shared" si="12"/>
        <v>0</v>
      </c>
      <c r="S36" s="32">
        <f t="shared" si="24"/>
        <v>43271</v>
      </c>
      <c r="AA36" s="45">
        <f t="shared" si="13"/>
        <v>43271</v>
      </c>
      <c r="AB36" s="3">
        <f t="shared" si="14"/>
        <v>596</v>
      </c>
      <c r="AC36" s="3">
        <f t="shared" si="15"/>
        <v>1.6555555555555554</v>
      </c>
      <c r="AD36" s="3">
        <f t="shared" si="25"/>
        <v>1.6666666666666665</v>
      </c>
      <c r="AE36" s="48">
        <f t="shared" si="16"/>
        <v>0</v>
      </c>
      <c r="AF36" s="3">
        <f t="shared" si="17"/>
        <v>0</v>
      </c>
      <c r="AH36" s="4"/>
      <c r="AI36" s="2"/>
      <c r="AJ36" s="11"/>
      <c r="AN36" s="108">
        <f t="shared" si="18"/>
        <v>43271</v>
      </c>
    </row>
    <row r="37" spans="1:40" ht="12.75">
      <c r="A37" s="33">
        <f t="shared" si="19"/>
        <v>7</v>
      </c>
      <c r="B37" s="30">
        <f t="shared" si="20"/>
        <v>9</v>
      </c>
      <c r="C37" s="30">
        <f aca="true" t="shared" si="27" ref="C37:C100">IF(AND((OR(C$30=31,Q$30=1)),P37=1),30,IF(AND((OR(C$30=30,Q$30=1)),O37=1),31,IF(AND(AND(C36&gt;29,B37=2),R37=1),29,IF(AND(AND(C36&gt;29,B37=2),R37=0),28,C$30))))</f>
        <v>20</v>
      </c>
      <c r="D37" s="30">
        <f t="shared" si="21"/>
        <v>2018</v>
      </c>
      <c r="E37" s="133">
        <f t="shared" si="4"/>
        <v>49000000</v>
      </c>
      <c r="F37" s="1"/>
      <c r="G37" s="133">
        <f t="shared" si="26"/>
        <v>521850</v>
      </c>
      <c r="H37" s="133">
        <f t="shared" si="5"/>
        <v>521850</v>
      </c>
      <c r="I37" s="30">
        <f t="shared" si="22"/>
        <v>686</v>
      </c>
      <c r="J37" s="133">
        <f t="shared" si="23"/>
        <v>499315.1109439015</v>
      </c>
      <c r="K37" s="10">
        <f t="shared" si="6"/>
        <v>0</v>
      </c>
      <c r="L37" s="22">
        <f t="shared" si="7"/>
        <v>481355.91554366815</v>
      </c>
      <c r="M37" s="10">
        <f t="shared" si="8"/>
        <v>3670174.0081041874</v>
      </c>
      <c r="O37" s="30" t="b">
        <f t="shared" si="9"/>
        <v>0</v>
      </c>
      <c r="P37" s="30" t="b">
        <f t="shared" si="10"/>
        <v>1</v>
      </c>
      <c r="Q37" s="30" t="b">
        <f t="shared" si="11"/>
        <v>0</v>
      </c>
      <c r="R37" s="30">
        <f t="shared" si="12"/>
        <v>0</v>
      </c>
      <c r="S37" s="32">
        <f t="shared" si="24"/>
        <v>43363</v>
      </c>
      <c r="AA37" s="45">
        <f t="shared" si="13"/>
        <v>43363</v>
      </c>
      <c r="AB37" s="3">
        <f t="shared" si="14"/>
        <v>686</v>
      </c>
      <c r="AC37" s="3">
        <f t="shared" si="15"/>
        <v>1.9055555555555554</v>
      </c>
      <c r="AD37" s="3">
        <f t="shared" si="25"/>
        <v>1.9166666666666665</v>
      </c>
      <c r="AE37" s="48">
        <f t="shared" si="16"/>
        <v>0</v>
      </c>
      <c r="AF37" s="3">
        <f t="shared" si="17"/>
        <v>0</v>
      </c>
      <c r="AH37" s="4"/>
      <c r="AI37" s="2"/>
      <c r="AJ37" s="11"/>
      <c r="AN37" s="108">
        <f t="shared" si="18"/>
        <v>43363</v>
      </c>
    </row>
    <row r="38" spans="1:40" ht="12.75">
      <c r="A38" s="33">
        <f t="shared" si="19"/>
        <v>8</v>
      </c>
      <c r="B38" s="30">
        <f t="shared" si="20"/>
        <v>12</v>
      </c>
      <c r="C38" s="30">
        <f t="shared" si="27"/>
        <v>20</v>
      </c>
      <c r="D38" s="30">
        <f t="shared" si="21"/>
        <v>2018</v>
      </c>
      <c r="E38" s="133">
        <f t="shared" si="4"/>
        <v>47500000</v>
      </c>
      <c r="F38" s="1">
        <v>1500000</v>
      </c>
      <c r="G38" s="133">
        <f t="shared" si="26"/>
        <v>521850</v>
      </c>
      <c r="H38" s="133">
        <f t="shared" si="5"/>
        <v>2021850</v>
      </c>
      <c r="I38" s="30">
        <f t="shared" si="22"/>
        <v>776</v>
      </c>
      <c r="J38" s="133">
        <f t="shared" si="23"/>
        <v>1923369.8817013386</v>
      </c>
      <c r="K38" s="10">
        <f t="shared" si="6"/>
        <v>3233333.333333333</v>
      </c>
      <c r="L38" s="22">
        <f t="shared" si="7"/>
        <v>1845307.6305649243</v>
      </c>
      <c r="M38" s="10">
        <f t="shared" si="8"/>
        <v>15915146.35895447</v>
      </c>
      <c r="O38" s="30" t="b">
        <f t="shared" si="9"/>
        <v>1</v>
      </c>
      <c r="P38" s="30" t="b">
        <f t="shared" si="10"/>
        <v>0</v>
      </c>
      <c r="Q38" s="30" t="b">
        <f t="shared" si="11"/>
        <v>0</v>
      </c>
      <c r="R38" s="30">
        <f t="shared" si="12"/>
        <v>0</v>
      </c>
      <c r="S38" s="32">
        <f t="shared" si="24"/>
        <v>43454</v>
      </c>
      <c r="AA38" s="45">
        <f t="shared" si="13"/>
        <v>43454</v>
      </c>
      <c r="AB38" s="3">
        <f t="shared" si="14"/>
        <v>776</v>
      </c>
      <c r="AC38" s="3">
        <f t="shared" si="15"/>
        <v>2.1555555555555554</v>
      </c>
      <c r="AD38" s="3">
        <f t="shared" si="25"/>
        <v>2.1666666666666665</v>
      </c>
      <c r="AE38" s="48">
        <f t="shared" si="16"/>
        <v>1500000</v>
      </c>
      <c r="AF38" s="3">
        <f t="shared" si="17"/>
        <v>3250000</v>
      </c>
      <c r="AG38" s="4"/>
      <c r="AH38" s="4"/>
      <c r="AN38" s="108">
        <f t="shared" si="18"/>
        <v>43454</v>
      </c>
    </row>
    <row r="39" spans="1:40" ht="12.75">
      <c r="A39" s="33">
        <f t="shared" si="19"/>
        <v>9</v>
      </c>
      <c r="B39" s="30">
        <f t="shared" si="20"/>
        <v>3</v>
      </c>
      <c r="C39" s="30">
        <f t="shared" si="27"/>
        <v>20</v>
      </c>
      <c r="D39" s="30">
        <f t="shared" si="21"/>
        <v>2019</v>
      </c>
      <c r="E39" s="133">
        <f t="shared" si="4"/>
        <v>47500000</v>
      </c>
      <c r="F39" s="1"/>
      <c r="G39" s="133">
        <f t="shared" si="26"/>
        <v>505875</v>
      </c>
      <c r="H39" s="133">
        <f t="shared" si="5"/>
        <v>505875</v>
      </c>
      <c r="I39" s="30">
        <f t="shared" si="22"/>
        <v>866</v>
      </c>
      <c r="J39" s="133">
        <f t="shared" si="23"/>
        <v>478455.9427533585</v>
      </c>
      <c r="K39" s="10">
        <f t="shared" si="6"/>
        <v>0</v>
      </c>
      <c r="L39" s="22">
        <f t="shared" si="7"/>
        <v>456838.06389764184</v>
      </c>
      <c r="M39" s="10">
        <f t="shared" si="8"/>
        <v>4396909.913623056</v>
      </c>
      <c r="O39" s="30" t="b">
        <f t="shared" si="9"/>
        <v>1</v>
      </c>
      <c r="P39" s="30" t="b">
        <f t="shared" si="10"/>
        <v>0</v>
      </c>
      <c r="Q39" s="30" t="b">
        <f t="shared" si="11"/>
        <v>0</v>
      </c>
      <c r="R39" s="30">
        <f t="shared" si="12"/>
        <v>0</v>
      </c>
      <c r="S39" s="32">
        <f t="shared" si="24"/>
        <v>43544</v>
      </c>
      <c r="AA39" s="45">
        <f t="shared" si="13"/>
        <v>43544</v>
      </c>
      <c r="AB39" s="3">
        <f t="shared" si="14"/>
        <v>866</v>
      </c>
      <c r="AC39" s="3">
        <f t="shared" si="15"/>
        <v>2.4055555555555554</v>
      </c>
      <c r="AD39" s="3">
        <f t="shared" si="25"/>
        <v>2.4166666666666665</v>
      </c>
      <c r="AE39" s="48">
        <f t="shared" si="16"/>
        <v>0</v>
      </c>
      <c r="AF39" s="3">
        <f t="shared" si="17"/>
        <v>0</v>
      </c>
      <c r="AG39" s="4"/>
      <c r="AI39" s="11"/>
      <c r="AJ39" s="11"/>
      <c r="AN39" s="108">
        <f t="shared" si="18"/>
        <v>43544</v>
      </c>
    </row>
    <row r="40" spans="1:40" ht="12.75">
      <c r="A40" s="33">
        <f t="shared" si="19"/>
        <v>10</v>
      </c>
      <c r="B40" s="30">
        <f t="shared" si="20"/>
        <v>6</v>
      </c>
      <c r="C40" s="30">
        <f t="shared" si="27"/>
        <v>20</v>
      </c>
      <c r="D40" s="30">
        <f t="shared" si="21"/>
        <v>2019</v>
      </c>
      <c r="E40" s="133">
        <f t="shared" si="4"/>
        <v>47500000</v>
      </c>
      <c r="F40" s="1"/>
      <c r="G40" s="133">
        <f t="shared" si="26"/>
        <v>505875</v>
      </c>
      <c r="H40" s="133">
        <f t="shared" si="5"/>
        <v>505875</v>
      </c>
      <c r="I40" s="30">
        <f t="shared" si="22"/>
        <v>956</v>
      </c>
      <c r="J40" s="133">
        <f t="shared" si="23"/>
        <v>475693.05432337674</v>
      </c>
      <c r="K40" s="10">
        <f t="shared" si="6"/>
        <v>0</v>
      </c>
      <c r="L40" s="22">
        <f t="shared" si="7"/>
        <v>452024.0082102032</v>
      </c>
      <c r="M40" s="10">
        <f t="shared" si="8"/>
        <v>4802600.284490871</v>
      </c>
      <c r="O40" s="30" t="b">
        <f t="shared" si="9"/>
        <v>0</v>
      </c>
      <c r="P40" s="30" t="b">
        <f t="shared" si="10"/>
        <v>1</v>
      </c>
      <c r="Q40" s="30" t="b">
        <f t="shared" si="11"/>
        <v>0</v>
      </c>
      <c r="R40" s="30">
        <f t="shared" si="12"/>
        <v>0</v>
      </c>
      <c r="S40" s="32">
        <f t="shared" si="24"/>
        <v>43636</v>
      </c>
      <c r="AA40" s="45">
        <f t="shared" si="13"/>
        <v>43636</v>
      </c>
      <c r="AB40" s="3">
        <f t="shared" si="14"/>
        <v>956</v>
      </c>
      <c r="AC40" s="3">
        <f t="shared" si="15"/>
        <v>2.6555555555555554</v>
      </c>
      <c r="AD40" s="3">
        <f t="shared" si="25"/>
        <v>2.6666666666666665</v>
      </c>
      <c r="AE40" s="48">
        <f t="shared" si="16"/>
        <v>0</v>
      </c>
      <c r="AF40" s="3">
        <f t="shared" si="17"/>
        <v>0</v>
      </c>
      <c r="AH40" s="4"/>
      <c r="AI40" s="4"/>
      <c r="AJ40" s="11"/>
      <c r="AN40" s="108">
        <f t="shared" si="18"/>
        <v>43636</v>
      </c>
    </row>
    <row r="41" spans="1:40" ht="12.75">
      <c r="A41" s="33">
        <f t="shared" si="19"/>
        <v>11</v>
      </c>
      <c r="B41" s="30">
        <f t="shared" si="20"/>
        <v>9</v>
      </c>
      <c r="C41" s="30">
        <f t="shared" si="27"/>
        <v>20</v>
      </c>
      <c r="D41" s="30">
        <f t="shared" si="21"/>
        <v>2019</v>
      </c>
      <c r="E41" s="133">
        <f t="shared" si="4"/>
        <v>47500000</v>
      </c>
      <c r="F41" s="1"/>
      <c r="G41" s="133">
        <f t="shared" si="26"/>
        <v>505875</v>
      </c>
      <c r="H41" s="133">
        <f t="shared" si="5"/>
        <v>505875</v>
      </c>
      <c r="I41" s="30">
        <f t="shared" si="22"/>
        <v>1046</v>
      </c>
      <c r="J41" s="133">
        <f t="shared" si="23"/>
        <v>472946.12045011466</v>
      </c>
      <c r="K41" s="10">
        <f t="shared" si="6"/>
        <v>0</v>
      </c>
      <c r="L41" s="22">
        <f t="shared" si="7"/>
        <v>447260.68194746267</v>
      </c>
      <c r="M41" s="10">
        <f t="shared" si="8"/>
        <v>5199252.256172833</v>
      </c>
      <c r="O41" s="30" t="b">
        <f t="shared" si="9"/>
        <v>0</v>
      </c>
      <c r="P41" s="30" t="b">
        <f t="shared" si="10"/>
        <v>1</v>
      </c>
      <c r="Q41" s="30" t="b">
        <f t="shared" si="11"/>
        <v>0</v>
      </c>
      <c r="R41" s="30">
        <f t="shared" si="12"/>
        <v>0</v>
      </c>
      <c r="S41" s="32">
        <f t="shared" si="24"/>
        <v>43728</v>
      </c>
      <c r="AA41" s="45">
        <f t="shared" si="13"/>
        <v>43728</v>
      </c>
      <c r="AB41" s="3">
        <f t="shared" si="14"/>
        <v>1046</v>
      </c>
      <c r="AC41" s="3">
        <f t="shared" si="15"/>
        <v>2.9055555555555554</v>
      </c>
      <c r="AD41" s="3">
        <f t="shared" si="25"/>
        <v>2.9166666666666665</v>
      </c>
      <c r="AE41" s="48">
        <f t="shared" si="16"/>
        <v>0</v>
      </c>
      <c r="AF41" s="3">
        <f t="shared" si="17"/>
        <v>0</v>
      </c>
      <c r="AH41" s="4"/>
      <c r="AI41" s="4"/>
      <c r="AJ41" s="11"/>
      <c r="AN41" s="108">
        <f t="shared" si="18"/>
        <v>43728</v>
      </c>
    </row>
    <row r="42" spans="1:40" ht="12.75">
      <c r="A42" s="33">
        <f t="shared" si="19"/>
        <v>12</v>
      </c>
      <c r="B42" s="30">
        <f t="shared" si="20"/>
        <v>12</v>
      </c>
      <c r="C42" s="30">
        <f t="shared" si="27"/>
        <v>20</v>
      </c>
      <c r="D42" s="30">
        <f t="shared" si="21"/>
        <v>2019</v>
      </c>
      <c r="E42" s="133">
        <f t="shared" si="4"/>
        <v>46000000</v>
      </c>
      <c r="F42" s="1">
        <v>1500000</v>
      </c>
      <c r="G42" s="133">
        <f t="shared" si="26"/>
        <v>505875</v>
      </c>
      <c r="H42" s="133">
        <f t="shared" si="5"/>
        <v>2005875</v>
      </c>
      <c r="I42" s="30">
        <f t="shared" si="22"/>
        <v>1136</v>
      </c>
      <c r="J42" s="133">
        <f t="shared" si="23"/>
        <v>1864477.6109076054</v>
      </c>
      <c r="K42" s="10">
        <f t="shared" si="6"/>
        <v>4733333.333333333</v>
      </c>
      <c r="L42" s="22">
        <f t="shared" si="7"/>
        <v>1754771.5699094322</v>
      </c>
      <c r="M42" s="10">
        <f t="shared" si="8"/>
        <v>22153390.120938804</v>
      </c>
      <c r="O42" s="30" t="b">
        <f t="shared" si="9"/>
        <v>1</v>
      </c>
      <c r="P42" s="30" t="b">
        <f t="shared" si="10"/>
        <v>0</v>
      </c>
      <c r="Q42" s="30" t="b">
        <f t="shared" si="11"/>
        <v>0</v>
      </c>
      <c r="R42" s="30">
        <f t="shared" si="12"/>
        <v>0</v>
      </c>
      <c r="S42" s="32">
        <f t="shared" si="24"/>
        <v>43819</v>
      </c>
      <c r="AA42" s="45">
        <f t="shared" si="13"/>
        <v>43819</v>
      </c>
      <c r="AB42" s="3">
        <f t="shared" si="14"/>
        <v>1136</v>
      </c>
      <c r="AC42" s="3">
        <f t="shared" si="15"/>
        <v>3.1555555555555554</v>
      </c>
      <c r="AD42" s="3">
        <f t="shared" si="25"/>
        <v>3.1666666666666665</v>
      </c>
      <c r="AE42" s="48">
        <f t="shared" si="16"/>
        <v>1500000</v>
      </c>
      <c r="AF42" s="3">
        <f t="shared" si="17"/>
        <v>4750000</v>
      </c>
      <c r="AN42" s="108">
        <f t="shared" si="18"/>
        <v>43819</v>
      </c>
    </row>
    <row r="43" spans="1:40" ht="12.75">
      <c r="A43" s="33">
        <f t="shared" si="19"/>
        <v>13</v>
      </c>
      <c r="B43" s="30">
        <f t="shared" si="20"/>
        <v>3</v>
      </c>
      <c r="C43" s="30">
        <f t="shared" si="27"/>
        <v>20</v>
      </c>
      <c r="D43" s="30">
        <f t="shared" si="21"/>
        <v>2020</v>
      </c>
      <c r="E43" s="133">
        <f t="shared" si="4"/>
        <v>46000000</v>
      </c>
      <c r="F43" s="1"/>
      <c r="G43" s="133">
        <f t="shared" si="26"/>
        <v>489900</v>
      </c>
      <c r="H43" s="133">
        <f t="shared" si="5"/>
        <v>489900</v>
      </c>
      <c r="I43" s="30">
        <f t="shared" si="22"/>
        <v>1226</v>
      </c>
      <c r="J43" s="133">
        <f t="shared" si="23"/>
        <v>452736.598432582</v>
      </c>
      <c r="K43" s="10">
        <f t="shared" si="6"/>
        <v>0</v>
      </c>
      <c r="L43" s="22">
        <f t="shared" si="7"/>
        <v>424056.1665541257</v>
      </c>
      <c r="M43" s="10">
        <f t="shared" si="8"/>
        <v>5777620.044585389</v>
      </c>
      <c r="O43" s="30" t="b">
        <f t="shared" si="9"/>
        <v>1</v>
      </c>
      <c r="P43" s="30" t="b">
        <f t="shared" si="10"/>
        <v>0</v>
      </c>
      <c r="Q43" s="30" t="b">
        <f t="shared" si="11"/>
        <v>0</v>
      </c>
      <c r="R43" s="30">
        <f t="shared" si="12"/>
        <v>0</v>
      </c>
      <c r="S43" s="32">
        <f t="shared" si="24"/>
        <v>43910</v>
      </c>
      <c r="AA43" s="45">
        <f t="shared" si="13"/>
        <v>43910</v>
      </c>
      <c r="AB43" s="3">
        <f t="shared" si="14"/>
        <v>1226</v>
      </c>
      <c r="AC43" s="3">
        <f t="shared" si="15"/>
        <v>3.4055555555555554</v>
      </c>
      <c r="AD43" s="3">
        <f t="shared" si="25"/>
        <v>3.4166666666666665</v>
      </c>
      <c r="AE43" s="48">
        <f t="shared" si="16"/>
        <v>0</v>
      </c>
      <c r="AF43" s="3">
        <f t="shared" si="17"/>
        <v>0</v>
      </c>
      <c r="AN43" s="108">
        <f t="shared" si="18"/>
        <v>43910</v>
      </c>
    </row>
    <row r="44" spans="1:40" ht="12.75">
      <c r="A44" s="33">
        <f t="shared" si="19"/>
        <v>14</v>
      </c>
      <c r="B44" s="30">
        <f t="shared" si="20"/>
        <v>6</v>
      </c>
      <c r="C44" s="30">
        <f t="shared" si="27"/>
        <v>20</v>
      </c>
      <c r="D44" s="30">
        <f t="shared" si="21"/>
        <v>2020</v>
      </c>
      <c r="E44" s="133">
        <f t="shared" si="4"/>
        <v>46000000</v>
      </c>
      <c r="F44" s="1"/>
      <c r="G44" s="133">
        <f t="shared" si="26"/>
        <v>489900</v>
      </c>
      <c r="H44" s="133">
        <f t="shared" si="5"/>
        <v>489900</v>
      </c>
      <c r="I44" s="30">
        <f t="shared" si="22"/>
        <v>1316</v>
      </c>
      <c r="J44" s="133">
        <f t="shared" si="23"/>
        <v>450122.22875323315</v>
      </c>
      <c r="K44" s="10">
        <f t="shared" si="6"/>
        <v>0</v>
      </c>
      <c r="L44" s="22">
        <f t="shared" si="7"/>
        <v>419587.5590502406</v>
      </c>
      <c r="M44" s="10">
        <f t="shared" si="8"/>
        <v>6136324.356740231</v>
      </c>
      <c r="O44" s="30" t="b">
        <f t="shared" si="9"/>
        <v>0</v>
      </c>
      <c r="P44" s="30" t="b">
        <f t="shared" si="10"/>
        <v>1</v>
      </c>
      <c r="Q44" s="30" t="b">
        <f t="shared" si="11"/>
        <v>0</v>
      </c>
      <c r="R44" s="30">
        <f t="shared" si="12"/>
        <v>0</v>
      </c>
      <c r="S44" s="32">
        <f t="shared" si="24"/>
        <v>44002</v>
      </c>
      <c r="AA44" s="45">
        <f t="shared" si="13"/>
        <v>44002</v>
      </c>
      <c r="AB44" s="3">
        <f t="shared" si="14"/>
        <v>1316</v>
      </c>
      <c r="AC44" s="3">
        <f t="shared" si="15"/>
        <v>3.6555555555555554</v>
      </c>
      <c r="AD44" s="3">
        <f t="shared" si="25"/>
        <v>3.6666666666666665</v>
      </c>
      <c r="AE44" s="48">
        <f t="shared" si="16"/>
        <v>0</v>
      </c>
      <c r="AF44" s="3">
        <f t="shared" si="17"/>
        <v>0</v>
      </c>
      <c r="AN44" s="108">
        <f t="shared" si="18"/>
        <v>44002</v>
      </c>
    </row>
    <row r="45" spans="1:40" ht="12.75">
      <c r="A45" s="33">
        <f t="shared" si="19"/>
        <v>15</v>
      </c>
      <c r="B45" s="30">
        <f t="shared" si="20"/>
        <v>9</v>
      </c>
      <c r="C45" s="30">
        <f t="shared" si="27"/>
        <v>20</v>
      </c>
      <c r="D45" s="30">
        <f t="shared" si="21"/>
        <v>2020</v>
      </c>
      <c r="E45" s="133">
        <f t="shared" si="4"/>
        <v>46000000</v>
      </c>
      <c r="F45" s="1"/>
      <c r="G45" s="133">
        <f t="shared" si="26"/>
        <v>489900</v>
      </c>
      <c r="H45" s="133">
        <f t="shared" si="5"/>
        <v>489900</v>
      </c>
      <c r="I45" s="30">
        <f t="shared" si="22"/>
        <v>1406</v>
      </c>
      <c r="J45" s="133">
        <f t="shared" si="23"/>
        <v>447522.9559952375</v>
      </c>
      <c r="K45" s="10">
        <f t="shared" si="6"/>
        <v>0</v>
      </c>
      <c r="L45" s="22">
        <f t="shared" si="7"/>
        <v>415166.0407166087</v>
      </c>
      <c r="M45" s="10">
        <f t="shared" si="8"/>
        <v>6486827.20604608</v>
      </c>
      <c r="O45" s="30" t="b">
        <f t="shared" si="9"/>
        <v>0</v>
      </c>
      <c r="P45" s="30" t="b">
        <f t="shared" si="10"/>
        <v>1</v>
      </c>
      <c r="Q45" s="30" t="b">
        <f t="shared" si="11"/>
        <v>0</v>
      </c>
      <c r="R45" s="30">
        <f t="shared" si="12"/>
        <v>0</v>
      </c>
      <c r="S45" s="32">
        <f t="shared" si="24"/>
        <v>44094</v>
      </c>
      <c r="AA45" s="45">
        <f t="shared" si="13"/>
        <v>44094</v>
      </c>
      <c r="AB45" s="3">
        <f t="shared" si="14"/>
        <v>1406</v>
      </c>
      <c r="AC45" s="3">
        <f t="shared" si="15"/>
        <v>3.9055555555555554</v>
      </c>
      <c r="AD45" s="3">
        <f t="shared" si="25"/>
        <v>3.9166666666666665</v>
      </c>
      <c r="AE45" s="48">
        <f t="shared" si="16"/>
        <v>0</v>
      </c>
      <c r="AF45" s="3">
        <f t="shared" si="17"/>
        <v>0</v>
      </c>
      <c r="AN45" s="108">
        <f t="shared" si="18"/>
        <v>44094</v>
      </c>
    </row>
    <row r="46" spans="1:40" ht="12.75">
      <c r="A46" s="33">
        <f t="shared" si="19"/>
        <v>16</v>
      </c>
      <c r="B46" s="30">
        <f t="shared" si="20"/>
        <v>12</v>
      </c>
      <c r="C46" s="30">
        <f t="shared" si="27"/>
        <v>20</v>
      </c>
      <c r="D46" s="30">
        <f t="shared" si="21"/>
        <v>2020</v>
      </c>
      <c r="E46" s="133">
        <f t="shared" si="4"/>
        <v>44500000</v>
      </c>
      <c r="F46" s="1">
        <v>1500000</v>
      </c>
      <c r="G46" s="133">
        <f t="shared" si="26"/>
        <v>489900</v>
      </c>
      <c r="H46" s="133">
        <f t="shared" si="5"/>
        <v>1989900</v>
      </c>
      <c r="I46" s="30">
        <f t="shared" si="22"/>
        <v>1496</v>
      </c>
      <c r="J46" s="133">
        <f t="shared" si="23"/>
        <v>1807273.943990475</v>
      </c>
      <c r="K46" s="10">
        <f t="shared" si="6"/>
        <v>6233333.333333334</v>
      </c>
      <c r="L46" s="22">
        <f t="shared" si="7"/>
        <v>1668571.6277027884</v>
      </c>
      <c r="M46" s="10">
        <f t="shared" si="8"/>
        <v>27739431.881919235</v>
      </c>
      <c r="O46" s="30" t="b">
        <f t="shared" si="9"/>
        <v>1</v>
      </c>
      <c r="P46" s="30" t="b">
        <f t="shared" si="10"/>
        <v>0</v>
      </c>
      <c r="Q46" s="30" t="b">
        <f t="shared" si="11"/>
        <v>0</v>
      </c>
      <c r="R46" s="30">
        <f t="shared" si="12"/>
        <v>0</v>
      </c>
      <c r="S46" s="32">
        <f t="shared" si="24"/>
        <v>44185</v>
      </c>
      <c r="AA46" s="45">
        <f t="shared" si="13"/>
        <v>44185</v>
      </c>
      <c r="AB46" s="3">
        <f t="shared" si="14"/>
        <v>1496</v>
      </c>
      <c r="AC46" s="3">
        <f t="shared" si="15"/>
        <v>4.155555555555556</v>
      </c>
      <c r="AD46" s="3">
        <f t="shared" si="25"/>
        <v>4.166666666666666</v>
      </c>
      <c r="AE46" s="48">
        <f t="shared" si="16"/>
        <v>1500000</v>
      </c>
      <c r="AF46" s="3">
        <f t="shared" si="17"/>
        <v>6249999.999999999</v>
      </c>
      <c r="AN46" s="108">
        <f t="shared" si="18"/>
        <v>44185</v>
      </c>
    </row>
    <row r="47" spans="1:40" ht="12.75">
      <c r="A47" s="33">
        <f t="shared" si="19"/>
        <v>17</v>
      </c>
      <c r="B47" s="30">
        <f t="shared" si="20"/>
        <v>3</v>
      </c>
      <c r="C47" s="30">
        <f t="shared" si="27"/>
        <v>20</v>
      </c>
      <c r="D47" s="30">
        <f t="shared" si="21"/>
        <v>2021</v>
      </c>
      <c r="E47" s="133">
        <f t="shared" si="4"/>
        <v>44500000</v>
      </c>
      <c r="F47" s="1"/>
      <c r="G47" s="133">
        <f t="shared" si="26"/>
        <v>473925</v>
      </c>
      <c r="H47" s="133">
        <f t="shared" si="5"/>
        <v>473925</v>
      </c>
      <c r="I47" s="30">
        <f t="shared" si="22"/>
        <v>1586</v>
      </c>
      <c r="J47" s="133">
        <f t="shared" si="23"/>
        <v>427944.265433527</v>
      </c>
      <c r="K47" s="10">
        <f t="shared" si="6"/>
        <v>0</v>
      </c>
      <c r="L47" s="22">
        <f t="shared" si="7"/>
        <v>393208.0867576055</v>
      </c>
      <c r="M47" s="10">
        <f t="shared" si="8"/>
        <v>6930157.868799113</v>
      </c>
      <c r="O47" s="30" t="b">
        <f t="shared" si="9"/>
        <v>1</v>
      </c>
      <c r="P47" s="30" t="b">
        <f t="shared" si="10"/>
        <v>0</v>
      </c>
      <c r="Q47" s="30" t="b">
        <f t="shared" si="11"/>
        <v>0</v>
      </c>
      <c r="R47" s="30">
        <f t="shared" si="12"/>
        <v>0</v>
      </c>
      <c r="S47" s="32">
        <f t="shared" si="24"/>
        <v>44275</v>
      </c>
      <c r="AA47" s="45">
        <f t="shared" si="13"/>
        <v>44275</v>
      </c>
      <c r="AB47" s="3">
        <f t="shared" si="14"/>
        <v>1586</v>
      </c>
      <c r="AC47" s="3">
        <f t="shared" si="15"/>
        <v>4.405555555555556</v>
      </c>
      <c r="AD47" s="3">
        <f t="shared" si="25"/>
        <v>4.416666666666666</v>
      </c>
      <c r="AE47" s="48">
        <f t="shared" si="16"/>
        <v>0</v>
      </c>
      <c r="AF47" s="3">
        <f t="shared" si="17"/>
        <v>0</v>
      </c>
      <c r="AN47" s="108">
        <f t="shared" si="18"/>
        <v>44275</v>
      </c>
    </row>
    <row r="48" spans="1:40" ht="12.75">
      <c r="A48" s="33">
        <f t="shared" si="19"/>
        <v>18</v>
      </c>
      <c r="B48" s="30">
        <f t="shared" si="20"/>
        <v>6</v>
      </c>
      <c r="C48" s="30">
        <f t="shared" si="27"/>
        <v>20</v>
      </c>
      <c r="D48" s="30">
        <f t="shared" si="21"/>
        <v>2021</v>
      </c>
      <c r="E48" s="133">
        <f t="shared" si="4"/>
        <v>44500000</v>
      </c>
      <c r="F48" s="1"/>
      <c r="G48" s="133">
        <f t="shared" si="26"/>
        <v>473925</v>
      </c>
      <c r="H48" s="133">
        <f t="shared" si="5"/>
        <v>473925</v>
      </c>
      <c r="I48" s="30">
        <f t="shared" si="22"/>
        <v>1676</v>
      </c>
      <c r="J48" s="133">
        <f t="shared" si="23"/>
        <v>425473.06139154313</v>
      </c>
      <c r="K48" s="10">
        <f t="shared" si="6"/>
        <v>0</v>
      </c>
      <c r="L48" s="22">
        <f t="shared" si="7"/>
        <v>389064.5493074808</v>
      </c>
      <c r="M48" s="10">
        <f t="shared" si="8"/>
        <v>7246193.989567821</v>
      </c>
      <c r="O48" s="30" t="b">
        <f t="shared" si="9"/>
        <v>0</v>
      </c>
      <c r="P48" s="30" t="b">
        <f t="shared" si="10"/>
        <v>1</v>
      </c>
      <c r="Q48" s="30" t="b">
        <f t="shared" si="11"/>
        <v>0</v>
      </c>
      <c r="R48" s="30">
        <f t="shared" si="12"/>
        <v>0</v>
      </c>
      <c r="S48" s="32">
        <f t="shared" si="24"/>
        <v>44367</v>
      </c>
      <c r="AA48" s="45">
        <f t="shared" si="13"/>
        <v>44367</v>
      </c>
      <c r="AB48" s="3">
        <f t="shared" si="14"/>
        <v>1676</v>
      </c>
      <c r="AC48" s="3">
        <f t="shared" si="15"/>
        <v>4.655555555555556</v>
      </c>
      <c r="AD48" s="3">
        <f t="shared" si="25"/>
        <v>4.666666666666666</v>
      </c>
      <c r="AE48" s="48">
        <f t="shared" si="16"/>
        <v>0</v>
      </c>
      <c r="AF48" s="3">
        <f t="shared" si="17"/>
        <v>0</v>
      </c>
      <c r="AN48" s="108">
        <f t="shared" si="18"/>
        <v>44367</v>
      </c>
    </row>
    <row r="49" spans="1:40" ht="12.75">
      <c r="A49" s="33">
        <f t="shared" si="19"/>
        <v>19</v>
      </c>
      <c r="B49" s="30">
        <f t="shared" si="20"/>
        <v>9</v>
      </c>
      <c r="C49" s="30">
        <f t="shared" si="27"/>
        <v>20</v>
      </c>
      <c r="D49" s="30">
        <f t="shared" si="21"/>
        <v>2021</v>
      </c>
      <c r="E49" s="133">
        <f t="shared" si="4"/>
        <v>44500000</v>
      </c>
      <c r="F49" s="1"/>
      <c r="G49" s="133">
        <f t="shared" si="26"/>
        <v>473925</v>
      </c>
      <c r="H49" s="133">
        <f t="shared" si="5"/>
        <v>473925</v>
      </c>
      <c r="I49" s="30">
        <f t="shared" si="22"/>
        <v>1766</v>
      </c>
      <c r="J49" s="133">
        <f t="shared" si="23"/>
        <v>423016.12754759745</v>
      </c>
      <c r="K49" s="10">
        <f t="shared" si="6"/>
        <v>0</v>
      </c>
      <c r="L49" s="22">
        <f t="shared" si="7"/>
        <v>384964.6755132645</v>
      </c>
      <c r="M49" s="10">
        <f t="shared" si="8"/>
        <v>7554799.919730174</v>
      </c>
      <c r="O49" s="30" t="b">
        <f t="shared" si="9"/>
        <v>0</v>
      </c>
      <c r="P49" s="30" t="b">
        <f t="shared" si="10"/>
        <v>1</v>
      </c>
      <c r="Q49" s="30" t="b">
        <f t="shared" si="11"/>
        <v>0</v>
      </c>
      <c r="R49" s="30">
        <f t="shared" si="12"/>
        <v>0</v>
      </c>
      <c r="S49" s="32">
        <f t="shared" si="24"/>
        <v>44459</v>
      </c>
      <c r="AA49" s="45">
        <f t="shared" si="13"/>
        <v>44459</v>
      </c>
      <c r="AB49" s="3">
        <f t="shared" si="14"/>
        <v>1766</v>
      </c>
      <c r="AC49" s="3">
        <f t="shared" si="15"/>
        <v>4.905555555555556</v>
      </c>
      <c r="AD49" s="3">
        <f t="shared" si="25"/>
        <v>4.916666666666666</v>
      </c>
      <c r="AE49" s="48">
        <f t="shared" si="16"/>
        <v>0</v>
      </c>
      <c r="AF49" s="3">
        <f t="shared" si="17"/>
        <v>0</v>
      </c>
      <c r="AN49" s="108">
        <f t="shared" si="18"/>
        <v>44459</v>
      </c>
    </row>
    <row r="50" spans="1:40" ht="12.75">
      <c r="A50" s="33">
        <f t="shared" si="19"/>
        <v>20</v>
      </c>
      <c r="B50" s="30">
        <f t="shared" si="20"/>
        <v>12</v>
      </c>
      <c r="C50" s="30">
        <f t="shared" si="27"/>
        <v>20</v>
      </c>
      <c r="D50" s="30">
        <f t="shared" si="21"/>
        <v>2021</v>
      </c>
      <c r="E50" s="133">
        <f t="shared" si="4"/>
        <v>43000000</v>
      </c>
      <c r="F50" s="1">
        <v>1500000</v>
      </c>
      <c r="G50" s="133">
        <f t="shared" si="26"/>
        <v>473925</v>
      </c>
      <c r="H50" s="133">
        <f t="shared" si="5"/>
        <v>1973925</v>
      </c>
      <c r="I50" s="30">
        <f t="shared" si="22"/>
        <v>1856</v>
      </c>
      <c r="J50" s="133">
        <f t="shared" si="23"/>
        <v>1751712.427223014</v>
      </c>
      <c r="K50" s="10">
        <f t="shared" si="6"/>
        <v>7733333.333333334</v>
      </c>
      <c r="L50" s="22">
        <f t="shared" si="7"/>
        <v>1586503.8440206058</v>
      </c>
      <c r="M50" s="10">
        <f t="shared" si="8"/>
        <v>32721098.459690742</v>
      </c>
      <c r="O50" s="30" t="b">
        <f t="shared" si="9"/>
        <v>1</v>
      </c>
      <c r="P50" s="30" t="b">
        <f t="shared" si="10"/>
        <v>0</v>
      </c>
      <c r="Q50" s="30" t="b">
        <f t="shared" si="11"/>
        <v>0</v>
      </c>
      <c r="R50" s="30">
        <f t="shared" si="12"/>
        <v>0</v>
      </c>
      <c r="S50" s="32">
        <f t="shared" si="24"/>
        <v>44550</v>
      </c>
      <c r="AA50" s="45">
        <f t="shared" si="13"/>
        <v>44550</v>
      </c>
      <c r="AB50" s="3">
        <f t="shared" si="14"/>
        <v>1856</v>
      </c>
      <c r="AC50" s="3">
        <f t="shared" si="15"/>
        <v>5.155555555555556</v>
      </c>
      <c r="AD50" s="3">
        <f t="shared" si="25"/>
        <v>5.166666666666666</v>
      </c>
      <c r="AE50" s="48">
        <f t="shared" si="16"/>
        <v>1500000</v>
      </c>
      <c r="AF50" s="3">
        <f t="shared" si="17"/>
        <v>7749999.999999999</v>
      </c>
      <c r="AN50" s="108">
        <f t="shared" si="18"/>
        <v>44550</v>
      </c>
    </row>
    <row r="51" spans="1:40" ht="12.75">
      <c r="A51" s="33">
        <f t="shared" si="19"/>
        <v>21</v>
      </c>
      <c r="B51" s="30">
        <f t="shared" si="20"/>
        <v>3</v>
      </c>
      <c r="C51" s="30">
        <f t="shared" si="27"/>
        <v>20</v>
      </c>
      <c r="D51" s="30">
        <f t="shared" si="21"/>
        <v>2022</v>
      </c>
      <c r="E51" s="133">
        <f t="shared" si="4"/>
        <v>43000000</v>
      </c>
      <c r="F51" s="1"/>
      <c r="G51" s="133">
        <f t="shared" si="26"/>
        <v>457950</v>
      </c>
      <c r="H51" s="133">
        <f t="shared" si="5"/>
        <v>457950</v>
      </c>
      <c r="I51" s="30">
        <f t="shared" si="22"/>
        <v>1946</v>
      </c>
      <c r="J51" s="133">
        <f t="shared" si="23"/>
        <v>404049.97475026484</v>
      </c>
      <c r="K51" s="10">
        <f t="shared" si="6"/>
        <v>0</v>
      </c>
      <c r="L51" s="22">
        <f t="shared" si="7"/>
        <v>364189.7883287439</v>
      </c>
      <c r="M51" s="10">
        <f t="shared" si="8"/>
        <v>7875479.450078838</v>
      </c>
      <c r="O51" s="30" t="b">
        <f t="shared" si="9"/>
        <v>1</v>
      </c>
      <c r="P51" s="30" t="b">
        <f t="shared" si="10"/>
        <v>0</v>
      </c>
      <c r="Q51" s="30" t="b">
        <f t="shared" si="11"/>
        <v>0</v>
      </c>
      <c r="R51" s="30">
        <f t="shared" si="12"/>
        <v>0</v>
      </c>
      <c r="S51" s="32">
        <f t="shared" si="24"/>
        <v>44640</v>
      </c>
      <c r="AA51" s="45">
        <f t="shared" si="13"/>
        <v>44640</v>
      </c>
      <c r="AB51" s="3">
        <f t="shared" si="14"/>
        <v>1946</v>
      </c>
      <c r="AC51" s="3">
        <f t="shared" si="15"/>
        <v>5.405555555555556</v>
      </c>
      <c r="AD51" s="3">
        <f t="shared" si="25"/>
        <v>5.416666666666666</v>
      </c>
      <c r="AE51" s="48">
        <f t="shared" si="16"/>
        <v>0</v>
      </c>
      <c r="AF51" s="3">
        <f t="shared" si="17"/>
        <v>0</v>
      </c>
      <c r="AN51" s="108">
        <f t="shared" si="18"/>
        <v>44640</v>
      </c>
    </row>
    <row r="52" spans="1:40" ht="12.75">
      <c r="A52" s="33">
        <f t="shared" si="19"/>
        <v>22</v>
      </c>
      <c r="B52" s="30">
        <f t="shared" si="20"/>
        <v>6</v>
      </c>
      <c r="C52" s="30">
        <f t="shared" si="27"/>
        <v>20</v>
      </c>
      <c r="D52" s="30">
        <f t="shared" si="21"/>
        <v>2022</v>
      </c>
      <c r="E52" s="133">
        <f t="shared" si="4"/>
        <v>43000000</v>
      </c>
      <c r="F52" s="1"/>
      <c r="G52" s="133">
        <f t="shared" si="26"/>
        <v>457950</v>
      </c>
      <c r="H52" s="133">
        <f t="shared" si="5"/>
        <v>457950</v>
      </c>
      <c r="I52" s="30">
        <f t="shared" si="22"/>
        <v>2036</v>
      </c>
      <c r="J52" s="133">
        <f t="shared" si="23"/>
        <v>401716.7505166025</v>
      </c>
      <c r="K52" s="10">
        <f t="shared" si="6"/>
        <v>0</v>
      </c>
      <c r="L52" s="22">
        <f t="shared" si="7"/>
        <v>360352.039112199</v>
      </c>
      <c r="M52" s="10">
        <f t="shared" si="8"/>
        <v>8152841.47668093</v>
      </c>
      <c r="O52" s="30" t="b">
        <f t="shared" si="9"/>
        <v>0</v>
      </c>
      <c r="P52" s="30" t="b">
        <f t="shared" si="10"/>
        <v>1</v>
      </c>
      <c r="Q52" s="30" t="b">
        <f t="shared" si="11"/>
        <v>0</v>
      </c>
      <c r="R52" s="30">
        <f t="shared" si="12"/>
        <v>0</v>
      </c>
      <c r="S52" s="32">
        <f t="shared" si="24"/>
        <v>44732</v>
      </c>
      <c r="AA52" s="45">
        <f t="shared" si="13"/>
        <v>44732</v>
      </c>
      <c r="AB52" s="3">
        <f t="shared" si="14"/>
        <v>2036</v>
      </c>
      <c r="AC52" s="3">
        <f t="shared" si="15"/>
        <v>5.655555555555556</v>
      </c>
      <c r="AD52" s="3">
        <f t="shared" si="25"/>
        <v>5.666666666666666</v>
      </c>
      <c r="AE52" s="48">
        <f t="shared" si="16"/>
        <v>0</v>
      </c>
      <c r="AF52" s="3">
        <f t="shared" si="17"/>
        <v>0</v>
      </c>
      <c r="AN52" s="108">
        <f t="shared" si="18"/>
        <v>44732</v>
      </c>
    </row>
    <row r="53" spans="1:40" ht="12.75">
      <c r="A53" s="33">
        <f t="shared" si="19"/>
        <v>23</v>
      </c>
      <c r="B53" s="30">
        <f t="shared" si="20"/>
        <v>9</v>
      </c>
      <c r="C53" s="30">
        <f t="shared" si="27"/>
        <v>20</v>
      </c>
      <c r="D53" s="30">
        <f t="shared" si="21"/>
        <v>2022</v>
      </c>
      <c r="E53" s="133">
        <f t="shared" si="4"/>
        <v>43000000</v>
      </c>
      <c r="F53" s="1"/>
      <c r="G53" s="133">
        <f t="shared" si="26"/>
        <v>457950</v>
      </c>
      <c r="H53" s="133">
        <f t="shared" si="5"/>
        <v>457950</v>
      </c>
      <c r="I53" s="30">
        <f t="shared" si="22"/>
        <v>2126</v>
      </c>
      <c r="J53" s="133">
        <f t="shared" si="23"/>
        <v>399396.9997037166</v>
      </c>
      <c r="K53" s="10">
        <f t="shared" si="6"/>
        <v>0</v>
      </c>
      <c r="L53" s="22">
        <f t="shared" si="7"/>
        <v>356554.7312246564</v>
      </c>
      <c r="M53" s="10">
        <f t="shared" si="8"/>
        <v>8423483.417397842</v>
      </c>
      <c r="O53" s="30" t="b">
        <f t="shared" si="9"/>
        <v>0</v>
      </c>
      <c r="P53" s="30" t="b">
        <f t="shared" si="10"/>
        <v>1</v>
      </c>
      <c r="Q53" s="30" t="b">
        <f t="shared" si="11"/>
        <v>0</v>
      </c>
      <c r="R53" s="30">
        <f t="shared" si="12"/>
        <v>0</v>
      </c>
      <c r="S53" s="32">
        <f t="shared" si="24"/>
        <v>44824</v>
      </c>
      <c r="AA53" s="45">
        <f t="shared" si="13"/>
        <v>44824</v>
      </c>
      <c r="AB53" s="3">
        <f t="shared" si="14"/>
        <v>2126</v>
      </c>
      <c r="AC53" s="3">
        <f t="shared" si="15"/>
        <v>5.905555555555556</v>
      </c>
      <c r="AD53" s="3">
        <f t="shared" si="25"/>
        <v>5.916666666666666</v>
      </c>
      <c r="AE53" s="48">
        <f t="shared" si="16"/>
        <v>0</v>
      </c>
      <c r="AF53" s="3">
        <f t="shared" si="17"/>
        <v>0</v>
      </c>
      <c r="AN53" s="108">
        <f t="shared" si="18"/>
        <v>44824</v>
      </c>
    </row>
    <row r="54" spans="1:40" ht="12.75">
      <c r="A54" s="33">
        <f t="shared" si="19"/>
        <v>24</v>
      </c>
      <c r="B54" s="30">
        <f t="shared" si="20"/>
        <v>12</v>
      </c>
      <c r="C54" s="30">
        <f t="shared" si="27"/>
        <v>20</v>
      </c>
      <c r="D54" s="30">
        <f t="shared" si="21"/>
        <v>2022</v>
      </c>
      <c r="E54" s="133">
        <f t="shared" si="4"/>
        <v>41500000</v>
      </c>
      <c r="F54" s="1">
        <v>1500000</v>
      </c>
      <c r="G54" s="133">
        <f t="shared" si="26"/>
        <v>457950</v>
      </c>
      <c r="H54" s="133">
        <f t="shared" si="5"/>
        <v>1957950</v>
      </c>
      <c r="I54" s="30">
        <f t="shared" si="22"/>
        <v>2216</v>
      </c>
      <c r="J54" s="133">
        <f t="shared" si="23"/>
        <v>1697747.8489236855</v>
      </c>
      <c r="K54" s="10">
        <f t="shared" si="6"/>
        <v>9233333.333333334</v>
      </c>
      <c r="L54" s="22">
        <f t="shared" si="7"/>
        <v>1508373.7192270933</v>
      </c>
      <c r="M54" s="10">
        <f t="shared" si="8"/>
        <v>37143186.26962497</v>
      </c>
      <c r="O54" s="30" t="b">
        <f t="shared" si="9"/>
        <v>1</v>
      </c>
      <c r="P54" s="30" t="b">
        <f t="shared" si="10"/>
        <v>0</v>
      </c>
      <c r="Q54" s="30" t="b">
        <f t="shared" si="11"/>
        <v>0</v>
      </c>
      <c r="R54" s="30">
        <f t="shared" si="12"/>
        <v>0</v>
      </c>
      <c r="S54" s="32">
        <f t="shared" si="24"/>
        <v>44915</v>
      </c>
      <c r="AA54" s="45">
        <f t="shared" si="13"/>
        <v>44915</v>
      </c>
      <c r="AB54" s="3">
        <f t="shared" si="14"/>
        <v>2216</v>
      </c>
      <c r="AC54" s="3">
        <f t="shared" si="15"/>
        <v>6.155555555555556</v>
      </c>
      <c r="AD54" s="3">
        <f t="shared" si="25"/>
        <v>6.166666666666666</v>
      </c>
      <c r="AE54" s="48">
        <f t="shared" si="16"/>
        <v>1500000</v>
      </c>
      <c r="AF54" s="3">
        <f t="shared" si="17"/>
        <v>9250000</v>
      </c>
      <c r="AN54" s="108">
        <f t="shared" si="18"/>
        <v>44915</v>
      </c>
    </row>
    <row r="55" spans="1:40" ht="12.75">
      <c r="A55" s="33">
        <f t="shared" si="19"/>
        <v>25</v>
      </c>
      <c r="B55" s="30">
        <f t="shared" si="20"/>
        <v>3</v>
      </c>
      <c r="C55" s="30">
        <f t="shared" si="27"/>
        <v>20</v>
      </c>
      <c r="D55" s="30">
        <f t="shared" si="21"/>
        <v>2023</v>
      </c>
      <c r="E55" s="133">
        <f t="shared" si="4"/>
        <v>41500000</v>
      </c>
      <c r="F55" s="1"/>
      <c r="G55" s="133">
        <f t="shared" si="26"/>
        <v>441975</v>
      </c>
      <c r="H55" s="133">
        <f t="shared" si="5"/>
        <v>441975</v>
      </c>
      <c r="I55" s="30">
        <f t="shared" si="22"/>
        <v>2306</v>
      </c>
      <c r="J55" s="133">
        <f t="shared" si="23"/>
        <v>381025.59800887655</v>
      </c>
      <c r="K55" s="10">
        <f t="shared" si="6"/>
        <v>0</v>
      </c>
      <c r="L55" s="22">
        <f t="shared" si="7"/>
        <v>336902.5390737523</v>
      </c>
      <c r="M55" s="10">
        <f t="shared" si="8"/>
        <v>8633012.186183028</v>
      </c>
      <c r="O55" s="30" t="b">
        <f t="shared" si="9"/>
        <v>1</v>
      </c>
      <c r="P55" s="30" t="b">
        <f t="shared" si="10"/>
        <v>0</v>
      </c>
      <c r="Q55" s="30" t="b">
        <f t="shared" si="11"/>
        <v>0</v>
      </c>
      <c r="R55" s="30">
        <f t="shared" si="12"/>
        <v>0</v>
      </c>
      <c r="S55" s="32">
        <f t="shared" si="24"/>
        <v>45005</v>
      </c>
      <c r="AA55" s="45">
        <f t="shared" si="13"/>
        <v>45005</v>
      </c>
      <c r="AB55" s="3">
        <f t="shared" si="14"/>
        <v>2306</v>
      </c>
      <c r="AC55" s="3">
        <f t="shared" si="15"/>
        <v>6.405555555555556</v>
      </c>
      <c r="AD55" s="3">
        <f t="shared" si="25"/>
        <v>6.416666666666666</v>
      </c>
      <c r="AE55" s="48">
        <f t="shared" si="16"/>
        <v>0</v>
      </c>
      <c r="AF55" s="3">
        <f t="shared" si="17"/>
        <v>0</v>
      </c>
      <c r="AN55" s="108">
        <f t="shared" si="18"/>
        <v>45005</v>
      </c>
    </row>
    <row r="56" spans="1:40" ht="12.75">
      <c r="A56" s="33">
        <f t="shared" si="19"/>
        <v>26</v>
      </c>
      <c r="B56" s="30">
        <f t="shared" si="20"/>
        <v>6</v>
      </c>
      <c r="C56" s="30">
        <f t="shared" si="27"/>
        <v>20</v>
      </c>
      <c r="D56" s="30">
        <f t="shared" si="21"/>
        <v>2023</v>
      </c>
      <c r="E56" s="133">
        <f t="shared" si="4"/>
        <v>41500000</v>
      </c>
      <c r="F56" s="1"/>
      <c r="G56" s="133">
        <f t="shared" si="26"/>
        <v>441975</v>
      </c>
      <c r="H56" s="133">
        <f t="shared" si="5"/>
        <v>441975</v>
      </c>
      <c r="I56" s="30">
        <f t="shared" si="22"/>
        <v>2396</v>
      </c>
      <c r="J56" s="133">
        <f t="shared" si="23"/>
        <v>378825.3301844089</v>
      </c>
      <c r="K56" s="10">
        <f t="shared" si="6"/>
        <v>0</v>
      </c>
      <c r="L56" s="22">
        <f t="shared" si="7"/>
        <v>333352.3366880248</v>
      </c>
      <c r="M56" s="10">
        <f t="shared" si="8"/>
        <v>8875391.802559521</v>
      </c>
      <c r="O56" s="30" t="b">
        <f t="shared" si="9"/>
        <v>0</v>
      </c>
      <c r="P56" s="30" t="b">
        <f t="shared" si="10"/>
        <v>1</v>
      </c>
      <c r="Q56" s="30" t="b">
        <f t="shared" si="11"/>
        <v>0</v>
      </c>
      <c r="R56" s="30">
        <f t="shared" si="12"/>
        <v>0</v>
      </c>
      <c r="S56" s="32">
        <f t="shared" si="24"/>
        <v>45097</v>
      </c>
      <c r="AA56" s="45">
        <f t="shared" si="13"/>
        <v>45097</v>
      </c>
      <c r="AB56" s="3">
        <f t="shared" si="14"/>
        <v>2396</v>
      </c>
      <c r="AC56" s="3">
        <f t="shared" si="15"/>
        <v>6.655555555555556</v>
      </c>
      <c r="AD56" s="3">
        <f t="shared" si="25"/>
        <v>6.666666666666666</v>
      </c>
      <c r="AE56" s="48">
        <f t="shared" si="16"/>
        <v>0</v>
      </c>
      <c r="AF56" s="3">
        <f t="shared" si="17"/>
        <v>0</v>
      </c>
      <c r="AN56" s="108">
        <f t="shared" si="18"/>
        <v>45097</v>
      </c>
    </row>
    <row r="57" spans="1:40" ht="12.75">
      <c r="A57" s="33">
        <f t="shared" si="19"/>
        <v>27</v>
      </c>
      <c r="B57" s="30">
        <f t="shared" si="20"/>
        <v>9</v>
      </c>
      <c r="C57" s="30">
        <f t="shared" si="27"/>
        <v>20</v>
      </c>
      <c r="D57" s="30">
        <f t="shared" si="21"/>
        <v>2023</v>
      </c>
      <c r="E57" s="133">
        <f t="shared" si="4"/>
        <v>41500000</v>
      </c>
      <c r="F57" s="1"/>
      <c r="G57" s="133">
        <f t="shared" si="26"/>
        <v>441975</v>
      </c>
      <c r="H57" s="133">
        <f t="shared" si="5"/>
        <v>441975</v>
      </c>
      <c r="I57" s="30">
        <f t="shared" si="22"/>
        <v>2486</v>
      </c>
      <c r="J57" s="133">
        <f t="shared" si="23"/>
        <v>376637.7680115421</v>
      </c>
      <c r="K57" s="10">
        <f t="shared" si="6"/>
        <v>0</v>
      </c>
      <c r="L57" s="22">
        <f t="shared" si="7"/>
        <v>329839.54552815</v>
      </c>
      <c r="M57" s="10">
        <f t="shared" si="8"/>
        <v>9111704.486466676</v>
      </c>
      <c r="O57" s="30" t="b">
        <f t="shared" si="9"/>
        <v>0</v>
      </c>
      <c r="P57" s="30" t="b">
        <f t="shared" si="10"/>
        <v>1</v>
      </c>
      <c r="Q57" s="30" t="b">
        <f t="shared" si="11"/>
        <v>0</v>
      </c>
      <c r="R57" s="30">
        <f t="shared" si="12"/>
        <v>0</v>
      </c>
      <c r="S57" s="32">
        <f t="shared" si="24"/>
        <v>45189</v>
      </c>
      <c r="AA57" s="45">
        <f t="shared" si="13"/>
        <v>45189</v>
      </c>
      <c r="AB57" s="3">
        <f t="shared" si="14"/>
        <v>2486</v>
      </c>
      <c r="AC57" s="3">
        <f t="shared" si="15"/>
        <v>6.905555555555556</v>
      </c>
      <c r="AD57" s="3">
        <f t="shared" si="25"/>
        <v>6.916666666666666</v>
      </c>
      <c r="AE57" s="48">
        <f t="shared" si="16"/>
        <v>0</v>
      </c>
      <c r="AF57" s="3">
        <f t="shared" si="17"/>
        <v>0</v>
      </c>
      <c r="AN57" s="108">
        <f t="shared" si="18"/>
        <v>45189</v>
      </c>
    </row>
    <row r="58" spans="1:40" ht="12.75">
      <c r="A58" s="33">
        <f t="shared" si="19"/>
        <v>28</v>
      </c>
      <c r="B58" s="30">
        <f t="shared" si="20"/>
        <v>12</v>
      </c>
      <c r="C58" s="30">
        <f t="shared" si="27"/>
        <v>20</v>
      </c>
      <c r="D58" s="30">
        <f t="shared" si="21"/>
        <v>2023</v>
      </c>
      <c r="E58" s="133">
        <f t="shared" si="4"/>
        <v>40000000</v>
      </c>
      <c r="F58" s="1">
        <v>1500000</v>
      </c>
      <c r="G58" s="133">
        <f t="shared" si="26"/>
        <v>441975</v>
      </c>
      <c r="H58" s="133">
        <f t="shared" si="5"/>
        <v>1941975</v>
      </c>
      <c r="I58" s="30">
        <f t="shared" si="22"/>
        <v>2576</v>
      </c>
      <c r="J58" s="133">
        <f t="shared" si="23"/>
        <v>1645336.2069318031</v>
      </c>
      <c r="K58" s="10">
        <f t="shared" si="6"/>
        <v>10733333.333333334</v>
      </c>
      <c r="L58" s="22">
        <f t="shared" si="7"/>
        <v>1433995.7800620387</v>
      </c>
      <c r="M58" s="10">
        <f t="shared" si="8"/>
        <v>41047638.10983063</v>
      </c>
      <c r="O58" s="30" t="b">
        <f t="shared" si="9"/>
        <v>1</v>
      </c>
      <c r="P58" s="30" t="b">
        <f t="shared" si="10"/>
        <v>0</v>
      </c>
      <c r="Q58" s="30" t="b">
        <f t="shared" si="11"/>
        <v>0</v>
      </c>
      <c r="R58" s="30">
        <f t="shared" si="12"/>
        <v>0</v>
      </c>
      <c r="S58" s="32">
        <f t="shared" si="24"/>
        <v>45280</v>
      </c>
      <c r="AA58" s="45">
        <f t="shared" si="13"/>
        <v>45280</v>
      </c>
      <c r="AB58" s="3">
        <f t="shared" si="14"/>
        <v>2576</v>
      </c>
      <c r="AC58" s="3">
        <f t="shared" si="15"/>
        <v>7.155555555555556</v>
      </c>
      <c r="AD58" s="3">
        <f t="shared" si="25"/>
        <v>7.166666666666666</v>
      </c>
      <c r="AE58" s="48">
        <f t="shared" si="16"/>
        <v>1500000</v>
      </c>
      <c r="AF58" s="3">
        <f t="shared" si="17"/>
        <v>10750000</v>
      </c>
      <c r="AN58" s="108">
        <f t="shared" si="18"/>
        <v>45280</v>
      </c>
    </row>
    <row r="59" spans="1:40" ht="12.75">
      <c r="A59" s="33">
        <f t="shared" si="19"/>
        <v>29</v>
      </c>
      <c r="B59" s="30">
        <f t="shared" si="20"/>
        <v>3</v>
      </c>
      <c r="C59" s="30">
        <f t="shared" si="27"/>
        <v>20</v>
      </c>
      <c r="D59" s="30">
        <f t="shared" si="21"/>
        <v>2024</v>
      </c>
      <c r="E59" s="133">
        <f t="shared" si="4"/>
        <v>40000000</v>
      </c>
      <c r="F59" s="1"/>
      <c r="G59" s="133">
        <f t="shared" si="26"/>
        <v>426000</v>
      </c>
      <c r="H59" s="133">
        <f t="shared" si="5"/>
        <v>426000</v>
      </c>
      <c r="I59" s="30">
        <f t="shared" si="22"/>
        <v>2666</v>
      </c>
      <c r="J59" s="133">
        <f t="shared" si="23"/>
        <v>358843.82415847393</v>
      </c>
      <c r="K59" s="10">
        <f t="shared" si="6"/>
        <v>0</v>
      </c>
      <c r="L59" s="22">
        <f t="shared" si="7"/>
        <v>311252.6497506449</v>
      </c>
      <c r="M59" s="10">
        <f t="shared" si="8"/>
        <v>9220753.155489653</v>
      </c>
      <c r="O59" s="30" t="b">
        <f t="shared" si="9"/>
        <v>1</v>
      </c>
      <c r="P59" s="30" t="b">
        <f t="shared" si="10"/>
        <v>0</v>
      </c>
      <c r="Q59" s="30" t="b">
        <f t="shared" si="11"/>
        <v>0</v>
      </c>
      <c r="R59" s="30">
        <f t="shared" si="12"/>
        <v>0</v>
      </c>
      <c r="S59" s="32">
        <f t="shared" si="24"/>
        <v>45371</v>
      </c>
      <c r="AA59" s="45">
        <f t="shared" si="13"/>
        <v>45371</v>
      </c>
      <c r="AB59" s="3">
        <f t="shared" si="14"/>
        <v>2666</v>
      </c>
      <c r="AC59" s="3">
        <f t="shared" si="15"/>
        <v>7.405555555555556</v>
      </c>
      <c r="AD59" s="3">
        <f t="shared" si="25"/>
        <v>7.416666666666666</v>
      </c>
      <c r="AE59" s="48">
        <f t="shared" si="16"/>
        <v>0</v>
      </c>
      <c r="AF59" s="3">
        <f t="shared" si="17"/>
        <v>0</v>
      </c>
      <c r="AN59" s="108">
        <f t="shared" si="18"/>
        <v>45371</v>
      </c>
    </row>
    <row r="60" spans="1:40" ht="12.75">
      <c r="A60" s="33">
        <f t="shared" si="19"/>
        <v>30</v>
      </c>
      <c r="B60" s="30">
        <f t="shared" si="20"/>
        <v>6</v>
      </c>
      <c r="C60" s="30">
        <f t="shared" si="27"/>
        <v>20</v>
      </c>
      <c r="D60" s="30">
        <f t="shared" si="21"/>
        <v>2024</v>
      </c>
      <c r="E60" s="133">
        <f t="shared" si="4"/>
        <v>40000000</v>
      </c>
      <c r="F60" s="1"/>
      <c r="G60" s="133">
        <f t="shared" si="26"/>
        <v>426000</v>
      </c>
      <c r="H60" s="133">
        <f t="shared" si="5"/>
        <v>426000</v>
      </c>
      <c r="I60" s="30">
        <f t="shared" si="22"/>
        <v>2756</v>
      </c>
      <c r="J60" s="133">
        <f t="shared" si="23"/>
        <v>356771.6470542824</v>
      </c>
      <c r="K60" s="10">
        <f t="shared" si="6"/>
        <v>0</v>
      </c>
      <c r="L60" s="22">
        <f t="shared" si="7"/>
        <v>307972.740068911</v>
      </c>
      <c r="M60" s="10">
        <f t="shared" si="8"/>
        <v>9431559.694493938</v>
      </c>
      <c r="O60" s="30" t="b">
        <f t="shared" si="9"/>
        <v>0</v>
      </c>
      <c r="P60" s="30" t="b">
        <f t="shared" si="10"/>
        <v>1</v>
      </c>
      <c r="Q60" s="30" t="b">
        <f t="shared" si="11"/>
        <v>0</v>
      </c>
      <c r="R60" s="30">
        <f t="shared" si="12"/>
        <v>0</v>
      </c>
      <c r="S60" s="32">
        <f t="shared" si="24"/>
        <v>45463</v>
      </c>
      <c r="AA60" s="45">
        <f t="shared" si="13"/>
        <v>45463</v>
      </c>
      <c r="AB60" s="3">
        <f t="shared" si="14"/>
        <v>2756</v>
      </c>
      <c r="AC60" s="3">
        <f t="shared" si="15"/>
        <v>7.655555555555556</v>
      </c>
      <c r="AD60" s="3">
        <f t="shared" si="25"/>
        <v>7.666666666666666</v>
      </c>
      <c r="AE60" s="48">
        <f t="shared" si="16"/>
        <v>0</v>
      </c>
      <c r="AF60" s="3">
        <f t="shared" si="17"/>
        <v>0</v>
      </c>
      <c r="AN60" s="108">
        <f t="shared" si="18"/>
        <v>45463</v>
      </c>
    </row>
    <row r="61" spans="1:40" ht="12.75">
      <c r="A61" s="33">
        <f t="shared" si="19"/>
        <v>31</v>
      </c>
      <c r="B61" s="30">
        <f t="shared" si="20"/>
        <v>9</v>
      </c>
      <c r="C61" s="30">
        <f t="shared" si="27"/>
        <v>20</v>
      </c>
      <c r="D61" s="30">
        <f t="shared" si="21"/>
        <v>2024</v>
      </c>
      <c r="E61" s="133">
        <f t="shared" si="4"/>
        <v>40000000</v>
      </c>
      <c r="F61" s="1"/>
      <c r="G61" s="133">
        <f t="shared" si="26"/>
        <v>426000</v>
      </c>
      <c r="H61" s="133">
        <f t="shared" si="5"/>
        <v>426000</v>
      </c>
      <c r="I61" s="30">
        <f t="shared" si="22"/>
        <v>2846</v>
      </c>
      <c r="J61" s="133">
        <f t="shared" si="23"/>
        <v>354711.4359298907</v>
      </c>
      <c r="K61" s="10">
        <f t="shared" si="6"/>
        <v>0</v>
      </c>
      <c r="L61" s="22">
        <f t="shared" si="7"/>
        <v>304727.3933299471</v>
      </c>
      <c r="M61" s="10">
        <f t="shared" si="8"/>
        <v>9636899.45536323</v>
      </c>
      <c r="O61" s="30" t="b">
        <f t="shared" si="9"/>
        <v>0</v>
      </c>
      <c r="P61" s="30" t="b">
        <f t="shared" si="10"/>
        <v>1</v>
      </c>
      <c r="Q61" s="30" t="b">
        <f t="shared" si="11"/>
        <v>0</v>
      </c>
      <c r="R61" s="30">
        <f t="shared" si="12"/>
        <v>0</v>
      </c>
      <c r="S61" s="32">
        <f t="shared" si="24"/>
        <v>45555</v>
      </c>
      <c r="AA61" s="45">
        <f t="shared" si="13"/>
        <v>45555</v>
      </c>
      <c r="AB61" s="3">
        <f t="shared" si="14"/>
        <v>2846</v>
      </c>
      <c r="AC61" s="3">
        <f t="shared" si="15"/>
        <v>7.905555555555556</v>
      </c>
      <c r="AD61" s="3">
        <f t="shared" si="25"/>
        <v>7.916666666666666</v>
      </c>
      <c r="AE61" s="48">
        <f t="shared" si="16"/>
        <v>0</v>
      </c>
      <c r="AF61" s="3">
        <f t="shared" si="17"/>
        <v>0</v>
      </c>
      <c r="AN61" s="108">
        <f t="shared" si="18"/>
        <v>45555</v>
      </c>
    </row>
    <row r="62" spans="1:40" ht="12.75">
      <c r="A62" s="33">
        <f t="shared" si="19"/>
        <v>32</v>
      </c>
      <c r="B62" s="30">
        <f t="shared" si="20"/>
        <v>12</v>
      </c>
      <c r="C62" s="30">
        <f t="shared" si="27"/>
        <v>20</v>
      </c>
      <c r="D62" s="30">
        <f t="shared" si="21"/>
        <v>2024</v>
      </c>
      <c r="E62" s="133">
        <f t="shared" si="4"/>
        <v>38500000</v>
      </c>
      <c r="F62" s="1">
        <v>1500000</v>
      </c>
      <c r="G62" s="133">
        <f t="shared" si="26"/>
        <v>426000</v>
      </c>
      <c r="H62" s="133">
        <f t="shared" si="5"/>
        <v>1926000</v>
      </c>
      <c r="I62" s="30">
        <f t="shared" si="22"/>
        <v>2936</v>
      </c>
      <c r="J62" s="133">
        <f t="shared" si="23"/>
        <v>1594434.6769212568</v>
      </c>
      <c r="K62" s="10">
        <f t="shared" si="6"/>
        <v>12233333.333333332</v>
      </c>
      <c r="L62" s="22">
        <f t="shared" si="7"/>
        <v>1363193.1654487175</v>
      </c>
      <c r="M62" s="10">
        <f t="shared" si="8"/>
        <v>44473710.17578994</v>
      </c>
      <c r="O62" s="30" t="b">
        <f t="shared" si="9"/>
        <v>1</v>
      </c>
      <c r="P62" s="30" t="b">
        <f t="shared" si="10"/>
        <v>0</v>
      </c>
      <c r="Q62" s="30" t="b">
        <f t="shared" si="11"/>
        <v>0</v>
      </c>
      <c r="R62" s="30">
        <f t="shared" si="12"/>
        <v>0</v>
      </c>
      <c r="S62" s="32">
        <f t="shared" si="24"/>
        <v>45646</v>
      </c>
      <c r="AA62" s="45">
        <f t="shared" si="13"/>
        <v>45646</v>
      </c>
      <c r="AB62" s="3">
        <f t="shared" si="14"/>
        <v>2936</v>
      </c>
      <c r="AC62" s="3">
        <f aca="true" t="shared" si="28" ref="AC62:AC77">AB62/360</f>
        <v>8.155555555555555</v>
      </c>
      <c r="AD62" s="3">
        <f t="shared" si="25"/>
        <v>8.166666666666666</v>
      </c>
      <c r="AE62" s="48">
        <f t="shared" si="16"/>
        <v>1500000</v>
      </c>
      <c r="AF62" s="3">
        <f aca="true" t="shared" si="29" ref="AF62:AF77">AE62*AD62</f>
        <v>12250000</v>
      </c>
      <c r="AN62" s="108">
        <f t="shared" si="18"/>
        <v>45646</v>
      </c>
    </row>
    <row r="63" spans="1:40" ht="12.75">
      <c r="A63" s="33">
        <f t="shared" si="19"/>
        <v>33</v>
      </c>
      <c r="B63" s="30">
        <f t="shared" si="20"/>
        <v>3</v>
      </c>
      <c r="C63" s="30">
        <f t="shared" si="27"/>
        <v>20</v>
      </c>
      <c r="D63" s="30">
        <f t="shared" si="21"/>
        <v>2025</v>
      </c>
      <c r="E63" s="133">
        <f t="shared" si="4"/>
        <v>38500000</v>
      </c>
      <c r="F63" s="1"/>
      <c r="G63" s="133">
        <f t="shared" si="26"/>
        <v>410025</v>
      </c>
      <c r="H63" s="133">
        <f t="shared" si="5"/>
        <v>410025</v>
      </c>
      <c r="I63" s="30">
        <f t="shared" si="22"/>
        <v>3026</v>
      </c>
      <c r="J63" s="133">
        <f t="shared" si="23"/>
        <v>337478.1367889288</v>
      </c>
      <c r="K63" s="10">
        <f t="shared" si="6"/>
        <v>0</v>
      </c>
      <c r="L63" s="22">
        <f t="shared" si="7"/>
        <v>287151.2255656441</v>
      </c>
      <c r="M63" s="10">
        <f t="shared" si="8"/>
        <v>9655361.620183973</v>
      </c>
      <c r="O63" s="30" t="b">
        <f t="shared" si="9"/>
        <v>1</v>
      </c>
      <c r="P63" s="30" t="b">
        <f t="shared" si="10"/>
        <v>0</v>
      </c>
      <c r="Q63" s="30" t="b">
        <f t="shared" si="11"/>
        <v>0</v>
      </c>
      <c r="R63" s="30">
        <f t="shared" si="12"/>
        <v>0</v>
      </c>
      <c r="S63" s="32">
        <f t="shared" si="24"/>
        <v>45736</v>
      </c>
      <c r="AA63" s="45">
        <f t="shared" si="13"/>
        <v>45736</v>
      </c>
      <c r="AB63" s="3">
        <f t="shared" si="14"/>
        <v>3026</v>
      </c>
      <c r="AC63" s="3">
        <f t="shared" si="28"/>
        <v>8.405555555555555</v>
      </c>
      <c r="AD63" s="3">
        <f t="shared" si="25"/>
        <v>8.416666666666666</v>
      </c>
      <c r="AE63" s="48">
        <f t="shared" si="16"/>
        <v>0</v>
      </c>
      <c r="AF63" s="3">
        <f t="shared" si="29"/>
        <v>0</v>
      </c>
      <c r="AN63" s="108">
        <f t="shared" si="18"/>
        <v>45736</v>
      </c>
    </row>
    <row r="64" spans="1:40" ht="12.75">
      <c r="A64" s="33">
        <f t="shared" si="19"/>
        <v>34</v>
      </c>
      <c r="B64" s="30">
        <f t="shared" si="20"/>
        <v>6</v>
      </c>
      <c r="C64" s="30">
        <f t="shared" si="27"/>
        <v>20</v>
      </c>
      <c r="D64" s="30">
        <f t="shared" si="21"/>
        <v>2025</v>
      </c>
      <c r="E64" s="133">
        <f t="shared" si="4"/>
        <v>38500000</v>
      </c>
      <c r="F64" s="1"/>
      <c r="G64" s="133">
        <f t="shared" si="26"/>
        <v>410025</v>
      </c>
      <c r="H64" s="133">
        <f t="shared" si="5"/>
        <v>410025</v>
      </c>
      <c r="I64" s="30">
        <f t="shared" si="22"/>
        <v>3116</v>
      </c>
      <c r="J64" s="133">
        <f t="shared" si="23"/>
        <v>335529.3378375767</v>
      </c>
      <c r="K64" s="10">
        <f t="shared" si="6"/>
        <v>0</v>
      </c>
      <c r="L64" s="22">
        <f t="shared" si="7"/>
        <v>284125.29121421266</v>
      </c>
      <c r="M64" s="10">
        <f t="shared" si="8"/>
        <v>9837740.90511019</v>
      </c>
      <c r="O64" s="30" t="b">
        <f t="shared" si="9"/>
        <v>0</v>
      </c>
      <c r="P64" s="30" t="b">
        <f t="shared" si="10"/>
        <v>1</v>
      </c>
      <c r="Q64" s="30" t="b">
        <f t="shared" si="11"/>
        <v>0</v>
      </c>
      <c r="R64" s="30">
        <f t="shared" si="12"/>
        <v>0</v>
      </c>
      <c r="S64" s="32">
        <f t="shared" si="24"/>
        <v>45828</v>
      </c>
      <c r="AA64" s="45">
        <f t="shared" si="13"/>
        <v>45828</v>
      </c>
      <c r="AB64" s="3">
        <f t="shared" si="14"/>
        <v>3116</v>
      </c>
      <c r="AC64" s="3">
        <f t="shared" si="28"/>
        <v>8.655555555555555</v>
      </c>
      <c r="AD64" s="3">
        <f t="shared" si="25"/>
        <v>8.666666666666666</v>
      </c>
      <c r="AE64" s="48">
        <f t="shared" si="16"/>
        <v>0</v>
      </c>
      <c r="AF64" s="3">
        <f t="shared" si="29"/>
        <v>0</v>
      </c>
      <c r="AN64" s="108">
        <f t="shared" si="18"/>
        <v>45828</v>
      </c>
    </row>
    <row r="65" spans="1:40" ht="12.75">
      <c r="A65" s="33">
        <f t="shared" si="19"/>
        <v>35</v>
      </c>
      <c r="B65" s="30">
        <f t="shared" si="20"/>
        <v>9</v>
      </c>
      <c r="C65" s="30">
        <f t="shared" si="27"/>
        <v>20</v>
      </c>
      <c r="D65" s="30">
        <f t="shared" si="21"/>
        <v>2025</v>
      </c>
      <c r="E65" s="133">
        <f t="shared" si="4"/>
        <v>38500000</v>
      </c>
      <c r="F65" s="1"/>
      <c r="G65" s="133">
        <f t="shared" si="26"/>
        <v>410025</v>
      </c>
      <c r="H65" s="133">
        <f t="shared" si="5"/>
        <v>410025</v>
      </c>
      <c r="I65" s="30">
        <f t="shared" si="22"/>
        <v>3206</v>
      </c>
      <c r="J65" s="133">
        <f t="shared" si="23"/>
        <v>333591.7924073828</v>
      </c>
      <c r="K65" s="10">
        <f t="shared" si="6"/>
        <v>0</v>
      </c>
      <c r="L65" s="22">
        <f t="shared" si="7"/>
        <v>281131.24347124394</v>
      </c>
      <c r="M65" s="10">
        <f t="shared" si="8"/>
        <v>10015204.270839958</v>
      </c>
      <c r="O65" s="30" t="b">
        <f t="shared" si="9"/>
        <v>0</v>
      </c>
      <c r="P65" s="30" t="b">
        <f t="shared" si="10"/>
        <v>1</v>
      </c>
      <c r="Q65" s="30" t="b">
        <f t="shared" si="11"/>
        <v>0</v>
      </c>
      <c r="R65" s="30">
        <f t="shared" si="12"/>
        <v>0</v>
      </c>
      <c r="S65" s="32">
        <f t="shared" si="24"/>
        <v>45920</v>
      </c>
      <c r="AA65" s="45">
        <f t="shared" si="13"/>
        <v>45920</v>
      </c>
      <c r="AB65" s="3">
        <f t="shared" si="14"/>
        <v>3206</v>
      </c>
      <c r="AC65" s="3">
        <f t="shared" si="28"/>
        <v>8.905555555555555</v>
      </c>
      <c r="AD65" s="3">
        <f t="shared" si="25"/>
        <v>8.916666666666666</v>
      </c>
      <c r="AE65" s="48">
        <f t="shared" si="16"/>
        <v>0</v>
      </c>
      <c r="AF65" s="3">
        <f t="shared" si="29"/>
        <v>0</v>
      </c>
      <c r="AN65" s="108">
        <f t="shared" si="18"/>
        <v>45920</v>
      </c>
    </row>
    <row r="66" spans="1:40" ht="12.75">
      <c r="A66" s="33">
        <f t="shared" si="19"/>
        <v>36</v>
      </c>
      <c r="B66" s="30">
        <f t="shared" si="20"/>
        <v>12</v>
      </c>
      <c r="C66" s="30">
        <f t="shared" si="27"/>
        <v>20</v>
      </c>
      <c r="D66" s="30">
        <f t="shared" si="21"/>
        <v>2025</v>
      </c>
      <c r="E66" s="133">
        <f t="shared" si="4"/>
        <v>37000000</v>
      </c>
      <c r="F66" s="1">
        <v>1500000</v>
      </c>
      <c r="G66" s="133">
        <f t="shared" si="26"/>
        <v>410025</v>
      </c>
      <c r="H66" s="133">
        <f t="shared" si="5"/>
        <v>1910025</v>
      </c>
      <c r="I66" s="30">
        <f t="shared" si="22"/>
        <v>3296</v>
      </c>
      <c r="J66" s="133">
        <f t="shared" si="23"/>
        <v>1545001.5815311824</v>
      </c>
      <c r="K66" s="10">
        <f t="shared" si="6"/>
        <v>13733333.333333332</v>
      </c>
      <c r="L66" s="22">
        <f t="shared" si="7"/>
        <v>1295797.2311332396</v>
      </c>
      <c r="M66" s="10">
        <f t="shared" si="8"/>
        <v>47458129.82407985</v>
      </c>
      <c r="O66" s="30" t="b">
        <f t="shared" si="9"/>
        <v>1</v>
      </c>
      <c r="P66" s="30" t="b">
        <f t="shared" si="10"/>
        <v>0</v>
      </c>
      <c r="Q66" s="30" t="b">
        <f t="shared" si="11"/>
        <v>0</v>
      </c>
      <c r="R66" s="30">
        <f t="shared" si="12"/>
        <v>0</v>
      </c>
      <c r="S66" s="32">
        <f t="shared" si="24"/>
        <v>46011</v>
      </c>
      <c r="AA66" s="45">
        <f t="shared" si="13"/>
        <v>46011</v>
      </c>
      <c r="AB66" s="3">
        <f t="shared" si="14"/>
        <v>3296</v>
      </c>
      <c r="AC66" s="3">
        <f t="shared" si="28"/>
        <v>9.155555555555555</v>
      </c>
      <c r="AD66" s="3">
        <f t="shared" si="25"/>
        <v>9.166666666666666</v>
      </c>
      <c r="AE66" s="48">
        <f t="shared" si="16"/>
        <v>1500000</v>
      </c>
      <c r="AF66" s="3">
        <f t="shared" si="29"/>
        <v>13750000</v>
      </c>
      <c r="AN66" s="108">
        <f t="shared" si="18"/>
        <v>46011</v>
      </c>
    </row>
    <row r="67" spans="1:40" ht="12.75">
      <c r="A67" s="33">
        <f t="shared" si="19"/>
        <v>37</v>
      </c>
      <c r="B67" s="30">
        <f t="shared" si="20"/>
        <v>3</v>
      </c>
      <c r="C67" s="30">
        <f t="shared" si="27"/>
        <v>20</v>
      </c>
      <c r="D67" s="30">
        <f t="shared" si="21"/>
        <v>2026</v>
      </c>
      <c r="E67" s="133">
        <f t="shared" si="4"/>
        <v>37000000</v>
      </c>
      <c r="F67" s="1"/>
      <c r="G67" s="133">
        <f t="shared" si="26"/>
        <v>394050</v>
      </c>
      <c r="H67" s="133">
        <f t="shared" si="5"/>
        <v>394050</v>
      </c>
      <c r="I67" s="30">
        <f t="shared" si="22"/>
        <v>3386</v>
      </c>
      <c r="J67" s="133">
        <f t="shared" si="23"/>
        <v>316902.79205883056</v>
      </c>
      <c r="K67" s="10">
        <f t="shared" si="6"/>
        <v>0</v>
      </c>
      <c r="L67" s="22">
        <f t="shared" si="7"/>
        <v>264513.9296093355</v>
      </c>
      <c r="M67" s="10">
        <f t="shared" si="8"/>
        <v>9952246.014589053</v>
      </c>
      <c r="O67" s="30" t="b">
        <f t="shared" si="9"/>
        <v>1</v>
      </c>
      <c r="P67" s="30" t="b">
        <f t="shared" si="10"/>
        <v>0</v>
      </c>
      <c r="Q67" s="30" t="b">
        <f t="shared" si="11"/>
        <v>0</v>
      </c>
      <c r="R67" s="30">
        <f t="shared" si="12"/>
        <v>0</v>
      </c>
      <c r="S67" s="32">
        <f t="shared" si="24"/>
        <v>46101</v>
      </c>
      <c r="AA67" s="45">
        <f t="shared" si="13"/>
        <v>46101</v>
      </c>
      <c r="AB67" s="3">
        <f t="shared" si="14"/>
        <v>3386</v>
      </c>
      <c r="AC67" s="3">
        <f t="shared" si="28"/>
        <v>9.405555555555555</v>
      </c>
      <c r="AD67" s="3">
        <f t="shared" si="25"/>
        <v>9.416666666666666</v>
      </c>
      <c r="AE67" s="48">
        <f t="shared" si="16"/>
        <v>0</v>
      </c>
      <c r="AF67" s="3">
        <f t="shared" si="29"/>
        <v>0</v>
      </c>
      <c r="AG67" s="4"/>
      <c r="AN67" s="108">
        <f t="shared" si="18"/>
        <v>46101</v>
      </c>
    </row>
    <row r="68" spans="1:40" ht="12.75">
      <c r="A68" s="33">
        <f t="shared" si="19"/>
        <v>38</v>
      </c>
      <c r="B68" s="30">
        <f t="shared" si="20"/>
        <v>6</v>
      </c>
      <c r="C68" s="30">
        <f t="shared" si="27"/>
        <v>20</v>
      </c>
      <c r="D68" s="30">
        <f t="shared" si="21"/>
        <v>2026</v>
      </c>
      <c r="E68" s="133">
        <f t="shared" si="4"/>
        <v>37000000</v>
      </c>
      <c r="F68" s="1"/>
      <c r="G68" s="133">
        <f t="shared" si="26"/>
        <v>394050</v>
      </c>
      <c r="H68" s="133">
        <f t="shared" si="5"/>
        <v>394050</v>
      </c>
      <c r="I68" s="30">
        <f t="shared" si="22"/>
        <v>3476</v>
      </c>
      <c r="J68" s="133">
        <f t="shared" si="23"/>
        <v>315072.8073530923</v>
      </c>
      <c r="K68" s="10">
        <f t="shared" si="6"/>
        <v>0</v>
      </c>
      <c r="L68" s="22">
        <f t="shared" si="7"/>
        <v>261726.541937699</v>
      </c>
      <c r="M68" s="10">
        <f t="shared" si="8"/>
        <v>10109098.049966248</v>
      </c>
      <c r="O68" s="30" t="b">
        <f t="shared" si="9"/>
        <v>0</v>
      </c>
      <c r="P68" s="30" t="b">
        <f t="shared" si="10"/>
        <v>1</v>
      </c>
      <c r="Q68" s="30" t="b">
        <f t="shared" si="11"/>
        <v>0</v>
      </c>
      <c r="R68" s="30">
        <f t="shared" si="12"/>
        <v>0</v>
      </c>
      <c r="S68" s="32">
        <f t="shared" si="24"/>
        <v>46193</v>
      </c>
      <c r="AA68" s="45">
        <f t="shared" si="13"/>
        <v>46193</v>
      </c>
      <c r="AB68" s="3">
        <f t="shared" si="14"/>
        <v>3476</v>
      </c>
      <c r="AC68" s="3">
        <f t="shared" si="28"/>
        <v>9.655555555555555</v>
      </c>
      <c r="AD68" s="3">
        <f t="shared" si="25"/>
        <v>9.666666666666666</v>
      </c>
      <c r="AE68" s="48">
        <f t="shared" si="16"/>
        <v>0</v>
      </c>
      <c r="AF68" s="3">
        <f t="shared" si="29"/>
        <v>0</v>
      </c>
      <c r="AN68" s="108">
        <f t="shared" si="18"/>
        <v>46193</v>
      </c>
    </row>
    <row r="69" spans="1:40" ht="12.75">
      <c r="A69" s="33">
        <f t="shared" si="19"/>
        <v>39</v>
      </c>
      <c r="B69" s="30">
        <f t="shared" si="20"/>
        <v>9</v>
      </c>
      <c r="C69" s="30">
        <f t="shared" si="27"/>
        <v>20</v>
      </c>
      <c r="D69" s="30">
        <f t="shared" si="21"/>
        <v>2026</v>
      </c>
      <c r="E69" s="133">
        <f t="shared" si="4"/>
        <v>37000000</v>
      </c>
      <c r="F69" s="1"/>
      <c r="G69" s="133">
        <f t="shared" si="26"/>
        <v>394050</v>
      </c>
      <c r="H69" s="133">
        <f t="shared" si="5"/>
        <v>394050</v>
      </c>
      <c r="I69" s="30">
        <f t="shared" si="22"/>
        <v>3566</v>
      </c>
      <c r="J69" s="133">
        <f t="shared" si="23"/>
        <v>313253.39006457827</v>
      </c>
      <c r="K69" s="10">
        <f t="shared" si="6"/>
        <v>0</v>
      </c>
      <c r="L69" s="22">
        <f t="shared" si="7"/>
        <v>258968.52712383016</v>
      </c>
      <c r="M69" s="10">
        <f t="shared" si="8"/>
        <v>10261539.199430015</v>
      </c>
      <c r="O69" s="30" t="b">
        <f t="shared" si="9"/>
        <v>0</v>
      </c>
      <c r="P69" s="30" t="b">
        <f t="shared" si="10"/>
        <v>1</v>
      </c>
      <c r="Q69" s="30" t="b">
        <f t="shared" si="11"/>
        <v>0</v>
      </c>
      <c r="R69" s="30">
        <f t="shared" si="12"/>
        <v>0</v>
      </c>
      <c r="S69" s="32">
        <f t="shared" si="24"/>
        <v>46285</v>
      </c>
      <c r="Z69" s="10"/>
      <c r="AA69" s="45">
        <f t="shared" si="13"/>
        <v>46285</v>
      </c>
      <c r="AB69" s="3">
        <f t="shared" si="14"/>
        <v>3566</v>
      </c>
      <c r="AC69" s="3">
        <f t="shared" si="28"/>
        <v>9.905555555555555</v>
      </c>
      <c r="AD69" s="3">
        <f t="shared" si="25"/>
        <v>9.916666666666666</v>
      </c>
      <c r="AE69" s="48">
        <f t="shared" si="16"/>
        <v>0</v>
      </c>
      <c r="AF69" s="3">
        <f t="shared" si="29"/>
        <v>0</v>
      </c>
      <c r="AH69" s="4"/>
      <c r="AI69" s="4"/>
      <c r="AN69" s="108">
        <f t="shared" si="18"/>
        <v>46285</v>
      </c>
    </row>
    <row r="70" spans="1:40" ht="12.75">
      <c r="A70" s="33">
        <f t="shared" si="19"/>
        <v>40</v>
      </c>
      <c r="B70" s="30">
        <f t="shared" si="20"/>
        <v>12</v>
      </c>
      <c r="C70" s="30">
        <f t="shared" si="27"/>
        <v>20</v>
      </c>
      <c r="D70" s="30">
        <f t="shared" si="21"/>
        <v>2026</v>
      </c>
      <c r="E70" s="133">
        <f t="shared" si="4"/>
        <v>35500000</v>
      </c>
      <c r="F70" s="1">
        <v>1500000</v>
      </c>
      <c r="G70" s="133">
        <f t="shared" si="26"/>
        <v>394050</v>
      </c>
      <c r="H70" s="133">
        <f t="shared" si="5"/>
        <v>1894050</v>
      </c>
      <c r="I70" s="30">
        <f t="shared" si="22"/>
        <v>3656</v>
      </c>
      <c r="J70" s="133">
        <f t="shared" si="23"/>
        <v>1496996.3602927667</v>
      </c>
      <c r="K70" s="10">
        <f t="shared" si="6"/>
        <v>15233333.333333332</v>
      </c>
      <c r="L70" s="22">
        <f t="shared" si="7"/>
        <v>1231647.1723056955</v>
      </c>
      <c r="M70" s="10">
        <f t="shared" si="8"/>
        <v>50035244.57794206</v>
      </c>
      <c r="O70" s="30" t="b">
        <f t="shared" si="9"/>
        <v>1</v>
      </c>
      <c r="P70" s="30" t="b">
        <f t="shared" si="10"/>
        <v>0</v>
      </c>
      <c r="Q70" s="30" t="b">
        <f t="shared" si="11"/>
        <v>0</v>
      </c>
      <c r="R70" s="30">
        <f t="shared" si="12"/>
        <v>0</v>
      </c>
      <c r="S70" s="32">
        <f t="shared" si="24"/>
        <v>46376</v>
      </c>
      <c r="Z70" s="10"/>
      <c r="AA70" s="45">
        <f t="shared" si="13"/>
        <v>46376</v>
      </c>
      <c r="AB70" s="3">
        <f t="shared" si="14"/>
        <v>3656</v>
      </c>
      <c r="AC70" s="3">
        <f t="shared" si="28"/>
        <v>10.155555555555555</v>
      </c>
      <c r="AD70" s="3">
        <f t="shared" si="25"/>
        <v>10.166666666666666</v>
      </c>
      <c r="AE70" s="48">
        <f t="shared" si="16"/>
        <v>1500000</v>
      </c>
      <c r="AF70" s="3">
        <f t="shared" si="29"/>
        <v>15250000</v>
      </c>
      <c r="AH70" s="4"/>
      <c r="AI70" s="4"/>
      <c r="AN70" s="108">
        <f t="shared" si="18"/>
        <v>46376</v>
      </c>
    </row>
    <row r="71" spans="1:40" ht="12.75">
      <c r="A71" s="33">
        <f aca="true" t="shared" si="30" ref="A71:A86">A70+1</f>
        <v>41</v>
      </c>
      <c r="B71" s="30">
        <f aca="true" t="shared" si="31" ref="B71:B86">IF(F$14=12,MOD(B70,12)+1,IF(F$14=4,IF(AND(MOD(B70,12)+3&gt;12,B70=11),2,IF(MOD(B70,12)+3&gt;12,1,MOD(B70,12)+3)),IF(F$14=2,IF((B70+6)&gt;12,(B70+6)-12,MOD(B70,12)+6),+B70)))</f>
        <v>3</v>
      </c>
      <c r="C71" s="30">
        <f t="shared" si="27"/>
        <v>20</v>
      </c>
      <c r="D71" s="30">
        <f aca="true" t="shared" si="32" ref="D71:D86">IF(F$14=1,D70+1,IF(AND(F$14=2,B71&lt;B70),D70+1,IF(AND(F$14=4,B71&lt;B70),D70+1,IF(OR(B71=1,B70=12),D70+1,D70))))</f>
        <v>2027</v>
      </c>
      <c r="E71" s="133">
        <f aca="true" t="shared" si="33" ref="E71:E86">ROUND(IF((+E70-F71)&lt;=-1,#VALUE!,E70-F71),2)</f>
        <v>35500000</v>
      </c>
      <c r="F71" s="1"/>
      <c r="G71" s="133">
        <f t="shared" si="26"/>
        <v>378075</v>
      </c>
      <c r="H71" s="133">
        <f t="shared" si="5"/>
        <v>378075</v>
      </c>
      <c r="I71" s="30">
        <f aca="true" t="shared" si="34" ref="I71:I86">I70+(360/$F$14)</f>
        <v>3746</v>
      </c>
      <c r="J71" s="133">
        <f t="shared" si="23"/>
        <v>297092.7972176182</v>
      </c>
      <c r="K71" s="10">
        <f t="shared" si="6"/>
        <v>0</v>
      </c>
      <c r="L71" s="22">
        <f t="shared" si="7"/>
        <v>243260.75766959332</v>
      </c>
      <c r="M71" s="10">
        <f t="shared" si="8"/>
        <v>10125645.729518168</v>
      </c>
      <c r="O71" s="30" t="b">
        <f t="shared" si="9"/>
        <v>1</v>
      </c>
      <c r="P71" s="30" t="b">
        <f t="shared" si="10"/>
        <v>0</v>
      </c>
      <c r="Q71" s="30" t="b">
        <f t="shared" si="11"/>
        <v>0</v>
      </c>
      <c r="R71" s="30">
        <f t="shared" si="12"/>
        <v>0</v>
      </c>
      <c r="S71" s="32">
        <f t="shared" si="24"/>
        <v>46466</v>
      </c>
      <c r="Z71" s="10"/>
      <c r="AA71" s="45">
        <f t="shared" si="13"/>
        <v>46466</v>
      </c>
      <c r="AB71" s="3">
        <f t="shared" si="14"/>
        <v>3746</v>
      </c>
      <c r="AC71" s="3">
        <f t="shared" si="28"/>
        <v>10.405555555555555</v>
      </c>
      <c r="AD71" s="3">
        <f t="shared" si="25"/>
        <v>10.416666666666666</v>
      </c>
      <c r="AE71" s="48">
        <f t="shared" si="16"/>
        <v>0</v>
      </c>
      <c r="AF71" s="3">
        <f t="shared" si="29"/>
        <v>0</v>
      </c>
      <c r="AH71" s="4"/>
      <c r="AI71" s="4"/>
      <c r="AN71" s="108">
        <f t="shared" si="18"/>
        <v>46466</v>
      </c>
    </row>
    <row r="72" spans="1:40" ht="12.75">
      <c r="A72" s="33">
        <f t="shared" si="30"/>
        <v>42</v>
      </c>
      <c r="B72" s="30">
        <f t="shared" si="31"/>
        <v>6</v>
      </c>
      <c r="C72" s="30">
        <f t="shared" si="27"/>
        <v>20</v>
      </c>
      <c r="D72" s="30">
        <f t="shared" si="32"/>
        <v>2027</v>
      </c>
      <c r="E72" s="133">
        <f t="shared" si="33"/>
        <v>35500000</v>
      </c>
      <c r="F72" s="1"/>
      <c r="G72" s="133">
        <f t="shared" si="26"/>
        <v>378075</v>
      </c>
      <c r="H72" s="133">
        <f t="shared" si="5"/>
        <v>378075</v>
      </c>
      <c r="I72" s="30">
        <f t="shared" si="34"/>
        <v>3836</v>
      </c>
      <c r="J72" s="133">
        <f t="shared" si="23"/>
        <v>295377.20717323537</v>
      </c>
      <c r="K72" s="10">
        <f t="shared" si="6"/>
        <v>0</v>
      </c>
      <c r="L72" s="22">
        <f t="shared" si="7"/>
        <v>240697.3310934481</v>
      </c>
      <c r="M72" s="10">
        <f t="shared" si="8"/>
        <v>10259641.307265384</v>
      </c>
      <c r="O72" s="30" t="b">
        <f t="shared" si="9"/>
        <v>0</v>
      </c>
      <c r="P72" s="30" t="b">
        <f t="shared" si="10"/>
        <v>1</v>
      </c>
      <c r="Q72" s="30" t="b">
        <f t="shared" si="11"/>
        <v>0</v>
      </c>
      <c r="R72" s="30">
        <f t="shared" si="12"/>
        <v>0</v>
      </c>
      <c r="S72" s="32">
        <f t="shared" si="24"/>
        <v>46558</v>
      </c>
      <c r="Z72" s="10"/>
      <c r="AA72" s="45">
        <f t="shared" si="13"/>
        <v>46558</v>
      </c>
      <c r="AB72" s="3">
        <f t="shared" si="14"/>
        <v>3836</v>
      </c>
      <c r="AC72" s="3">
        <f t="shared" si="28"/>
        <v>10.655555555555555</v>
      </c>
      <c r="AD72" s="3">
        <f t="shared" si="25"/>
        <v>10.666666666666666</v>
      </c>
      <c r="AE72" s="48">
        <f t="shared" si="16"/>
        <v>0</v>
      </c>
      <c r="AF72" s="3">
        <f t="shared" si="29"/>
        <v>0</v>
      </c>
      <c r="AH72" s="4"/>
      <c r="AI72" s="4"/>
      <c r="AN72" s="108">
        <f t="shared" si="18"/>
        <v>46558</v>
      </c>
    </row>
    <row r="73" spans="1:40" ht="12.75">
      <c r="A73" s="33">
        <f t="shared" si="30"/>
        <v>43</v>
      </c>
      <c r="B73" s="30">
        <f t="shared" si="31"/>
        <v>9</v>
      </c>
      <c r="C73" s="30">
        <f t="shared" si="27"/>
        <v>20</v>
      </c>
      <c r="D73" s="30">
        <f t="shared" si="32"/>
        <v>2027</v>
      </c>
      <c r="E73" s="133">
        <f t="shared" si="33"/>
        <v>35500000</v>
      </c>
      <c r="F73" s="1"/>
      <c r="G73" s="133">
        <f t="shared" si="26"/>
        <v>378075</v>
      </c>
      <c r="H73" s="133">
        <f t="shared" si="5"/>
        <v>378075</v>
      </c>
      <c r="I73" s="30">
        <f t="shared" si="34"/>
        <v>3926</v>
      </c>
      <c r="J73" s="133">
        <f t="shared" si="23"/>
        <v>293671.5239634441</v>
      </c>
      <c r="K73" s="10">
        <f t="shared" si="6"/>
        <v>0</v>
      </c>
      <c r="L73" s="22">
        <f t="shared" si="7"/>
        <v>238160.91732394803</v>
      </c>
      <c r="M73" s="10">
        <f t="shared" si="8"/>
        <v>10389688.456299245</v>
      </c>
      <c r="O73" s="30" t="b">
        <f t="shared" si="9"/>
        <v>0</v>
      </c>
      <c r="P73" s="30" t="b">
        <f t="shared" si="10"/>
        <v>1</v>
      </c>
      <c r="Q73" s="30" t="b">
        <f t="shared" si="11"/>
        <v>0</v>
      </c>
      <c r="R73" s="30">
        <f t="shared" si="12"/>
        <v>0</v>
      </c>
      <c r="S73" s="32">
        <f t="shared" si="24"/>
        <v>46650</v>
      </c>
      <c r="Z73" s="10"/>
      <c r="AA73" s="45">
        <f t="shared" si="13"/>
        <v>46650</v>
      </c>
      <c r="AB73" s="3">
        <f t="shared" si="14"/>
        <v>3926</v>
      </c>
      <c r="AC73" s="3">
        <f t="shared" si="28"/>
        <v>10.905555555555555</v>
      </c>
      <c r="AD73" s="3">
        <f t="shared" si="25"/>
        <v>10.916666666666666</v>
      </c>
      <c r="AE73" s="48">
        <f t="shared" si="16"/>
        <v>0</v>
      </c>
      <c r="AF73" s="3">
        <f t="shared" si="29"/>
        <v>0</v>
      </c>
      <c r="AH73" s="4"/>
      <c r="AI73" s="4"/>
      <c r="AN73" s="108">
        <f t="shared" si="18"/>
        <v>46650</v>
      </c>
    </row>
    <row r="74" spans="1:40" ht="12.75">
      <c r="A74" s="33">
        <f t="shared" si="30"/>
        <v>44</v>
      </c>
      <c r="B74" s="30">
        <f t="shared" si="31"/>
        <v>12</v>
      </c>
      <c r="C74" s="30">
        <f t="shared" si="27"/>
        <v>20</v>
      </c>
      <c r="D74" s="30">
        <f t="shared" si="32"/>
        <v>2027</v>
      </c>
      <c r="E74" s="133">
        <f t="shared" si="33"/>
        <v>34000000</v>
      </c>
      <c r="F74" s="1">
        <v>1500000</v>
      </c>
      <c r="G74" s="133">
        <f t="shared" si="26"/>
        <v>378075</v>
      </c>
      <c r="H74" s="133">
        <f t="shared" si="5"/>
        <v>1878075</v>
      </c>
      <c r="I74" s="30">
        <f t="shared" si="34"/>
        <v>4016</v>
      </c>
      <c r="J74" s="133">
        <f t="shared" si="23"/>
        <v>1450379.5403319206</v>
      </c>
      <c r="K74" s="10">
        <f t="shared" si="6"/>
        <v>16733333.333333332</v>
      </c>
      <c r="L74" s="22">
        <f t="shared" si="7"/>
        <v>1170589.6633915615</v>
      </c>
      <c r="M74" s="10">
        <f t="shared" si="8"/>
        <v>52237162.8419774</v>
      </c>
      <c r="O74" s="30" t="b">
        <f t="shared" si="9"/>
        <v>1</v>
      </c>
      <c r="P74" s="30" t="b">
        <f t="shared" si="10"/>
        <v>0</v>
      </c>
      <c r="Q74" s="30" t="b">
        <f t="shared" si="11"/>
        <v>0</v>
      </c>
      <c r="R74" s="30">
        <f t="shared" si="12"/>
        <v>0</v>
      </c>
      <c r="S74" s="32">
        <f t="shared" si="24"/>
        <v>46741</v>
      </c>
      <c r="Z74" s="10"/>
      <c r="AA74" s="45">
        <f t="shared" si="13"/>
        <v>46741</v>
      </c>
      <c r="AB74" s="3">
        <f t="shared" si="14"/>
        <v>4016</v>
      </c>
      <c r="AC74" s="3">
        <f t="shared" si="28"/>
        <v>11.155555555555555</v>
      </c>
      <c r="AD74" s="3">
        <f t="shared" si="25"/>
        <v>11.166666666666666</v>
      </c>
      <c r="AE74" s="48">
        <f t="shared" si="16"/>
        <v>1500000</v>
      </c>
      <c r="AF74" s="3">
        <f t="shared" si="29"/>
        <v>16750000</v>
      </c>
      <c r="AH74" s="4"/>
      <c r="AI74" s="4"/>
      <c r="AN74" s="108">
        <f t="shared" si="18"/>
        <v>46741</v>
      </c>
    </row>
    <row r="75" spans="1:40" ht="12.75">
      <c r="A75" s="33">
        <f t="shared" si="30"/>
        <v>45</v>
      </c>
      <c r="B75" s="30">
        <f t="shared" si="31"/>
        <v>3</v>
      </c>
      <c r="C75" s="30">
        <f t="shared" si="27"/>
        <v>20</v>
      </c>
      <c r="D75" s="30">
        <f t="shared" si="32"/>
        <v>2028</v>
      </c>
      <c r="E75" s="133">
        <f t="shared" si="33"/>
        <v>34000000</v>
      </c>
      <c r="F75" s="1"/>
      <c r="G75" s="133">
        <f t="shared" si="26"/>
        <v>362100</v>
      </c>
      <c r="H75" s="133">
        <f t="shared" si="5"/>
        <v>362100</v>
      </c>
      <c r="I75" s="30">
        <f t="shared" si="34"/>
        <v>4106</v>
      </c>
      <c r="J75" s="133">
        <f t="shared" si="23"/>
        <v>278023.88970624894</v>
      </c>
      <c r="K75" s="10">
        <f t="shared" si="6"/>
        <v>0</v>
      </c>
      <c r="L75" s="22">
        <f t="shared" si="7"/>
        <v>223315.82388445843</v>
      </c>
      <c r="M75" s="10">
        <f t="shared" si="8"/>
        <v>10188707.986706536</v>
      </c>
      <c r="O75" s="30" t="b">
        <f t="shared" si="9"/>
        <v>1</v>
      </c>
      <c r="P75" s="30" t="b">
        <f t="shared" si="10"/>
        <v>0</v>
      </c>
      <c r="Q75" s="30" t="b">
        <f t="shared" si="11"/>
        <v>0</v>
      </c>
      <c r="R75" s="30">
        <f t="shared" si="12"/>
        <v>0</v>
      </c>
      <c r="S75" s="32">
        <f t="shared" si="24"/>
        <v>46832</v>
      </c>
      <c r="Z75" s="10"/>
      <c r="AA75" s="45">
        <f t="shared" si="13"/>
        <v>46832</v>
      </c>
      <c r="AB75" s="3">
        <f t="shared" si="14"/>
        <v>4106</v>
      </c>
      <c r="AC75" s="3">
        <f t="shared" si="28"/>
        <v>11.405555555555555</v>
      </c>
      <c r="AD75" s="3">
        <f t="shared" si="25"/>
        <v>11.416666666666666</v>
      </c>
      <c r="AE75" s="48">
        <f t="shared" si="16"/>
        <v>0</v>
      </c>
      <c r="AF75" s="3">
        <f t="shared" si="29"/>
        <v>0</v>
      </c>
      <c r="AH75" s="4"/>
      <c r="AI75" s="4"/>
      <c r="AN75" s="108">
        <f t="shared" si="18"/>
        <v>46832</v>
      </c>
    </row>
    <row r="76" spans="1:40" ht="12.75">
      <c r="A76" s="33">
        <f t="shared" si="30"/>
        <v>46</v>
      </c>
      <c r="B76" s="30">
        <f t="shared" si="31"/>
        <v>6</v>
      </c>
      <c r="C76" s="30">
        <f t="shared" si="27"/>
        <v>20</v>
      </c>
      <c r="D76" s="30">
        <f t="shared" si="32"/>
        <v>2028</v>
      </c>
      <c r="E76" s="133">
        <f t="shared" si="33"/>
        <v>34000000</v>
      </c>
      <c r="F76" s="1"/>
      <c r="G76" s="133">
        <f t="shared" si="26"/>
        <v>362100</v>
      </c>
      <c r="H76" s="133">
        <f t="shared" si="5"/>
        <v>362100</v>
      </c>
      <c r="I76" s="30">
        <f t="shared" si="34"/>
        <v>4196</v>
      </c>
      <c r="J76" s="133">
        <f t="shared" si="23"/>
        <v>276418.4148453715</v>
      </c>
      <c r="K76" s="10">
        <f t="shared" si="6"/>
        <v>0</v>
      </c>
      <c r="L76" s="22">
        <f t="shared" si="7"/>
        <v>220962.57248746685</v>
      </c>
      <c r="M76" s="10">
        <f t="shared" si="8"/>
        <v>10302304.270114277</v>
      </c>
      <c r="O76" s="30" t="b">
        <f t="shared" si="9"/>
        <v>0</v>
      </c>
      <c r="P76" s="30" t="b">
        <f t="shared" si="10"/>
        <v>1</v>
      </c>
      <c r="Q76" s="30" t="b">
        <f t="shared" si="11"/>
        <v>0</v>
      </c>
      <c r="R76" s="30">
        <f t="shared" si="12"/>
        <v>0</v>
      </c>
      <c r="S76" s="32">
        <f t="shared" si="24"/>
        <v>46924</v>
      </c>
      <c r="Z76" s="10"/>
      <c r="AA76" s="45">
        <f t="shared" si="13"/>
        <v>46924</v>
      </c>
      <c r="AB76" s="3">
        <f t="shared" si="14"/>
        <v>4196</v>
      </c>
      <c r="AC76" s="3">
        <f t="shared" si="28"/>
        <v>11.655555555555555</v>
      </c>
      <c r="AD76" s="3">
        <f t="shared" si="25"/>
        <v>11.666666666666666</v>
      </c>
      <c r="AE76" s="48">
        <f t="shared" si="16"/>
        <v>0</v>
      </c>
      <c r="AF76" s="3">
        <f t="shared" si="29"/>
        <v>0</v>
      </c>
      <c r="AH76" s="4"/>
      <c r="AI76" s="4"/>
      <c r="AN76" s="108">
        <f t="shared" si="18"/>
        <v>46924</v>
      </c>
    </row>
    <row r="77" spans="1:40" ht="12.75">
      <c r="A77" s="33">
        <f t="shared" si="30"/>
        <v>47</v>
      </c>
      <c r="B77" s="30">
        <f t="shared" si="31"/>
        <v>9</v>
      </c>
      <c r="C77" s="30">
        <f t="shared" si="27"/>
        <v>20</v>
      </c>
      <c r="D77" s="30">
        <f t="shared" si="32"/>
        <v>2028</v>
      </c>
      <c r="E77" s="133">
        <f t="shared" si="33"/>
        <v>34000000</v>
      </c>
      <c r="F77" s="1"/>
      <c r="G77" s="133">
        <f t="shared" si="26"/>
        <v>362100</v>
      </c>
      <c r="H77" s="133">
        <f t="shared" si="5"/>
        <v>362100</v>
      </c>
      <c r="I77" s="30">
        <f t="shared" si="34"/>
        <v>4286</v>
      </c>
      <c r="J77" s="133">
        <f t="shared" si="23"/>
        <v>274822.21094869665</v>
      </c>
      <c r="K77" s="10">
        <f t="shared" si="6"/>
        <v>0</v>
      </c>
      <c r="L77" s="22">
        <f t="shared" si="7"/>
        <v>218634.1191188511</v>
      </c>
      <c r="M77" s="10">
        <f t="shared" si="8"/>
        <v>10412375.048336955</v>
      </c>
      <c r="O77" s="30" t="b">
        <f t="shared" si="9"/>
        <v>0</v>
      </c>
      <c r="P77" s="30" t="b">
        <f t="shared" si="10"/>
        <v>1</v>
      </c>
      <c r="Q77" s="30" t="b">
        <f t="shared" si="11"/>
        <v>0</v>
      </c>
      <c r="R77" s="30">
        <f t="shared" si="12"/>
        <v>0</v>
      </c>
      <c r="S77" s="32">
        <f t="shared" si="24"/>
        <v>47016</v>
      </c>
      <c r="Z77" s="10"/>
      <c r="AA77" s="45">
        <f t="shared" si="13"/>
        <v>47016</v>
      </c>
      <c r="AB77" s="3">
        <f t="shared" si="14"/>
        <v>4286</v>
      </c>
      <c r="AC77" s="3">
        <f t="shared" si="28"/>
        <v>11.905555555555555</v>
      </c>
      <c r="AD77" s="3">
        <f t="shared" si="25"/>
        <v>11.916666666666666</v>
      </c>
      <c r="AE77" s="48">
        <f t="shared" si="16"/>
        <v>0</v>
      </c>
      <c r="AF77" s="3">
        <f t="shared" si="29"/>
        <v>0</v>
      </c>
      <c r="AH77" s="4"/>
      <c r="AI77" s="4"/>
      <c r="AN77" s="108">
        <f t="shared" si="18"/>
        <v>47016</v>
      </c>
    </row>
    <row r="78" spans="1:40" ht="12.75">
      <c r="A78" s="33">
        <f t="shared" si="30"/>
        <v>48</v>
      </c>
      <c r="B78" s="30">
        <f t="shared" si="31"/>
        <v>12</v>
      </c>
      <c r="C78" s="30">
        <f t="shared" si="27"/>
        <v>20</v>
      </c>
      <c r="D78" s="30">
        <f t="shared" si="32"/>
        <v>2028</v>
      </c>
      <c r="E78" s="133">
        <f t="shared" si="33"/>
        <v>32500000</v>
      </c>
      <c r="F78" s="1">
        <v>1500000</v>
      </c>
      <c r="G78" s="133">
        <f t="shared" si="26"/>
        <v>362100</v>
      </c>
      <c r="H78" s="133">
        <f t="shared" si="5"/>
        <v>1862100</v>
      </c>
      <c r="I78" s="30">
        <f t="shared" si="34"/>
        <v>4376</v>
      </c>
      <c r="J78" s="133">
        <f t="shared" si="23"/>
        <v>1405112.7078280544</v>
      </c>
      <c r="K78" s="10">
        <f t="shared" si="6"/>
        <v>18233333.333333332</v>
      </c>
      <c r="L78" s="22">
        <f t="shared" si="7"/>
        <v>1112478.5142382006</v>
      </c>
      <c r="M78" s="10">
        <f t="shared" si="8"/>
        <v>54093886.76903996</v>
      </c>
      <c r="O78" s="30" t="b">
        <f t="shared" si="9"/>
        <v>1</v>
      </c>
      <c r="P78" s="30" t="b">
        <f t="shared" si="10"/>
        <v>0</v>
      </c>
      <c r="Q78" s="30" t="b">
        <f t="shared" si="11"/>
        <v>0</v>
      </c>
      <c r="R78" s="30">
        <f t="shared" si="12"/>
        <v>0</v>
      </c>
      <c r="S78" s="32">
        <f t="shared" si="24"/>
        <v>47107</v>
      </c>
      <c r="Z78" s="10"/>
      <c r="AA78" s="45">
        <f t="shared" si="13"/>
        <v>47107</v>
      </c>
      <c r="AB78" s="3">
        <f t="shared" si="14"/>
        <v>4376</v>
      </c>
      <c r="AC78" s="3">
        <f aca="true" t="shared" si="35" ref="AC78:AC93">AB78/360</f>
        <v>12.155555555555555</v>
      </c>
      <c r="AD78" s="3">
        <f t="shared" si="25"/>
        <v>12.166666666666666</v>
      </c>
      <c r="AE78" s="48">
        <f t="shared" si="16"/>
        <v>1500000</v>
      </c>
      <c r="AF78" s="3">
        <f aca="true" t="shared" si="36" ref="AF78:AF93">AE78*AD78</f>
        <v>18250000</v>
      </c>
      <c r="AH78" s="4"/>
      <c r="AI78" s="4"/>
      <c r="AN78" s="108">
        <f t="shared" si="18"/>
        <v>47107</v>
      </c>
    </row>
    <row r="79" spans="1:40" ht="12.75">
      <c r="A79" s="33">
        <f t="shared" si="30"/>
        <v>49</v>
      </c>
      <c r="B79" s="30">
        <f t="shared" si="31"/>
        <v>3</v>
      </c>
      <c r="C79" s="30">
        <f t="shared" si="27"/>
        <v>20</v>
      </c>
      <c r="D79" s="30">
        <f t="shared" si="32"/>
        <v>2029</v>
      </c>
      <c r="E79" s="133">
        <f t="shared" si="33"/>
        <v>32500000</v>
      </c>
      <c r="F79" s="1"/>
      <c r="G79" s="133">
        <f t="shared" si="26"/>
        <v>346125</v>
      </c>
      <c r="H79" s="133">
        <f t="shared" si="5"/>
        <v>346125</v>
      </c>
      <c r="I79" s="30">
        <f t="shared" si="34"/>
        <v>4466</v>
      </c>
      <c r="J79" s="133">
        <f t="shared" si="23"/>
        <v>259672.51682116985</v>
      </c>
      <c r="K79" s="10">
        <f t="shared" si="6"/>
        <v>0</v>
      </c>
      <c r="L79" s="22">
        <f t="shared" si="7"/>
        <v>204607.15672311306</v>
      </c>
      <c r="M79" s="10">
        <f t="shared" si="8"/>
        <v>10153560.081440402</v>
      </c>
      <c r="O79" s="30" t="b">
        <f t="shared" si="9"/>
        <v>1</v>
      </c>
      <c r="P79" s="30" t="b">
        <f t="shared" si="10"/>
        <v>0</v>
      </c>
      <c r="Q79" s="30" t="b">
        <f t="shared" si="11"/>
        <v>0</v>
      </c>
      <c r="R79" s="30">
        <f t="shared" si="12"/>
        <v>0</v>
      </c>
      <c r="S79" s="32">
        <f t="shared" si="24"/>
        <v>47197</v>
      </c>
      <c r="Z79" s="10"/>
      <c r="AA79" s="45">
        <f t="shared" si="13"/>
        <v>47197</v>
      </c>
      <c r="AB79" s="3">
        <f t="shared" si="14"/>
        <v>4466</v>
      </c>
      <c r="AC79" s="3">
        <f t="shared" si="35"/>
        <v>12.405555555555555</v>
      </c>
      <c r="AD79" s="3">
        <f t="shared" si="25"/>
        <v>12.416666666666666</v>
      </c>
      <c r="AE79" s="48">
        <f t="shared" si="16"/>
        <v>0</v>
      </c>
      <c r="AF79" s="3">
        <f t="shared" si="36"/>
        <v>0</v>
      </c>
      <c r="AH79" s="4"/>
      <c r="AI79" s="4"/>
      <c r="AN79" s="108">
        <f t="shared" si="18"/>
        <v>47197</v>
      </c>
    </row>
    <row r="80" spans="1:40" ht="12.75">
      <c r="A80" s="33">
        <f t="shared" si="30"/>
        <v>50</v>
      </c>
      <c r="B80" s="30">
        <f t="shared" si="31"/>
        <v>6</v>
      </c>
      <c r="C80" s="30">
        <f t="shared" si="27"/>
        <v>20</v>
      </c>
      <c r="D80" s="30">
        <f t="shared" si="32"/>
        <v>2029</v>
      </c>
      <c r="E80" s="133">
        <f t="shared" si="33"/>
        <v>32500000</v>
      </c>
      <c r="F80" s="1"/>
      <c r="G80" s="133">
        <f t="shared" si="26"/>
        <v>346125</v>
      </c>
      <c r="H80" s="133">
        <f t="shared" si="5"/>
        <v>346125</v>
      </c>
      <c r="I80" s="30">
        <f t="shared" si="34"/>
        <v>4556</v>
      </c>
      <c r="J80" s="133">
        <f t="shared" si="23"/>
        <v>258173.0136732295</v>
      </c>
      <c r="K80" s="10">
        <f t="shared" si="6"/>
        <v>0</v>
      </c>
      <c r="L80" s="22">
        <f t="shared" si="7"/>
        <v>202451.0530085718</v>
      </c>
      <c r="M80" s="10">
        <f t="shared" si="8"/>
        <v>10249015.226006547</v>
      </c>
      <c r="O80" s="30" t="b">
        <f t="shared" si="9"/>
        <v>0</v>
      </c>
      <c r="P80" s="30" t="b">
        <f t="shared" si="10"/>
        <v>1</v>
      </c>
      <c r="Q80" s="30" t="b">
        <f t="shared" si="11"/>
        <v>0</v>
      </c>
      <c r="R80" s="30">
        <f t="shared" si="12"/>
        <v>0</v>
      </c>
      <c r="S80" s="32">
        <f t="shared" si="24"/>
        <v>47289</v>
      </c>
      <c r="Z80" s="10"/>
      <c r="AA80" s="45">
        <f t="shared" si="13"/>
        <v>47289</v>
      </c>
      <c r="AB80" s="3">
        <f t="shared" si="14"/>
        <v>4556</v>
      </c>
      <c r="AC80" s="3">
        <f t="shared" si="35"/>
        <v>12.655555555555555</v>
      </c>
      <c r="AD80" s="3">
        <f t="shared" si="25"/>
        <v>12.666666666666666</v>
      </c>
      <c r="AE80" s="48">
        <f t="shared" si="16"/>
        <v>0</v>
      </c>
      <c r="AF80" s="3">
        <f t="shared" si="36"/>
        <v>0</v>
      </c>
      <c r="AH80" s="4"/>
      <c r="AI80" s="4"/>
      <c r="AN80" s="108">
        <f t="shared" si="18"/>
        <v>47289</v>
      </c>
    </row>
    <row r="81" spans="1:40" ht="12.75">
      <c r="A81" s="33">
        <f t="shared" si="30"/>
        <v>51</v>
      </c>
      <c r="B81" s="30">
        <f t="shared" si="31"/>
        <v>9</v>
      </c>
      <c r="C81" s="30">
        <f t="shared" si="27"/>
        <v>20</v>
      </c>
      <c r="D81" s="30">
        <f t="shared" si="32"/>
        <v>2029</v>
      </c>
      <c r="E81" s="133">
        <f t="shared" si="33"/>
        <v>32500000</v>
      </c>
      <c r="F81" s="1"/>
      <c r="G81" s="133">
        <f t="shared" si="26"/>
        <v>346125</v>
      </c>
      <c r="H81" s="133">
        <f t="shared" si="5"/>
        <v>346125</v>
      </c>
      <c r="I81" s="30">
        <f t="shared" si="34"/>
        <v>4646</v>
      </c>
      <c r="J81" s="133">
        <f t="shared" si="23"/>
        <v>256682.16954595945</v>
      </c>
      <c r="K81" s="10">
        <f t="shared" si="6"/>
        <v>0</v>
      </c>
      <c r="L81" s="22">
        <f t="shared" si="7"/>
        <v>200317.6698249362</v>
      </c>
      <c r="M81" s="10">
        <f t="shared" si="8"/>
        <v>10341331.10277061</v>
      </c>
      <c r="O81" s="30" t="b">
        <f t="shared" si="9"/>
        <v>0</v>
      </c>
      <c r="P81" s="30" t="b">
        <f t="shared" si="10"/>
        <v>1</v>
      </c>
      <c r="Q81" s="30" t="b">
        <f t="shared" si="11"/>
        <v>0</v>
      </c>
      <c r="R81" s="30">
        <f t="shared" si="12"/>
        <v>0</v>
      </c>
      <c r="S81" s="32">
        <f t="shared" si="24"/>
        <v>47381</v>
      </c>
      <c r="Z81" s="10"/>
      <c r="AA81" s="45">
        <f t="shared" si="13"/>
        <v>47381</v>
      </c>
      <c r="AB81" s="3">
        <f t="shared" si="14"/>
        <v>4646</v>
      </c>
      <c r="AC81" s="3">
        <f t="shared" si="35"/>
        <v>12.905555555555555</v>
      </c>
      <c r="AD81" s="3">
        <f t="shared" si="25"/>
        <v>12.916666666666666</v>
      </c>
      <c r="AE81" s="48">
        <f t="shared" si="16"/>
        <v>0</v>
      </c>
      <c r="AF81" s="3">
        <f t="shared" si="36"/>
        <v>0</v>
      </c>
      <c r="AH81" s="4"/>
      <c r="AI81" s="4"/>
      <c r="AN81" s="108">
        <f t="shared" si="18"/>
        <v>47381</v>
      </c>
    </row>
    <row r="82" spans="1:40" ht="12.75">
      <c r="A82" s="33">
        <f t="shared" si="30"/>
        <v>52</v>
      </c>
      <c r="B82" s="30">
        <f t="shared" si="31"/>
        <v>12</v>
      </c>
      <c r="C82" s="30">
        <f t="shared" si="27"/>
        <v>20</v>
      </c>
      <c r="D82" s="30">
        <f t="shared" si="32"/>
        <v>2029</v>
      </c>
      <c r="E82" s="133">
        <f t="shared" si="33"/>
        <v>31000000</v>
      </c>
      <c r="F82" s="1">
        <v>1500000</v>
      </c>
      <c r="G82" s="133">
        <f t="shared" si="26"/>
        <v>346125</v>
      </c>
      <c r="H82" s="133">
        <f t="shared" si="5"/>
        <v>1846125</v>
      </c>
      <c r="I82" s="30">
        <f t="shared" si="34"/>
        <v>4736</v>
      </c>
      <c r="J82" s="133">
        <f t="shared" si="23"/>
        <v>1361158.4802096838</v>
      </c>
      <c r="K82" s="10">
        <f t="shared" si="6"/>
        <v>19733333.333333332</v>
      </c>
      <c r="L82" s="22">
        <f t="shared" si="7"/>
        <v>1057174.341956067</v>
      </c>
      <c r="M82" s="10">
        <f t="shared" si="8"/>
        <v>55633437.699430496</v>
      </c>
      <c r="O82" s="30" t="b">
        <f t="shared" si="9"/>
        <v>1</v>
      </c>
      <c r="P82" s="30" t="b">
        <f t="shared" si="10"/>
        <v>0</v>
      </c>
      <c r="Q82" s="30" t="b">
        <f t="shared" si="11"/>
        <v>0</v>
      </c>
      <c r="R82" s="30">
        <f t="shared" si="12"/>
        <v>0</v>
      </c>
      <c r="S82" s="32">
        <f t="shared" si="24"/>
        <v>47472</v>
      </c>
      <c r="Z82" s="10"/>
      <c r="AA82" s="45">
        <f t="shared" si="13"/>
        <v>47472</v>
      </c>
      <c r="AB82" s="3">
        <f t="shared" si="14"/>
        <v>4736</v>
      </c>
      <c r="AC82" s="3">
        <f t="shared" si="35"/>
        <v>13.155555555555555</v>
      </c>
      <c r="AD82" s="3">
        <f t="shared" si="25"/>
        <v>13.166666666666666</v>
      </c>
      <c r="AE82" s="48">
        <f t="shared" si="16"/>
        <v>1500000</v>
      </c>
      <c r="AF82" s="3">
        <f t="shared" si="36"/>
        <v>19750000</v>
      </c>
      <c r="AH82" s="4"/>
      <c r="AI82" s="4"/>
      <c r="AN82" s="108">
        <f t="shared" si="18"/>
        <v>47472</v>
      </c>
    </row>
    <row r="83" spans="1:40" ht="12.75">
      <c r="A83" s="33">
        <f t="shared" si="30"/>
        <v>53</v>
      </c>
      <c r="B83" s="30">
        <f t="shared" si="31"/>
        <v>3</v>
      </c>
      <c r="C83" s="30">
        <f t="shared" si="27"/>
        <v>20</v>
      </c>
      <c r="D83" s="30">
        <f t="shared" si="32"/>
        <v>2030</v>
      </c>
      <c r="E83" s="133">
        <f t="shared" si="33"/>
        <v>31000000</v>
      </c>
      <c r="F83" s="1"/>
      <c r="G83" s="133">
        <f t="shared" si="26"/>
        <v>330150</v>
      </c>
      <c r="H83" s="133">
        <f t="shared" si="5"/>
        <v>330150</v>
      </c>
      <c r="I83" s="30">
        <f t="shared" si="34"/>
        <v>4826</v>
      </c>
      <c r="J83" s="133">
        <f t="shared" si="23"/>
        <v>242015.81592675313</v>
      </c>
      <c r="K83" s="10">
        <f t="shared" si="6"/>
        <v>0</v>
      </c>
      <c r="L83" s="22">
        <f t="shared" si="7"/>
        <v>187066.50480691047</v>
      </c>
      <c r="M83" s="10">
        <f t="shared" si="8"/>
        <v>10031377.256399063</v>
      </c>
      <c r="O83" s="30" t="b">
        <f t="shared" si="9"/>
        <v>1</v>
      </c>
      <c r="P83" s="30" t="b">
        <f t="shared" si="10"/>
        <v>0</v>
      </c>
      <c r="Q83" s="30" t="b">
        <f t="shared" si="11"/>
        <v>0</v>
      </c>
      <c r="R83" s="30">
        <f t="shared" si="12"/>
        <v>0</v>
      </c>
      <c r="S83" s="32">
        <f t="shared" si="24"/>
        <v>47562</v>
      </c>
      <c r="Z83" s="10"/>
      <c r="AA83" s="45">
        <f t="shared" si="13"/>
        <v>47562</v>
      </c>
      <c r="AB83" s="3">
        <f t="shared" si="14"/>
        <v>4826</v>
      </c>
      <c r="AC83" s="3">
        <f t="shared" si="35"/>
        <v>13.405555555555555</v>
      </c>
      <c r="AD83" s="3">
        <f t="shared" si="25"/>
        <v>13.416666666666666</v>
      </c>
      <c r="AE83" s="48">
        <f t="shared" si="16"/>
        <v>0</v>
      </c>
      <c r="AF83" s="3">
        <f t="shared" si="36"/>
        <v>0</v>
      </c>
      <c r="AH83" s="4"/>
      <c r="AI83" s="4"/>
      <c r="AN83" s="108">
        <f t="shared" si="18"/>
        <v>47562</v>
      </c>
    </row>
    <row r="84" spans="1:40" ht="12.75">
      <c r="A84" s="33">
        <f t="shared" si="30"/>
        <v>54</v>
      </c>
      <c r="B84" s="30">
        <f t="shared" si="31"/>
        <v>6</v>
      </c>
      <c r="C84" s="30">
        <f t="shared" si="27"/>
        <v>20</v>
      </c>
      <c r="D84" s="30">
        <f t="shared" si="32"/>
        <v>2030</v>
      </c>
      <c r="E84" s="133">
        <f t="shared" si="33"/>
        <v>31000000</v>
      </c>
      <c r="F84" s="1"/>
      <c r="G84" s="133">
        <f t="shared" si="26"/>
        <v>330150</v>
      </c>
      <c r="H84" s="133">
        <f t="shared" si="5"/>
        <v>330150</v>
      </c>
      <c r="I84" s="30">
        <f t="shared" si="34"/>
        <v>4916</v>
      </c>
      <c r="J84" s="133">
        <f t="shared" si="23"/>
        <v>240618.27304360137</v>
      </c>
      <c r="K84" s="10">
        <f t="shared" si="6"/>
        <v>0</v>
      </c>
      <c r="L84" s="22">
        <f t="shared" si="7"/>
        <v>185095.240495632</v>
      </c>
      <c r="M84" s="10">
        <f t="shared" si="8"/>
        <v>10110764.123292906</v>
      </c>
      <c r="O84" s="30" t="b">
        <f t="shared" si="9"/>
        <v>0</v>
      </c>
      <c r="P84" s="30" t="b">
        <f t="shared" si="10"/>
        <v>1</v>
      </c>
      <c r="Q84" s="30" t="b">
        <f t="shared" si="11"/>
        <v>0</v>
      </c>
      <c r="R84" s="30">
        <f t="shared" si="12"/>
        <v>0</v>
      </c>
      <c r="S84" s="32">
        <f t="shared" si="24"/>
        <v>47654</v>
      </c>
      <c r="Z84" s="10"/>
      <c r="AA84" s="45">
        <f t="shared" si="13"/>
        <v>47654</v>
      </c>
      <c r="AB84" s="3">
        <f t="shared" si="14"/>
        <v>4916</v>
      </c>
      <c r="AC84" s="3">
        <f t="shared" si="35"/>
        <v>13.655555555555555</v>
      </c>
      <c r="AD84" s="3">
        <f t="shared" si="25"/>
        <v>13.666666666666666</v>
      </c>
      <c r="AE84" s="48">
        <f t="shared" si="16"/>
        <v>0</v>
      </c>
      <c r="AF84" s="3">
        <f t="shared" si="36"/>
        <v>0</v>
      </c>
      <c r="AH84" s="4"/>
      <c r="AI84" s="4"/>
      <c r="AN84" s="108">
        <f t="shared" si="18"/>
        <v>47654</v>
      </c>
    </row>
    <row r="85" spans="1:40" ht="12.75">
      <c r="A85" s="33">
        <f t="shared" si="30"/>
        <v>55</v>
      </c>
      <c r="B85" s="30">
        <f t="shared" si="31"/>
        <v>9</v>
      </c>
      <c r="C85" s="30">
        <f t="shared" si="27"/>
        <v>20</v>
      </c>
      <c r="D85" s="30">
        <f t="shared" si="32"/>
        <v>2030</v>
      </c>
      <c r="E85" s="133">
        <f t="shared" si="33"/>
        <v>31000000</v>
      </c>
      <c r="F85" s="1"/>
      <c r="G85" s="133">
        <f t="shared" si="26"/>
        <v>330150</v>
      </c>
      <c r="H85" s="133">
        <f t="shared" si="5"/>
        <v>330150</v>
      </c>
      <c r="I85" s="30">
        <f t="shared" si="34"/>
        <v>5006</v>
      </c>
      <c r="J85" s="133">
        <f t="shared" si="23"/>
        <v>239228.80040206903</v>
      </c>
      <c r="K85" s="10">
        <f t="shared" si="6"/>
        <v>0</v>
      </c>
      <c r="L85" s="22">
        <f t="shared" si="7"/>
        <v>183144.74891963784</v>
      </c>
      <c r="M85" s="10">
        <f t="shared" si="8"/>
        <v>10187363.93785043</v>
      </c>
      <c r="O85" s="30" t="b">
        <f t="shared" si="9"/>
        <v>0</v>
      </c>
      <c r="P85" s="30" t="b">
        <f t="shared" si="10"/>
        <v>1</v>
      </c>
      <c r="Q85" s="30" t="b">
        <f t="shared" si="11"/>
        <v>0</v>
      </c>
      <c r="R85" s="30">
        <f t="shared" si="12"/>
        <v>0</v>
      </c>
      <c r="S85" s="32">
        <f t="shared" si="24"/>
        <v>47746</v>
      </c>
      <c r="Z85" s="10"/>
      <c r="AA85" s="45">
        <f t="shared" si="13"/>
        <v>47746</v>
      </c>
      <c r="AB85" s="3">
        <f t="shared" si="14"/>
        <v>5006</v>
      </c>
      <c r="AC85" s="3">
        <f t="shared" si="35"/>
        <v>13.905555555555555</v>
      </c>
      <c r="AD85" s="3">
        <f t="shared" si="25"/>
        <v>13.916666666666666</v>
      </c>
      <c r="AE85" s="48">
        <f t="shared" si="16"/>
        <v>0</v>
      </c>
      <c r="AF85" s="3">
        <f t="shared" si="36"/>
        <v>0</v>
      </c>
      <c r="AH85" s="4"/>
      <c r="AI85" s="4"/>
      <c r="AN85" s="108">
        <f t="shared" si="18"/>
        <v>47746</v>
      </c>
    </row>
    <row r="86" spans="1:40" ht="12.75">
      <c r="A86" s="33">
        <f t="shared" si="30"/>
        <v>56</v>
      </c>
      <c r="B86" s="30">
        <f t="shared" si="31"/>
        <v>12</v>
      </c>
      <c r="C86" s="30">
        <f t="shared" si="27"/>
        <v>20</v>
      </c>
      <c r="D86" s="30">
        <f t="shared" si="32"/>
        <v>2030</v>
      </c>
      <c r="E86" s="133">
        <f t="shared" si="33"/>
        <v>29500000</v>
      </c>
      <c r="F86" s="1">
        <v>1500000</v>
      </c>
      <c r="G86" s="133">
        <f t="shared" si="26"/>
        <v>330150</v>
      </c>
      <c r="H86" s="133">
        <f t="shared" si="5"/>
        <v>1830150</v>
      </c>
      <c r="I86" s="30">
        <f t="shared" si="34"/>
        <v>5096</v>
      </c>
      <c r="J86" s="133">
        <f t="shared" si="23"/>
        <v>1318480.4790680981</v>
      </c>
      <c r="K86" s="10">
        <f t="shared" si="6"/>
        <v>21233333.333333332</v>
      </c>
      <c r="L86" s="22">
        <f t="shared" si="7"/>
        <v>1004544.2577074381</v>
      </c>
      <c r="M86" s="10">
        <f t="shared" si="8"/>
        <v>56881974.570677616</v>
      </c>
      <c r="O86" s="30" t="b">
        <f t="shared" si="9"/>
        <v>1</v>
      </c>
      <c r="P86" s="30" t="b">
        <f t="shared" si="10"/>
        <v>0</v>
      </c>
      <c r="Q86" s="30" t="b">
        <f t="shared" si="11"/>
        <v>0</v>
      </c>
      <c r="R86" s="30">
        <f t="shared" si="12"/>
        <v>0</v>
      </c>
      <c r="S86" s="32">
        <f t="shared" si="24"/>
        <v>47837</v>
      </c>
      <c r="Z86" s="10"/>
      <c r="AA86" s="45">
        <f t="shared" si="13"/>
        <v>47837</v>
      </c>
      <c r="AB86" s="3">
        <f t="shared" si="14"/>
        <v>5096</v>
      </c>
      <c r="AC86" s="3">
        <f t="shared" si="35"/>
        <v>14.155555555555555</v>
      </c>
      <c r="AD86" s="3">
        <f t="shared" si="25"/>
        <v>14.166666666666666</v>
      </c>
      <c r="AE86" s="48">
        <f t="shared" si="16"/>
        <v>1500000</v>
      </c>
      <c r="AF86" s="3">
        <f t="shared" si="36"/>
        <v>21250000</v>
      </c>
      <c r="AH86" s="4"/>
      <c r="AI86" s="4"/>
      <c r="AN86" s="108">
        <f t="shared" si="18"/>
        <v>47837</v>
      </c>
    </row>
    <row r="87" spans="1:40" ht="12.75">
      <c r="A87" s="33">
        <f aca="true" t="shared" si="37" ref="A87:A102">A86+1</f>
        <v>57</v>
      </c>
      <c r="B87" s="30">
        <f aca="true" t="shared" si="38" ref="B87:B102">IF(F$14=12,MOD(B86,12)+1,IF(F$14=4,IF(AND(MOD(B86,12)+3&gt;12,B86=11),2,IF(MOD(B86,12)+3&gt;12,1,MOD(B86,12)+3)),IF(F$14=2,IF((B86+6)&gt;12,(B86+6)-12,MOD(B86,12)+6),+B86)))</f>
        <v>3</v>
      </c>
      <c r="C87" s="30">
        <f t="shared" si="27"/>
        <v>20</v>
      </c>
      <c r="D87" s="30">
        <f aca="true" t="shared" si="39" ref="D87:D102">IF(F$14=1,D86+1,IF(AND(F$14=2,B87&lt;B86),D86+1,IF(AND(F$14=4,B87&lt;B86),D86+1,IF(OR(B87=1,B86=12),D86+1,D86))))</f>
        <v>2031</v>
      </c>
      <c r="E87" s="133">
        <f aca="true" t="shared" si="40" ref="E87:E102">ROUND(IF((+E86-F87)&lt;=-1,#VALUE!,E86-F87),2)</f>
        <v>29500000</v>
      </c>
      <c r="F87" s="1"/>
      <c r="G87" s="133">
        <f t="shared" si="26"/>
        <v>314175</v>
      </c>
      <c r="H87" s="133">
        <f t="shared" si="5"/>
        <v>314175</v>
      </c>
      <c r="I87" s="30">
        <f aca="true" t="shared" si="41" ref="I87:I102">I86+(360/$F$14)</f>
        <v>5186</v>
      </c>
      <c r="J87" s="133">
        <f t="shared" si="23"/>
        <v>225031.5952017396</v>
      </c>
      <c r="K87" s="10">
        <f t="shared" si="6"/>
        <v>0</v>
      </c>
      <c r="L87" s="22">
        <f t="shared" si="7"/>
        <v>170629.15210513392</v>
      </c>
      <c r="M87" s="10">
        <f t="shared" si="8"/>
        <v>9832446.45541721</v>
      </c>
      <c r="O87" s="30" t="b">
        <f t="shared" si="9"/>
        <v>1</v>
      </c>
      <c r="P87" s="30" t="b">
        <f t="shared" si="10"/>
        <v>0</v>
      </c>
      <c r="Q87" s="30" t="b">
        <f t="shared" si="11"/>
        <v>0</v>
      </c>
      <c r="R87" s="30">
        <f t="shared" si="12"/>
        <v>0</v>
      </c>
      <c r="S87" s="32">
        <f t="shared" si="24"/>
        <v>47927</v>
      </c>
      <c r="Z87" s="10"/>
      <c r="AA87" s="45">
        <f t="shared" si="13"/>
        <v>47927</v>
      </c>
      <c r="AB87" s="3">
        <f t="shared" si="14"/>
        <v>5186</v>
      </c>
      <c r="AC87" s="3">
        <f t="shared" si="35"/>
        <v>14.405555555555555</v>
      </c>
      <c r="AD87" s="3">
        <f t="shared" si="25"/>
        <v>14.416666666666666</v>
      </c>
      <c r="AE87" s="48">
        <f t="shared" si="16"/>
        <v>0</v>
      </c>
      <c r="AF87" s="3">
        <f t="shared" si="36"/>
        <v>0</v>
      </c>
      <c r="AH87" s="4"/>
      <c r="AI87" s="4"/>
      <c r="AN87" s="108">
        <f t="shared" si="18"/>
        <v>47927</v>
      </c>
    </row>
    <row r="88" spans="1:40" ht="12.75">
      <c r="A88" s="33">
        <f t="shared" si="37"/>
        <v>58</v>
      </c>
      <c r="B88" s="30">
        <f t="shared" si="38"/>
        <v>6</v>
      </c>
      <c r="C88" s="30">
        <f t="shared" si="27"/>
        <v>20</v>
      </c>
      <c r="D88" s="30">
        <f t="shared" si="39"/>
        <v>2031</v>
      </c>
      <c r="E88" s="133">
        <f t="shared" si="40"/>
        <v>29500000</v>
      </c>
      <c r="F88" s="1"/>
      <c r="G88" s="133">
        <f t="shared" si="26"/>
        <v>314175</v>
      </c>
      <c r="H88" s="133">
        <f t="shared" si="5"/>
        <v>314175</v>
      </c>
      <c r="I88" s="30">
        <f t="shared" si="41"/>
        <v>5276</v>
      </c>
      <c r="J88" s="133">
        <f t="shared" si="23"/>
        <v>223732.1292839681</v>
      </c>
      <c r="K88" s="10">
        <f t="shared" si="6"/>
        <v>0</v>
      </c>
      <c r="L88" s="22">
        <f t="shared" si="7"/>
        <v>168831.1008807539</v>
      </c>
      <c r="M88" s="10">
        <f t="shared" si="8"/>
        <v>9897665.470264032</v>
      </c>
      <c r="O88" s="30" t="b">
        <f t="shared" si="9"/>
        <v>0</v>
      </c>
      <c r="P88" s="30" t="b">
        <f t="shared" si="10"/>
        <v>1</v>
      </c>
      <c r="Q88" s="30" t="b">
        <f t="shared" si="11"/>
        <v>0</v>
      </c>
      <c r="R88" s="30">
        <f t="shared" si="12"/>
        <v>0</v>
      </c>
      <c r="S88" s="32">
        <f t="shared" si="24"/>
        <v>48019</v>
      </c>
      <c r="Z88" s="10"/>
      <c r="AA88" s="45">
        <f t="shared" si="13"/>
        <v>48019</v>
      </c>
      <c r="AB88" s="3">
        <f t="shared" si="14"/>
        <v>5276</v>
      </c>
      <c r="AC88" s="3">
        <f t="shared" si="35"/>
        <v>14.655555555555555</v>
      </c>
      <c r="AD88" s="3">
        <f t="shared" si="25"/>
        <v>14.666666666666666</v>
      </c>
      <c r="AE88" s="48">
        <f t="shared" si="16"/>
        <v>0</v>
      </c>
      <c r="AF88" s="3">
        <f t="shared" si="36"/>
        <v>0</v>
      </c>
      <c r="AH88" s="4"/>
      <c r="AI88" s="4"/>
      <c r="AN88" s="108">
        <f t="shared" si="18"/>
        <v>48019</v>
      </c>
    </row>
    <row r="89" spans="1:40" ht="12.75">
      <c r="A89" s="33">
        <f t="shared" si="37"/>
        <v>59</v>
      </c>
      <c r="B89" s="30">
        <f t="shared" si="38"/>
        <v>9</v>
      </c>
      <c r="C89" s="30">
        <f t="shared" si="27"/>
        <v>20</v>
      </c>
      <c r="D89" s="30">
        <f t="shared" si="39"/>
        <v>2031</v>
      </c>
      <c r="E89" s="133">
        <f t="shared" si="40"/>
        <v>29500000</v>
      </c>
      <c r="F89" s="1"/>
      <c r="G89" s="133">
        <f t="shared" si="26"/>
        <v>314175</v>
      </c>
      <c r="H89" s="133">
        <f t="shared" si="5"/>
        <v>314175</v>
      </c>
      <c r="I89" s="30">
        <f t="shared" si="41"/>
        <v>5366</v>
      </c>
      <c r="J89" s="133">
        <f t="shared" si="23"/>
        <v>222440.16725323937</v>
      </c>
      <c r="K89" s="10">
        <f t="shared" si="6"/>
        <v>0</v>
      </c>
      <c r="L89" s="22">
        <f t="shared" si="7"/>
        <v>167051.99711151625</v>
      </c>
      <c r="M89" s="10">
        <f t="shared" si="8"/>
        <v>9960418.118186103</v>
      </c>
      <c r="O89" s="30" t="b">
        <f t="shared" si="9"/>
        <v>0</v>
      </c>
      <c r="P89" s="30" t="b">
        <f t="shared" si="10"/>
        <v>1</v>
      </c>
      <c r="Q89" s="30" t="b">
        <f t="shared" si="11"/>
        <v>0</v>
      </c>
      <c r="R89" s="30">
        <f t="shared" si="12"/>
        <v>0</v>
      </c>
      <c r="S89" s="32">
        <f t="shared" si="24"/>
        <v>48111</v>
      </c>
      <c r="Z89" s="10"/>
      <c r="AA89" s="45">
        <f t="shared" si="13"/>
        <v>48111</v>
      </c>
      <c r="AB89" s="3">
        <f t="shared" si="14"/>
        <v>5366</v>
      </c>
      <c r="AC89" s="3">
        <f t="shared" si="35"/>
        <v>14.905555555555555</v>
      </c>
      <c r="AD89" s="3">
        <f t="shared" si="25"/>
        <v>14.916666666666666</v>
      </c>
      <c r="AE89" s="48">
        <f t="shared" si="16"/>
        <v>0</v>
      </c>
      <c r="AF89" s="3">
        <f t="shared" si="36"/>
        <v>0</v>
      </c>
      <c r="AH89" s="4"/>
      <c r="AI89" s="4"/>
      <c r="AN89" s="108">
        <f t="shared" si="18"/>
        <v>48111</v>
      </c>
    </row>
    <row r="90" spans="1:40" ht="12.75">
      <c r="A90" s="33">
        <f t="shared" si="37"/>
        <v>60</v>
      </c>
      <c r="B90" s="30">
        <f t="shared" si="38"/>
        <v>12</v>
      </c>
      <c r="C90" s="30">
        <f t="shared" si="27"/>
        <v>20</v>
      </c>
      <c r="D90" s="30">
        <f t="shared" si="39"/>
        <v>2031</v>
      </c>
      <c r="E90" s="133">
        <f t="shared" si="40"/>
        <v>0</v>
      </c>
      <c r="F90" s="1">
        <f>1500000+28000000</f>
        <v>29500000</v>
      </c>
      <c r="G90" s="133">
        <f t="shared" si="26"/>
        <v>314175</v>
      </c>
      <c r="H90" s="133">
        <f t="shared" si="5"/>
        <v>29814175</v>
      </c>
      <c r="I90" s="30">
        <f t="shared" si="41"/>
        <v>5456</v>
      </c>
      <c r="J90" s="133">
        <f t="shared" si="23"/>
        <v>20986945.879642297</v>
      </c>
      <c r="K90" s="10">
        <f t="shared" si="6"/>
        <v>447088888.8888889</v>
      </c>
      <c r="L90" s="22">
        <f t="shared" si="7"/>
        <v>15685633.531597767</v>
      </c>
      <c r="M90" s="10">
        <f t="shared" si="8"/>
        <v>950936161.0608093</v>
      </c>
      <c r="O90" s="30" t="b">
        <f t="shared" si="9"/>
        <v>1</v>
      </c>
      <c r="P90" s="30" t="b">
        <f t="shared" si="10"/>
        <v>0</v>
      </c>
      <c r="Q90" s="30" t="b">
        <f t="shared" si="11"/>
        <v>0</v>
      </c>
      <c r="R90" s="30">
        <f t="shared" si="12"/>
        <v>0</v>
      </c>
      <c r="S90" s="32">
        <f t="shared" si="24"/>
        <v>48202</v>
      </c>
      <c r="Z90" s="10"/>
      <c r="AA90" s="45">
        <f t="shared" si="13"/>
        <v>48202</v>
      </c>
      <c r="AB90" s="3">
        <f t="shared" si="14"/>
        <v>5456</v>
      </c>
      <c r="AC90" s="3">
        <f t="shared" si="35"/>
        <v>15.155555555555555</v>
      </c>
      <c r="AD90" s="3">
        <f t="shared" si="25"/>
        <v>15.166666666666666</v>
      </c>
      <c r="AE90" s="48">
        <f t="shared" si="16"/>
        <v>29500000</v>
      </c>
      <c r="AF90" s="3">
        <f t="shared" si="36"/>
        <v>447416666.6666666</v>
      </c>
      <c r="AH90" s="4"/>
      <c r="AI90" s="4"/>
      <c r="AN90" s="108">
        <f t="shared" si="18"/>
        <v>48202</v>
      </c>
    </row>
    <row r="91" spans="1:40" ht="12.75">
      <c r="A91" s="33">
        <f t="shared" si="37"/>
        <v>61</v>
      </c>
      <c r="B91" s="30">
        <f t="shared" si="38"/>
        <v>3</v>
      </c>
      <c r="C91" s="30">
        <f t="shared" si="27"/>
        <v>20</v>
      </c>
      <c r="D91" s="30">
        <f t="shared" si="39"/>
        <v>2032</v>
      </c>
      <c r="E91" s="133">
        <f t="shared" si="40"/>
        <v>0</v>
      </c>
      <c r="F91" s="1"/>
      <c r="G91" s="133">
        <f t="shared" si="26"/>
        <v>0</v>
      </c>
      <c r="H91" s="133">
        <f t="shared" si="5"/>
        <v>0</v>
      </c>
      <c r="I91" s="30">
        <f t="shared" si="41"/>
        <v>5546</v>
      </c>
      <c r="J91" s="133">
        <f t="shared" si="23"/>
        <v>0</v>
      </c>
      <c r="K91" s="10">
        <f t="shared" si="6"/>
        <v>0</v>
      </c>
      <c r="L91" s="22">
        <f t="shared" si="7"/>
        <v>0</v>
      </c>
      <c r="M91" s="10">
        <f t="shared" si="8"/>
        <v>0</v>
      </c>
      <c r="O91" s="30" t="b">
        <f t="shared" si="9"/>
        <v>1</v>
      </c>
      <c r="P91" s="30" t="b">
        <f t="shared" si="10"/>
        <v>0</v>
      </c>
      <c r="Q91" s="30" t="b">
        <f t="shared" si="11"/>
        <v>0</v>
      </c>
      <c r="R91" s="30">
        <f t="shared" si="12"/>
        <v>0</v>
      </c>
      <c r="S91" s="32">
        <f t="shared" si="24"/>
        <v>48293</v>
      </c>
      <c r="Z91" s="10"/>
      <c r="AA91" s="45">
        <f t="shared" si="13"/>
        <v>48293</v>
      </c>
      <c r="AB91" s="3">
        <f t="shared" si="14"/>
        <v>5546</v>
      </c>
      <c r="AC91" s="3">
        <f t="shared" si="35"/>
        <v>15.405555555555555</v>
      </c>
      <c r="AD91" s="3">
        <f t="shared" si="25"/>
        <v>15.416666666666666</v>
      </c>
      <c r="AE91" s="48">
        <f t="shared" si="16"/>
        <v>0</v>
      </c>
      <c r="AF91" s="3">
        <f t="shared" si="36"/>
        <v>0</v>
      </c>
      <c r="AH91" s="4"/>
      <c r="AI91" s="4"/>
      <c r="AN91" s="108">
        <f t="shared" si="18"/>
        <v>0</v>
      </c>
    </row>
    <row r="92" spans="1:40" ht="12.75">
      <c r="A92" s="33">
        <f t="shared" si="37"/>
        <v>62</v>
      </c>
      <c r="B92" s="30">
        <f t="shared" si="38"/>
        <v>6</v>
      </c>
      <c r="C92" s="30">
        <f t="shared" si="27"/>
        <v>20</v>
      </c>
      <c r="D92" s="30">
        <f t="shared" si="39"/>
        <v>2032</v>
      </c>
      <c r="E92" s="133">
        <f t="shared" si="40"/>
        <v>0</v>
      </c>
      <c r="F92" s="1"/>
      <c r="G92" s="133">
        <f t="shared" si="26"/>
        <v>0</v>
      </c>
      <c r="H92" s="133">
        <f t="shared" si="5"/>
        <v>0</v>
      </c>
      <c r="I92" s="30">
        <f t="shared" si="41"/>
        <v>5636</v>
      </c>
      <c r="J92" s="133">
        <f t="shared" si="23"/>
        <v>0</v>
      </c>
      <c r="K92" s="10">
        <f t="shared" si="6"/>
        <v>0</v>
      </c>
      <c r="L92" s="22">
        <f t="shared" si="7"/>
        <v>0</v>
      </c>
      <c r="M92" s="10">
        <f t="shared" si="8"/>
        <v>0</v>
      </c>
      <c r="O92" s="30" t="b">
        <f t="shared" si="9"/>
        <v>0</v>
      </c>
      <c r="P92" s="30" t="b">
        <f t="shared" si="10"/>
        <v>1</v>
      </c>
      <c r="Q92" s="30" t="b">
        <f t="shared" si="11"/>
        <v>0</v>
      </c>
      <c r="R92" s="30">
        <f t="shared" si="12"/>
        <v>0</v>
      </c>
      <c r="S92" s="32">
        <f t="shared" si="24"/>
        <v>48385</v>
      </c>
      <c r="Z92" s="10"/>
      <c r="AA92" s="45">
        <f t="shared" si="13"/>
        <v>48385</v>
      </c>
      <c r="AB92" s="3">
        <f t="shared" si="14"/>
        <v>5636</v>
      </c>
      <c r="AC92" s="3">
        <f t="shared" si="35"/>
        <v>15.655555555555555</v>
      </c>
      <c r="AD92" s="3">
        <f t="shared" si="25"/>
        <v>15.666666666666666</v>
      </c>
      <c r="AE92" s="48">
        <f t="shared" si="16"/>
        <v>0</v>
      </c>
      <c r="AF92" s="3">
        <f t="shared" si="36"/>
        <v>0</v>
      </c>
      <c r="AH92" s="4"/>
      <c r="AI92" s="4"/>
      <c r="AN92" s="108">
        <f t="shared" si="18"/>
        <v>0</v>
      </c>
    </row>
    <row r="93" spans="1:40" ht="12.75">
      <c r="A93" s="33">
        <f t="shared" si="37"/>
        <v>63</v>
      </c>
      <c r="B93" s="30">
        <f t="shared" si="38"/>
        <v>9</v>
      </c>
      <c r="C93" s="30">
        <f t="shared" si="27"/>
        <v>20</v>
      </c>
      <c r="D93" s="30">
        <f t="shared" si="39"/>
        <v>2032</v>
      </c>
      <c r="E93" s="133">
        <f t="shared" si="40"/>
        <v>0</v>
      </c>
      <c r="F93" s="1"/>
      <c r="G93" s="133">
        <f t="shared" si="26"/>
        <v>0</v>
      </c>
      <c r="H93" s="133">
        <f t="shared" si="5"/>
        <v>0</v>
      </c>
      <c r="I93" s="30">
        <f t="shared" si="41"/>
        <v>5726</v>
      </c>
      <c r="J93" s="133">
        <f t="shared" si="23"/>
        <v>0</v>
      </c>
      <c r="K93" s="10">
        <f t="shared" si="6"/>
        <v>0</v>
      </c>
      <c r="L93" s="22">
        <f t="shared" si="7"/>
        <v>0</v>
      </c>
      <c r="M93" s="10">
        <f t="shared" si="8"/>
        <v>0</v>
      </c>
      <c r="O93" s="30" t="b">
        <f t="shared" si="9"/>
        <v>0</v>
      </c>
      <c r="P93" s="30" t="b">
        <f t="shared" si="10"/>
        <v>1</v>
      </c>
      <c r="Q93" s="30" t="b">
        <f t="shared" si="11"/>
        <v>0</v>
      </c>
      <c r="R93" s="30">
        <f t="shared" si="12"/>
        <v>0</v>
      </c>
      <c r="S93" s="32">
        <f t="shared" si="24"/>
        <v>48477</v>
      </c>
      <c r="Z93" s="10"/>
      <c r="AA93" s="45">
        <f t="shared" si="13"/>
        <v>48477</v>
      </c>
      <c r="AB93" s="3">
        <f t="shared" si="14"/>
        <v>5726</v>
      </c>
      <c r="AC93" s="3">
        <f t="shared" si="35"/>
        <v>15.905555555555555</v>
      </c>
      <c r="AD93" s="3">
        <f t="shared" si="25"/>
        <v>15.916666666666666</v>
      </c>
      <c r="AE93" s="48">
        <f t="shared" si="16"/>
        <v>0</v>
      </c>
      <c r="AF93" s="3">
        <f t="shared" si="36"/>
        <v>0</v>
      </c>
      <c r="AH93" s="4"/>
      <c r="AI93" s="4"/>
      <c r="AN93" s="108">
        <f t="shared" si="18"/>
        <v>0</v>
      </c>
    </row>
    <row r="94" spans="1:40" ht="12.75">
      <c r="A94" s="33">
        <f t="shared" si="37"/>
        <v>64</v>
      </c>
      <c r="B94" s="30">
        <f t="shared" si="38"/>
        <v>12</v>
      </c>
      <c r="C94" s="30">
        <f t="shared" si="27"/>
        <v>20</v>
      </c>
      <c r="D94" s="30">
        <f t="shared" si="39"/>
        <v>2032</v>
      </c>
      <c r="E94" s="133">
        <f t="shared" si="40"/>
        <v>0</v>
      </c>
      <c r="F94" s="1"/>
      <c r="G94" s="133">
        <f t="shared" si="26"/>
        <v>0</v>
      </c>
      <c r="H94" s="133">
        <f aca="true" t="shared" si="42" ref="H94:H157">G94+F94</f>
        <v>0</v>
      </c>
      <c r="I94" s="30">
        <f t="shared" si="41"/>
        <v>5816</v>
      </c>
      <c r="J94" s="133">
        <f t="shared" si="23"/>
        <v>0</v>
      </c>
      <c r="K94" s="10">
        <f aca="true" t="shared" si="43" ref="K94:K157">F94*((A94/$F$14)+$E$9/IF($M$3,365,360))</f>
        <v>0</v>
      </c>
      <c r="L94" s="22">
        <f aca="true" t="shared" si="44" ref="L94:L157">(H94/((1+$F$15/$F$14)^(A94+($E$7-$E$8)/365*$F$14)))</f>
        <v>0</v>
      </c>
      <c r="M94" s="10">
        <f aca="true" t="shared" si="45" ref="M94:M157">L94*(A94+($E$7-$E$8)/365*$F$14)</f>
        <v>0</v>
      </c>
      <c r="O94" s="30" t="b">
        <f aca="true" t="shared" si="46" ref="O94:O157">(OR(OR(OR(OR(OR(OR(B94=1,B94=3),B94=5),B94=7),B94=8),B94=10),B94=12))</f>
        <v>1</v>
      </c>
      <c r="P94" s="30" t="b">
        <f aca="true" t="shared" si="47" ref="P94:P157">(OR(OR(OR(B94=4,B94=6),B94=9),B94=11))</f>
        <v>0</v>
      </c>
      <c r="Q94" s="30" t="b">
        <f aca="true" t="shared" si="48" ref="Q94:Q157">OR((AND(B94=2,C94=28)),(AND(B94=2,C94=29)))</f>
        <v>0</v>
      </c>
      <c r="R94" s="30">
        <f aca="true" t="shared" si="49" ref="R94:R157">IF(AND(D94/4=(ROUND(D94/4,0)),B94=2),1,0)</f>
        <v>0</v>
      </c>
      <c r="S94" s="32">
        <f t="shared" si="24"/>
        <v>48568</v>
      </c>
      <c r="Z94" s="10"/>
      <c r="AA94" s="45">
        <f aca="true" t="shared" si="50" ref="AA94:AA157">S94</f>
        <v>48568</v>
      </c>
      <c r="AB94" s="3">
        <f aca="true" t="shared" si="51" ref="AB94:AB157">DAYS360($Z$29,AA94)</f>
        <v>5816</v>
      </c>
      <c r="AC94" s="3">
        <f aca="true" t="shared" si="52" ref="AC94:AC109">AB94/360</f>
        <v>16.155555555555555</v>
      </c>
      <c r="AD94" s="3">
        <f t="shared" si="25"/>
        <v>16.166666666666664</v>
      </c>
      <c r="AE94" s="48">
        <f aca="true" t="shared" si="53" ref="AE94:AE157">F94</f>
        <v>0</v>
      </c>
      <c r="AF94" s="3">
        <f aca="true" t="shared" si="54" ref="AF94:AF109">AE94*AD94</f>
        <v>0</v>
      </c>
      <c r="AH94" s="4"/>
      <c r="AI94" s="4"/>
      <c r="AN94" s="108">
        <f aca="true" t="shared" si="55" ref="AN94:AN157">IF($H94=0,0,DATE($D94,$B94,$C94))</f>
        <v>0</v>
      </c>
    </row>
    <row r="95" spans="1:40" ht="12.75">
      <c r="A95" s="33">
        <f t="shared" si="37"/>
        <v>65</v>
      </c>
      <c r="B95" s="30">
        <f t="shared" si="38"/>
        <v>3</v>
      </c>
      <c r="C95" s="30">
        <f t="shared" si="27"/>
        <v>20</v>
      </c>
      <c r="D95" s="30">
        <f t="shared" si="39"/>
        <v>2033</v>
      </c>
      <c r="E95" s="133">
        <f t="shared" si="40"/>
        <v>0</v>
      </c>
      <c r="F95" s="1"/>
      <c r="G95" s="133">
        <f t="shared" si="26"/>
        <v>0</v>
      </c>
      <c r="H95" s="133">
        <f t="shared" si="42"/>
        <v>0</v>
      </c>
      <c r="I95" s="30">
        <f t="shared" si="41"/>
        <v>5906</v>
      </c>
      <c r="J95" s="133">
        <f aca="true" t="shared" si="56" ref="J95:J158">($H95/((1+$F$19/$F$14)^(I95/360*$F$14)))</f>
        <v>0</v>
      </c>
      <c r="K95" s="10">
        <f t="shared" si="43"/>
        <v>0</v>
      </c>
      <c r="L95" s="22">
        <f t="shared" si="44"/>
        <v>0</v>
      </c>
      <c r="M95" s="10">
        <f t="shared" si="45"/>
        <v>0</v>
      </c>
      <c r="O95" s="30" t="b">
        <f t="shared" si="46"/>
        <v>1</v>
      </c>
      <c r="P95" s="30" t="b">
        <f t="shared" si="47"/>
        <v>0</v>
      </c>
      <c r="Q95" s="30" t="b">
        <f t="shared" si="48"/>
        <v>0</v>
      </c>
      <c r="R95" s="30">
        <f t="shared" si="49"/>
        <v>0</v>
      </c>
      <c r="S95" s="32">
        <f aca="true" t="shared" si="57" ref="S95:S158">IF(D95&gt;2078,0,DATE(+D95-1900,+B95,+C95))</f>
        <v>48658</v>
      </c>
      <c r="Z95" s="10"/>
      <c r="AA95" s="45">
        <f t="shared" si="50"/>
        <v>48658</v>
      </c>
      <c r="AB95" s="3">
        <f t="shared" si="51"/>
        <v>5906</v>
      </c>
      <c r="AC95" s="3">
        <f t="shared" si="52"/>
        <v>16.405555555555555</v>
      </c>
      <c r="AD95" s="3">
        <f aca="true" t="shared" si="58" ref="AD95:AD158">AD94+(1/$AD$16)</f>
        <v>16.416666666666664</v>
      </c>
      <c r="AE95" s="48">
        <f t="shared" si="53"/>
        <v>0</v>
      </c>
      <c r="AF95" s="3">
        <f t="shared" si="54"/>
        <v>0</v>
      </c>
      <c r="AH95" s="4"/>
      <c r="AI95" s="4"/>
      <c r="AN95" s="108">
        <f t="shared" si="55"/>
        <v>0</v>
      </c>
    </row>
    <row r="96" spans="1:40" ht="12.75">
      <c r="A96" s="33">
        <f t="shared" si="37"/>
        <v>66</v>
      </c>
      <c r="B96" s="30">
        <f t="shared" si="38"/>
        <v>6</v>
      </c>
      <c r="C96" s="30">
        <f t="shared" si="27"/>
        <v>20</v>
      </c>
      <c r="D96" s="30">
        <f t="shared" si="39"/>
        <v>2033</v>
      </c>
      <c r="E96" s="133">
        <f t="shared" si="40"/>
        <v>0</v>
      </c>
      <c r="F96" s="1"/>
      <c r="G96" s="133">
        <f aca="true" t="shared" si="59" ref="G96:G159">ROUND(IF(D96&gt;2078,0,IF($M$3,E95*(S96-S95)*$F$15/360,IF(AND(Q96&gt;0,OR(F$12="N",F$12="No")),(E95*F$15/F$14),ROUND(E95*$F$15*DAYS360(S95,S96)/360,2)))),2)</f>
        <v>0</v>
      </c>
      <c r="H96" s="133">
        <f t="shared" si="42"/>
        <v>0</v>
      </c>
      <c r="I96" s="30">
        <f t="shared" si="41"/>
        <v>5996</v>
      </c>
      <c r="J96" s="133">
        <f t="shared" si="56"/>
        <v>0</v>
      </c>
      <c r="K96" s="10">
        <f t="shared" si="43"/>
        <v>0</v>
      </c>
      <c r="L96" s="22">
        <f t="shared" si="44"/>
        <v>0</v>
      </c>
      <c r="M96" s="10">
        <f t="shared" si="45"/>
        <v>0</v>
      </c>
      <c r="O96" s="30" t="b">
        <f t="shared" si="46"/>
        <v>0</v>
      </c>
      <c r="P96" s="30" t="b">
        <f t="shared" si="47"/>
        <v>1</v>
      </c>
      <c r="Q96" s="30" t="b">
        <f t="shared" si="48"/>
        <v>0</v>
      </c>
      <c r="R96" s="30">
        <f t="shared" si="49"/>
        <v>0</v>
      </c>
      <c r="S96" s="32">
        <f t="shared" si="57"/>
        <v>48750</v>
      </c>
      <c r="Z96" s="10"/>
      <c r="AA96" s="45">
        <f t="shared" si="50"/>
        <v>48750</v>
      </c>
      <c r="AB96" s="3">
        <f t="shared" si="51"/>
        <v>5996</v>
      </c>
      <c r="AC96" s="3">
        <f t="shared" si="52"/>
        <v>16.655555555555555</v>
      </c>
      <c r="AD96" s="3">
        <f t="shared" si="58"/>
        <v>16.666666666666664</v>
      </c>
      <c r="AE96" s="48">
        <f t="shared" si="53"/>
        <v>0</v>
      </c>
      <c r="AF96" s="3">
        <f t="shared" si="54"/>
        <v>0</v>
      </c>
      <c r="AH96" s="4"/>
      <c r="AI96" s="4"/>
      <c r="AN96" s="108">
        <f t="shared" si="55"/>
        <v>0</v>
      </c>
    </row>
    <row r="97" spans="1:40" ht="12.75">
      <c r="A97" s="33">
        <f t="shared" si="37"/>
        <v>67</v>
      </c>
      <c r="B97" s="30">
        <f t="shared" si="38"/>
        <v>9</v>
      </c>
      <c r="C97" s="30">
        <f t="shared" si="27"/>
        <v>20</v>
      </c>
      <c r="D97" s="30">
        <f t="shared" si="39"/>
        <v>2033</v>
      </c>
      <c r="E97" s="133">
        <f t="shared" si="40"/>
        <v>0</v>
      </c>
      <c r="F97" s="1"/>
      <c r="G97" s="133">
        <f t="shared" si="59"/>
        <v>0</v>
      </c>
      <c r="H97" s="133">
        <f t="shared" si="42"/>
        <v>0</v>
      </c>
      <c r="I97" s="30">
        <f t="shared" si="41"/>
        <v>6086</v>
      </c>
      <c r="J97" s="133">
        <f t="shared" si="56"/>
        <v>0</v>
      </c>
      <c r="K97" s="10">
        <f t="shared" si="43"/>
        <v>0</v>
      </c>
      <c r="L97" s="22">
        <f t="shared" si="44"/>
        <v>0</v>
      </c>
      <c r="M97" s="10">
        <f t="shared" si="45"/>
        <v>0</v>
      </c>
      <c r="O97" s="30" t="b">
        <f t="shared" si="46"/>
        <v>0</v>
      </c>
      <c r="P97" s="30" t="b">
        <f t="shared" si="47"/>
        <v>1</v>
      </c>
      <c r="Q97" s="30" t="b">
        <f t="shared" si="48"/>
        <v>0</v>
      </c>
      <c r="R97" s="30">
        <f t="shared" si="49"/>
        <v>0</v>
      </c>
      <c r="S97" s="32">
        <f t="shared" si="57"/>
        <v>48842</v>
      </c>
      <c r="Z97" s="10"/>
      <c r="AA97" s="45">
        <f t="shared" si="50"/>
        <v>48842</v>
      </c>
      <c r="AB97" s="3">
        <f t="shared" si="51"/>
        <v>6086</v>
      </c>
      <c r="AC97" s="3">
        <f t="shared" si="52"/>
        <v>16.905555555555555</v>
      </c>
      <c r="AD97" s="3">
        <f t="shared" si="58"/>
        <v>16.916666666666664</v>
      </c>
      <c r="AE97" s="48">
        <f t="shared" si="53"/>
        <v>0</v>
      </c>
      <c r="AF97" s="3">
        <f t="shared" si="54"/>
        <v>0</v>
      </c>
      <c r="AH97" s="4"/>
      <c r="AI97" s="4"/>
      <c r="AN97" s="108">
        <f t="shared" si="55"/>
        <v>0</v>
      </c>
    </row>
    <row r="98" spans="1:40" ht="12.75">
      <c r="A98" s="33">
        <f t="shared" si="37"/>
        <v>68</v>
      </c>
      <c r="B98" s="30">
        <f t="shared" si="38"/>
        <v>12</v>
      </c>
      <c r="C98" s="30">
        <f t="shared" si="27"/>
        <v>20</v>
      </c>
      <c r="D98" s="30">
        <f t="shared" si="39"/>
        <v>2033</v>
      </c>
      <c r="E98" s="133">
        <f t="shared" si="40"/>
        <v>0</v>
      </c>
      <c r="F98" s="1"/>
      <c r="G98" s="133">
        <f t="shared" si="59"/>
        <v>0</v>
      </c>
      <c r="H98" s="133">
        <f t="shared" si="42"/>
        <v>0</v>
      </c>
      <c r="I98" s="30">
        <f t="shared" si="41"/>
        <v>6176</v>
      </c>
      <c r="J98" s="133">
        <f t="shared" si="56"/>
        <v>0</v>
      </c>
      <c r="K98" s="10">
        <f t="shared" si="43"/>
        <v>0</v>
      </c>
      <c r="L98" s="22">
        <f t="shared" si="44"/>
        <v>0</v>
      </c>
      <c r="M98" s="10">
        <f t="shared" si="45"/>
        <v>0</v>
      </c>
      <c r="O98" s="30" t="b">
        <f t="shared" si="46"/>
        <v>1</v>
      </c>
      <c r="P98" s="30" t="b">
        <f t="shared" si="47"/>
        <v>0</v>
      </c>
      <c r="Q98" s="30" t="b">
        <f t="shared" si="48"/>
        <v>0</v>
      </c>
      <c r="R98" s="30">
        <f t="shared" si="49"/>
        <v>0</v>
      </c>
      <c r="S98" s="32">
        <f t="shared" si="57"/>
        <v>48933</v>
      </c>
      <c r="Z98" s="10"/>
      <c r="AA98" s="45">
        <f t="shared" si="50"/>
        <v>48933</v>
      </c>
      <c r="AB98" s="3">
        <f t="shared" si="51"/>
        <v>6176</v>
      </c>
      <c r="AC98" s="3">
        <f t="shared" si="52"/>
        <v>17.155555555555555</v>
      </c>
      <c r="AD98" s="3">
        <f t="shared" si="58"/>
        <v>17.166666666666664</v>
      </c>
      <c r="AE98" s="48">
        <f t="shared" si="53"/>
        <v>0</v>
      </c>
      <c r="AF98" s="3">
        <f t="shared" si="54"/>
        <v>0</v>
      </c>
      <c r="AH98" s="4"/>
      <c r="AI98" s="4"/>
      <c r="AN98" s="108">
        <f t="shared" si="55"/>
        <v>0</v>
      </c>
    </row>
    <row r="99" spans="1:40" ht="12.75">
      <c r="A99" s="33">
        <f t="shared" si="37"/>
        <v>69</v>
      </c>
      <c r="B99" s="30">
        <f t="shared" si="38"/>
        <v>3</v>
      </c>
      <c r="C99" s="30">
        <f t="shared" si="27"/>
        <v>20</v>
      </c>
      <c r="D99" s="30">
        <f t="shared" si="39"/>
        <v>2034</v>
      </c>
      <c r="E99" s="133">
        <f t="shared" si="40"/>
        <v>0</v>
      </c>
      <c r="F99" s="1"/>
      <c r="G99" s="133">
        <f t="shared" si="59"/>
        <v>0</v>
      </c>
      <c r="H99" s="133">
        <f t="shared" si="42"/>
        <v>0</v>
      </c>
      <c r="I99" s="30">
        <f t="shared" si="41"/>
        <v>6266</v>
      </c>
      <c r="J99" s="133">
        <f t="shared" si="56"/>
        <v>0</v>
      </c>
      <c r="K99" s="10">
        <f t="shared" si="43"/>
        <v>0</v>
      </c>
      <c r="L99" s="22">
        <f t="shared" si="44"/>
        <v>0</v>
      </c>
      <c r="M99" s="10">
        <f t="shared" si="45"/>
        <v>0</v>
      </c>
      <c r="O99" s="30" t="b">
        <f t="shared" si="46"/>
        <v>1</v>
      </c>
      <c r="P99" s="30" t="b">
        <f t="shared" si="47"/>
        <v>0</v>
      </c>
      <c r="Q99" s="30" t="b">
        <f t="shared" si="48"/>
        <v>0</v>
      </c>
      <c r="R99" s="30">
        <f t="shared" si="49"/>
        <v>0</v>
      </c>
      <c r="S99" s="32">
        <f t="shared" si="57"/>
        <v>49023</v>
      </c>
      <c r="Z99" s="10"/>
      <c r="AA99" s="45">
        <f t="shared" si="50"/>
        <v>49023</v>
      </c>
      <c r="AB99" s="3">
        <f t="shared" si="51"/>
        <v>6266</v>
      </c>
      <c r="AC99" s="3">
        <f t="shared" si="52"/>
        <v>17.405555555555555</v>
      </c>
      <c r="AD99" s="3">
        <f t="shared" si="58"/>
        <v>17.416666666666664</v>
      </c>
      <c r="AE99" s="48">
        <f t="shared" si="53"/>
        <v>0</v>
      </c>
      <c r="AF99" s="3">
        <f t="shared" si="54"/>
        <v>0</v>
      </c>
      <c r="AH99" s="4"/>
      <c r="AI99" s="4"/>
      <c r="AN99" s="108">
        <f t="shared" si="55"/>
        <v>0</v>
      </c>
    </row>
    <row r="100" spans="1:40" ht="12.75">
      <c r="A100" s="33">
        <f t="shared" si="37"/>
        <v>70</v>
      </c>
      <c r="B100" s="30">
        <f t="shared" si="38"/>
        <v>6</v>
      </c>
      <c r="C100" s="30">
        <f t="shared" si="27"/>
        <v>20</v>
      </c>
      <c r="D100" s="30">
        <f t="shared" si="39"/>
        <v>2034</v>
      </c>
      <c r="E100" s="133">
        <f t="shared" si="40"/>
        <v>0</v>
      </c>
      <c r="F100" s="1"/>
      <c r="G100" s="133">
        <f t="shared" si="59"/>
        <v>0</v>
      </c>
      <c r="H100" s="133">
        <f t="shared" si="42"/>
        <v>0</v>
      </c>
      <c r="I100" s="30">
        <f t="shared" si="41"/>
        <v>6356</v>
      </c>
      <c r="J100" s="133">
        <f t="shared" si="56"/>
        <v>0</v>
      </c>
      <c r="K100" s="10">
        <f t="shared" si="43"/>
        <v>0</v>
      </c>
      <c r="L100" s="22">
        <f t="shared" si="44"/>
        <v>0</v>
      </c>
      <c r="M100" s="10">
        <f t="shared" si="45"/>
        <v>0</v>
      </c>
      <c r="O100" s="30" t="b">
        <f t="shared" si="46"/>
        <v>0</v>
      </c>
      <c r="P100" s="30" t="b">
        <f t="shared" si="47"/>
        <v>1</v>
      </c>
      <c r="Q100" s="30" t="b">
        <f t="shared" si="48"/>
        <v>0</v>
      </c>
      <c r="R100" s="30">
        <f t="shared" si="49"/>
        <v>0</v>
      </c>
      <c r="S100" s="32">
        <f t="shared" si="57"/>
        <v>49115</v>
      </c>
      <c r="Z100" s="10"/>
      <c r="AA100" s="45">
        <f t="shared" si="50"/>
        <v>49115</v>
      </c>
      <c r="AB100" s="3">
        <f t="shared" si="51"/>
        <v>6356</v>
      </c>
      <c r="AC100" s="3">
        <f t="shared" si="52"/>
        <v>17.655555555555555</v>
      </c>
      <c r="AD100" s="3">
        <f t="shared" si="58"/>
        <v>17.666666666666664</v>
      </c>
      <c r="AE100" s="48">
        <f t="shared" si="53"/>
        <v>0</v>
      </c>
      <c r="AF100" s="3">
        <f t="shared" si="54"/>
        <v>0</v>
      </c>
      <c r="AH100" s="4"/>
      <c r="AI100" s="4"/>
      <c r="AN100" s="108">
        <f t="shared" si="55"/>
        <v>0</v>
      </c>
    </row>
    <row r="101" spans="1:40" ht="12.75">
      <c r="A101" s="33">
        <f t="shared" si="37"/>
        <v>71</v>
      </c>
      <c r="B101" s="30">
        <f t="shared" si="38"/>
        <v>9</v>
      </c>
      <c r="C101" s="30">
        <f aca="true" t="shared" si="60" ref="C101:C164">IF(AND((OR(C$30=31,Q$30=1)),P101=1),30,IF(AND((OR(C$30=30,Q$30=1)),O101=1),31,IF(AND(AND(C100&gt;29,B101=2),R101=1),29,IF(AND(AND(C100&gt;29,B101=2),R101=0),28,C$30))))</f>
        <v>20</v>
      </c>
      <c r="D101" s="30">
        <f t="shared" si="39"/>
        <v>2034</v>
      </c>
      <c r="E101" s="133">
        <f t="shared" si="40"/>
        <v>0</v>
      </c>
      <c r="F101" s="1"/>
      <c r="G101" s="133">
        <f t="shared" si="59"/>
        <v>0</v>
      </c>
      <c r="H101" s="133">
        <f t="shared" si="42"/>
        <v>0</v>
      </c>
      <c r="I101" s="30">
        <f t="shared" si="41"/>
        <v>6446</v>
      </c>
      <c r="J101" s="133">
        <f t="shared" si="56"/>
        <v>0</v>
      </c>
      <c r="K101" s="10">
        <f t="shared" si="43"/>
        <v>0</v>
      </c>
      <c r="L101" s="22">
        <f t="shared" si="44"/>
        <v>0</v>
      </c>
      <c r="M101" s="10">
        <f t="shared" si="45"/>
        <v>0</v>
      </c>
      <c r="O101" s="30" t="b">
        <f t="shared" si="46"/>
        <v>0</v>
      </c>
      <c r="P101" s="30" t="b">
        <f t="shared" si="47"/>
        <v>1</v>
      </c>
      <c r="Q101" s="30" t="b">
        <f t="shared" si="48"/>
        <v>0</v>
      </c>
      <c r="R101" s="30">
        <f t="shared" si="49"/>
        <v>0</v>
      </c>
      <c r="S101" s="32">
        <f t="shared" si="57"/>
        <v>49207</v>
      </c>
      <c r="Z101" s="10"/>
      <c r="AA101" s="45">
        <f t="shared" si="50"/>
        <v>49207</v>
      </c>
      <c r="AB101" s="3">
        <f t="shared" si="51"/>
        <v>6446</v>
      </c>
      <c r="AC101" s="3">
        <f t="shared" si="52"/>
        <v>17.905555555555555</v>
      </c>
      <c r="AD101" s="3">
        <f t="shared" si="58"/>
        <v>17.916666666666664</v>
      </c>
      <c r="AE101" s="48">
        <f t="shared" si="53"/>
        <v>0</v>
      </c>
      <c r="AF101" s="3">
        <f t="shared" si="54"/>
        <v>0</v>
      </c>
      <c r="AH101" s="4"/>
      <c r="AI101" s="4"/>
      <c r="AN101" s="108">
        <f t="shared" si="55"/>
        <v>0</v>
      </c>
    </row>
    <row r="102" spans="1:40" ht="12.75">
      <c r="A102" s="33">
        <f t="shared" si="37"/>
        <v>72</v>
      </c>
      <c r="B102" s="30">
        <f t="shared" si="38"/>
        <v>12</v>
      </c>
      <c r="C102" s="30">
        <f t="shared" si="60"/>
        <v>20</v>
      </c>
      <c r="D102" s="30">
        <f t="shared" si="39"/>
        <v>2034</v>
      </c>
      <c r="E102" s="133">
        <f t="shared" si="40"/>
        <v>0</v>
      </c>
      <c r="F102" s="1"/>
      <c r="G102" s="133">
        <f t="shared" si="59"/>
        <v>0</v>
      </c>
      <c r="H102" s="133">
        <f t="shared" si="42"/>
        <v>0</v>
      </c>
      <c r="I102" s="30">
        <f t="shared" si="41"/>
        <v>6536</v>
      </c>
      <c r="J102" s="133">
        <f t="shared" si="56"/>
        <v>0</v>
      </c>
      <c r="K102" s="10">
        <f t="shared" si="43"/>
        <v>0</v>
      </c>
      <c r="L102" s="22">
        <f t="shared" si="44"/>
        <v>0</v>
      </c>
      <c r="M102" s="10">
        <f t="shared" si="45"/>
        <v>0</v>
      </c>
      <c r="O102" s="30" t="b">
        <f t="shared" si="46"/>
        <v>1</v>
      </c>
      <c r="P102" s="30" t="b">
        <f t="shared" si="47"/>
        <v>0</v>
      </c>
      <c r="Q102" s="30" t="b">
        <f t="shared" si="48"/>
        <v>0</v>
      </c>
      <c r="R102" s="30">
        <f t="shared" si="49"/>
        <v>0</v>
      </c>
      <c r="S102" s="32">
        <f t="shared" si="57"/>
        <v>49298</v>
      </c>
      <c r="Z102" s="10"/>
      <c r="AA102" s="45">
        <f t="shared" si="50"/>
        <v>49298</v>
      </c>
      <c r="AB102" s="3">
        <f t="shared" si="51"/>
        <v>6536</v>
      </c>
      <c r="AC102" s="3">
        <f t="shared" si="52"/>
        <v>18.155555555555555</v>
      </c>
      <c r="AD102" s="3">
        <f t="shared" si="58"/>
        <v>18.166666666666664</v>
      </c>
      <c r="AE102" s="48">
        <f t="shared" si="53"/>
        <v>0</v>
      </c>
      <c r="AF102" s="3">
        <f t="shared" si="54"/>
        <v>0</v>
      </c>
      <c r="AH102" s="4"/>
      <c r="AI102" s="4"/>
      <c r="AN102" s="108">
        <f t="shared" si="55"/>
        <v>0</v>
      </c>
    </row>
    <row r="103" spans="1:40" ht="12.75">
      <c r="A103" s="33">
        <f aca="true" t="shared" si="61" ref="A103:A118">A102+1</f>
        <v>73</v>
      </c>
      <c r="B103" s="30">
        <f aca="true" t="shared" si="62" ref="B103:B118">IF(F$14=12,MOD(B102,12)+1,IF(F$14=4,IF(AND(MOD(B102,12)+3&gt;12,B102=11),2,IF(MOD(B102,12)+3&gt;12,1,MOD(B102,12)+3)),IF(F$14=2,IF((B102+6)&gt;12,(B102+6)-12,MOD(B102,12)+6),+B102)))</f>
        <v>3</v>
      </c>
      <c r="C103" s="30">
        <f t="shared" si="60"/>
        <v>20</v>
      </c>
      <c r="D103" s="30">
        <f aca="true" t="shared" si="63" ref="D103:D118">IF(F$14=1,D102+1,IF(AND(F$14=2,B103&lt;B102),D102+1,IF(AND(F$14=4,B103&lt;B102),D102+1,IF(OR(B103=1,B102=12),D102+1,D102))))</f>
        <v>2035</v>
      </c>
      <c r="E103" s="133">
        <f aca="true" t="shared" si="64" ref="E103:E118">ROUND(IF((+E102-F103)&lt;=-1,#VALUE!,E102-F103),2)</f>
        <v>0</v>
      </c>
      <c r="F103" s="1"/>
      <c r="G103" s="133">
        <f t="shared" si="59"/>
        <v>0</v>
      </c>
      <c r="H103" s="133">
        <f t="shared" si="42"/>
        <v>0</v>
      </c>
      <c r="I103" s="30">
        <f aca="true" t="shared" si="65" ref="I103:I118">I102+(360/$F$14)</f>
        <v>6626</v>
      </c>
      <c r="J103" s="133">
        <f t="shared" si="56"/>
        <v>0</v>
      </c>
      <c r="K103" s="10">
        <f t="shared" si="43"/>
        <v>0</v>
      </c>
      <c r="L103" s="22">
        <f t="shared" si="44"/>
        <v>0</v>
      </c>
      <c r="M103" s="10">
        <f t="shared" si="45"/>
        <v>0</v>
      </c>
      <c r="O103" s="30" t="b">
        <f t="shared" si="46"/>
        <v>1</v>
      </c>
      <c r="P103" s="30" t="b">
        <f t="shared" si="47"/>
        <v>0</v>
      </c>
      <c r="Q103" s="30" t="b">
        <f t="shared" si="48"/>
        <v>0</v>
      </c>
      <c r="R103" s="30">
        <f t="shared" si="49"/>
        <v>0</v>
      </c>
      <c r="S103" s="32">
        <f t="shared" si="57"/>
        <v>49388</v>
      </c>
      <c r="Z103" s="10"/>
      <c r="AA103" s="45">
        <f t="shared" si="50"/>
        <v>49388</v>
      </c>
      <c r="AB103" s="3">
        <f t="shared" si="51"/>
        <v>6626</v>
      </c>
      <c r="AC103" s="3">
        <f t="shared" si="52"/>
        <v>18.405555555555555</v>
      </c>
      <c r="AD103" s="3">
        <f t="shared" si="58"/>
        <v>18.416666666666664</v>
      </c>
      <c r="AE103" s="48">
        <f t="shared" si="53"/>
        <v>0</v>
      </c>
      <c r="AF103" s="3">
        <f t="shared" si="54"/>
        <v>0</v>
      </c>
      <c r="AH103" s="4"/>
      <c r="AI103" s="4"/>
      <c r="AN103" s="108">
        <f t="shared" si="55"/>
        <v>0</v>
      </c>
    </row>
    <row r="104" spans="1:40" ht="12.75">
      <c r="A104" s="33">
        <f t="shared" si="61"/>
        <v>74</v>
      </c>
      <c r="B104" s="30">
        <f t="shared" si="62"/>
        <v>6</v>
      </c>
      <c r="C104" s="30">
        <f t="shared" si="60"/>
        <v>20</v>
      </c>
      <c r="D104" s="30">
        <f t="shared" si="63"/>
        <v>2035</v>
      </c>
      <c r="E104" s="133">
        <f t="shared" si="64"/>
        <v>0</v>
      </c>
      <c r="F104" s="1"/>
      <c r="G104" s="133">
        <f t="shared" si="59"/>
        <v>0</v>
      </c>
      <c r="H104" s="133">
        <f t="shared" si="42"/>
        <v>0</v>
      </c>
      <c r="I104" s="30">
        <f t="shared" si="65"/>
        <v>6716</v>
      </c>
      <c r="J104" s="133">
        <f t="shared" si="56"/>
        <v>0</v>
      </c>
      <c r="K104" s="10">
        <f t="shared" si="43"/>
        <v>0</v>
      </c>
      <c r="L104" s="22">
        <f t="shared" si="44"/>
        <v>0</v>
      </c>
      <c r="M104" s="10">
        <f t="shared" si="45"/>
        <v>0</v>
      </c>
      <c r="O104" s="30" t="b">
        <f t="shared" si="46"/>
        <v>0</v>
      </c>
      <c r="P104" s="30" t="b">
        <f t="shared" si="47"/>
        <v>1</v>
      </c>
      <c r="Q104" s="30" t="b">
        <f t="shared" si="48"/>
        <v>0</v>
      </c>
      <c r="R104" s="30">
        <f t="shared" si="49"/>
        <v>0</v>
      </c>
      <c r="S104" s="32">
        <f t="shared" si="57"/>
        <v>49480</v>
      </c>
      <c r="Z104" s="10"/>
      <c r="AA104" s="45">
        <f t="shared" si="50"/>
        <v>49480</v>
      </c>
      <c r="AB104" s="3">
        <f t="shared" si="51"/>
        <v>6716</v>
      </c>
      <c r="AC104" s="3">
        <f t="shared" si="52"/>
        <v>18.655555555555555</v>
      </c>
      <c r="AD104" s="3">
        <f t="shared" si="58"/>
        <v>18.666666666666664</v>
      </c>
      <c r="AE104" s="48">
        <f t="shared" si="53"/>
        <v>0</v>
      </c>
      <c r="AF104" s="3">
        <f t="shared" si="54"/>
        <v>0</v>
      </c>
      <c r="AH104" s="4"/>
      <c r="AI104" s="4"/>
      <c r="AN104" s="108">
        <f t="shared" si="55"/>
        <v>0</v>
      </c>
    </row>
    <row r="105" spans="1:40" ht="12.75">
      <c r="A105" s="33">
        <f t="shared" si="61"/>
        <v>75</v>
      </c>
      <c r="B105" s="30">
        <f t="shared" si="62"/>
        <v>9</v>
      </c>
      <c r="C105" s="30">
        <f t="shared" si="60"/>
        <v>20</v>
      </c>
      <c r="D105" s="30">
        <f t="shared" si="63"/>
        <v>2035</v>
      </c>
      <c r="E105" s="133">
        <f t="shared" si="64"/>
        <v>0</v>
      </c>
      <c r="F105" s="1"/>
      <c r="G105" s="133">
        <f t="shared" si="59"/>
        <v>0</v>
      </c>
      <c r="H105" s="133">
        <f t="shared" si="42"/>
        <v>0</v>
      </c>
      <c r="I105" s="30">
        <f t="shared" si="65"/>
        <v>6806</v>
      </c>
      <c r="J105" s="133">
        <f t="shared" si="56"/>
        <v>0</v>
      </c>
      <c r="K105" s="10">
        <f t="shared" si="43"/>
        <v>0</v>
      </c>
      <c r="L105" s="22">
        <f t="shared" si="44"/>
        <v>0</v>
      </c>
      <c r="M105" s="10">
        <f t="shared" si="45"/>
        <v>0</v>
      </c>
      <c r="O105" s="30" t="b">
        <f t="shared" si="46"/>
        <v>0</v>
      </c>
      <c r="P105" s="30" t="b">
        <f t="shared" si="47"/>
        <v>1</v>
      </c>
      <c r="Q105" s="30" t="b">
        <f t="shared" si="48"/>
        <v>0</v>
      </c>
      <c r="R105" s="30">
        <f t="shared" si="49"/>
        <v>0</v>
      </c>
      <c r="S105" s="32">
        <f t="shared" si="57"/>
        <v>49572</v>
      </c>
      <c r="Z105" s="10"/>
      <c r="AA105" s="45">
        <f t="shared" si="50"/>
        <v>49572</v>
      </c>
      <c r="AB105" s="3">
        <f t="shared" si="51"/>
        <v>6806</v>
      </c>
      <c r="AC105" s="3">
        <f t="shared" si="52"/>
        <v>18.905555555555555</v>
      </c>
      <c r="AD105" s="3">
        <f t="shared" si="58"/>
        <v>18.916666666666664</v>
      </c>
      <c r="AE105" s="48">
        <f t="shared" si="53"/>
        <v>0</v>
      </c>
      <c r="AF105" s="3">
        <f t="shared" si="54"/>
        <v>0</v>
      </c>
      <c r="AH105" s="4"/>
      <c r="AI105" s="4"/>
      <c r="AN105" s="108">
        <f t="shared" si="55"/>
        <v>0</v>
      </c>
    </row>
    <row r="106" spans="1:40" ht="12.75">
      <c r="A106" s="33">
        <f t="shared" si="61"/>
        <v>76</v>
      </c>
      <c r="B106" s="30">
        <f t="shared" si="62"/>
        <v>12</v>
      </c>
      <c r="C106" s="30">
        <f t="shared" si="60"/>
        <v>20</v>
      </c>
      <c r="D106" s="30">
        <f t="shared" si="63"/>
        <v>2035</v>
      </c>
      <c r="E106" s="133">
        <f t="shared" si="64"/>
        <v>0</v>
      </c>
      <c r="F106" s="1"/>
      <c r="G106" s="133">
        <f t="shared" si="59"/>
        <v>0</v>
      </c>
      <c r="H106" s="133">
        <f t="shared" si="42"/>
        <v>0</v>
      </c>
      <c r="I106" s="30">
        <f t="shared" si="65"/>
        <v>6896</v>
      </c>
      <c r="J106" s="133">
        <f t="shared" si="56"/>
        <v>0</v>
      </c>
      <c r="K106" s="10">
        <f t="shared" si="43"/>
        <v>0</v>
      </c>
      <c r="L106" s="22">
        <f t="shared" si="44"/>
        <v>0</v>
      </c>
      <c r="M106" s="10">
        <f t="shared" si="45"/>
        <v>0</v>
      </c>
      <c r="O106" s="30" t="b">
        <f t="shared" si="46"/>
        <v>1</v>
      </c>
      <c r="P106" s="30" t="b">
        <f t="shared" si="47"/>
        <v>0</v>
      </c>
      <c r="Q106" s="30" t="b">
        <f t="shared" si="48"/>
        <v>0</v>
      </c>
      <c r="R106" s="30">
        <f t="shared" si="49"/>
        <v>0</v>
      </c>
      <c r="S106" s="32">
        <f t="shared" si="57"/>
        <v>49663</v>
      </c>
      <c r="Z106" s="10"/>
      <c r="AA106" s="45">
        <f t="shared" si="50"/>
        <v>49663</v>
      </c>
      <c r="AB106" s="3">
        <f t="shared" si="51"/>
        <v>6896</v>
      </c>
      <c r="AC106" s="3">
        <f t="shared" si="52"/>
        <v>19.155555555555555</v>
      </c>
      <c r="AD106" s="3">
        <f t="shared" si="58"/>
        <v>19.166666666666664</v>
      </c>
      <c r="AE106" s="48">
        <f t="shared" si="53"/>
        <v>0</v>
      </c>
      <c r="AF106" s="3">
        <f t="shared" si="54"/>
        <v>0</v>
      </c>
      <c r="AH106" s="4"/>
      <c r="AI106" s="4"/>
      <c r="AN106" s="108">
        <f t="shared" si="55"/>
        <v>0</v>
      </c>
    </row>
    <row r="107" spans="1:40" ht="12.75">
      <c r="A107" s="33">
        <f t="shared" si="61"/>
        <v>77</v>
      </c>
      <c r="B107" s="30">
        <f t="shared" si="62"/>
        <v>3</v>
      </c>
      <c r="C107" s="30">
        <f t="shared" si="60"/>
        <v>20</v>
      </c>
      <c r="D107" s="30">
        <f t="shared" si="63"/>
        <v>2036</v>
      </c>
      <c r="E107" s="133">
        <f t="shared" si="64"/>
        <v>0</v>
      </c>
      <c r="F107" s="1"/>
      <c r="G107" s="133">
        <f t="shared" si="59"/>
        <v>0</v>
      </c>
      <c r="H107" s="133">
        <f t="shared" si="42"/>
        <v>0</v>
      </c>
      <c r="I107" s="30">
        <f t="shared" si="65"/>
        <v>6986</v>
      </c>
      <c r="J107" s="133">
        <f t="shared" si="56"/>
        <v>0</v>
      </c>
      <c r="K107" s="10">
        <f t="shared" si="43"/>
        <v>0</v>
      </c>
      <c r="L107" s="22">
        <f t="shared" si="44"/>
        <v>0</v>
      </c>
      <c r="M107" s="10">
        <f t="shared" si="45"/>
        <v>0</v>
      </c>
      <c r="O107" s="30" t="b">
        <f t="shared" si="46"/>
        <v>1</v>
      </c>
      <c r="P107" s="30" t="b">
        <f t="shared" si="47"/>
        <v>0</v>
      </c>
      <c r="Q107" s="30" t="b">
        <f t="shared" si="48"/>
        <v>0</v>
      </c>
      <c r="R107" s="30">
        <f t="shared" si="49"/>
        <v>0</v>
      </c>
      <c r="S107" s="32">
        <f t="shared" si="57"/>
        <v>49754</v>
      </c>
      <c r="Z107" s="10"/>
      <c r="AA107" s="45">
        <f t="shared" si="50"/>
        <v>49754</v>
      </c>
      <c r="AB107" s="3">
        <f t="shared" si="51"/>
        <v>6986</v>
      </c>
      <c r="AC107" s="3">
        <f t="shared" si="52"/>
        <v>19.405555555555555</v>
      </c>
      <c r="AD107" s="3">
        <f t="shared" si="58"/>
        <v>19.416666666666664</v>
      </c>
      <c r="AE107" s="48">
        <f t="shared" si="53"/>
        <v>0</v>
      </c>
      <c r="AF107" s="3">
        <f t="shared" si="54"/>
        <v>0</v>
      </c>
      <c r="AH107" s="4"/>
      <c r="AI107" s="4"/>
      <c r="AN107" s="108">
        <f t="shared" si="55"/>
        <v>0</v>
      </c>
    </row>
    <row r="108" spans="1:40" ht="12.75">
      <c r="A108" s="33">
        <f t="shared" si="61"/>
        <v>78</v>
      </c>
      <c r="B108" s="30">
        <f t="shared" si="62"/>
        <v>6</v>
      </c>
      <c r="C108" s="30">
        <f t="shared" si="60"/>
        <v>20</v>
      </c>
      <c r="D108" s="30">
        <f t="shared" si="63"/>
        <v>2036</v>
      </c>
      <c r="E108" s="133">
        <f t="shared" si="64"/>
        <v>0</v>
      </c>
      <c r="F108" s="1"/>
      <c r="G108" s="133">
        <f t="shared" si="59"/>
        <v>0</v>
      </c>
      <c r="H108" s="133">
        <f t="shared" si="42"/>
        <v>0</v>
      </c>
      <c r="I108" s="30">
        <f t="shared" si="65"/>
        <v>7076</v>
      </c>
      <c r="J108" s="133">
        <f t="shared" si="56"/>
        <v>0</v>
      </c>
      <c r="K108" s="10">
        <f t="shared" si="43"/>
        <v>0</v>
      </c>
      <c r="L108" s="22">
        <f t="shared" si="44"/>
        <v>0</v>
      </c>
      <c r="M108" s="10">
        <f t="shared" si="45"/>
        <v>0</v>
      </c>
      <c r="O108" s="30" t="b">
        <f t="shared" si="46"/>
        <v>0</v>
      </c>
      <c r="P108" s="30" t="b">
        <f t="shared" si="47"/>
        <v>1</v>
      </c>
      <c r="Q108" s="30" t="b">
        <f t="shared" si="48"/>
        <v>0</v>
      </c>
      <c r="R108" s="30">
        <f t="shared" si="49"/>
        <v>0</v>
      </c>
      <c r="S108" s="32">
        <f t="shared" si="57"/>
        <v>49846</v>
      </c>
      <c r="Z108" s="10"/>
      <c r="AA108" s="45">
        <f t="shared" si="50"/>
        <v>49846</v>
      </c>
      <c r="AB108" s="3">
        <f t="shared" si="51"/>
        <v>7076</v>
      </c>
      <c r="AC108" s="3">
        <f t="shared" si="52"/>
        <v>19.655555555555555</v>
      </c>
      <c r="AD108" s="3">
        <f t="shared" si="58"/>
        <v>19.666666666666664</v>
      </c>
      <c r="AE108" s="48">
        <f t="shared" si="53"/>
        <v>0</v>
      </c>
      <c r="AF108" s="3">
        <f t="shared" si="54"/>
        <v>0</v>
      </c>
      <c r="AH108" s="4"/>
      <c r="AI108" s="4"/>
      <c r="AN108" s="108">
        <f t="shared" si="55"/>
        <v>0</v>
      </c>
    </row>
    <row r="109" spans="1:40" ht="12.75">
      <c r="A109" s="33">
        <f t="shared" si="61"/>
        <v>79</v>
      </c>
      <c r="B109" s="30">
        <f t="shared" si="62"/>
        <v>9</v>
      </c>
      <c r="C109" s="30">
        <f t="shared" si="60"/>
        <v>20</v>
      </c>
      <c r="D109" s="30">
        <f t="shared" si="63"/>
        <v>2036</v>
      </c>
      <c r="E109" s="133">
        <f t="shared" si="64"/>
        <v>0</v>
      </c>
      <c r="F109" s="1"/>
      <c r="G109" s="133">
        <f t="shared" si="59"/>
        <v>0</v>
      </c>
      <c r="H109" s="133">
        <f t="shared" si="42"/>
        <v>0</v>
      </c>
      <c r="I109" s="30">
        <f t="shared" si="65"/>
        <v>7166</v>
      </c>
      <c r="J109" s="133">
        <f t="shared" si="56"/>
        <v>0</v>
      </c>
      <c r="K109" s="10">
        <f t="shared" si="43"/>
        <v>0</v>
      </c>
      <c r="L109" s="22">
        <f t="shared" si="44"/>
        <v>0</v>
      </c>
      <c r="M109" s="10">
        <f t="shared" si="45"/>
        <v>0</v>
      </c>
      <c r="O109" s="30" t="b">
        <f t="shared" si="46"/>
        <v>0</v>
      </c>
      <c r="P109" s="30" t="b">
        <f t="shared" si="47"/>
        <v>1</v>
      </c>
      <c r="Q109" s="30" t="b">
        <f t="shared" si="48"/>
        <v>0</v>
      </c>
      <c r="R109" s="30">
        <f t="shared" si="49"/>
        <v>0</v>
      </c>
      <c r="S109" s="32">
        <f t="shared" si="57"/>
        <v>49938</v>
      </c>
      <c r="Z109" s="10"/>
      <c r="AA109" s="45">
        <f t="shared" si="50"/>
        <v>49938</v>
      </c>
      <c r="AB109" s="3">
        <f t="shared" si="51"/>
        <v>7166</v>
      </c>
      <c r="AC109" s="3">
        <f t="shared" si="52"/>
        <v>19.905555555555555</v>
      </c>
      <c r="AD109" s="3">
        <f t="shared" si="58"/>
        <v>19.916666666666664</v>
      </c>
      <c r="AE109" s="48">
        <f t="shared" si="53"/>
        <v>0</v>
      </c>
      <c r="AF109" s="3">
        <f t="shared" si="54"/>
        <v>0</v>
      </c>
      <c r="AH109" s="4"/>
      <c r="AI109" s="4"/>
      <c r="AN109" s="108">
        <f t="shared" si="55"/>
        <v>0</v>
      </c>
    </row>
    <row r="110" spans="1:40" ht="12.75">
      <c r="A110" s="33">
        <f t="shared" si="61"/>
        <v>80</v>
      </c>
      <c r="B110" s="30">
        <f t="shared" si="62"/>
        <v>12</v>
      </c>
      <c r="C110" s="30">
        <f t="shared" si="60"/>
        <v>20</v>
      </c>
      <c r="D110" s="30">
        <f t="shared" si="63"/>
        <v>2036</v>
      </c>
      <c r="E110" s="133">
        <f t="shared" si="64"/>
        <v>0</v>
      </c>
      <c r="F110" s="1"/>
      <c r="G110" s="133">
        <f t="shared" si="59"/>
        <v>0</v>
      </c>
      <c r="H110" s="133">
        <f t="shared" si="42"/>
        <v>0</v>
      </c>
      <c r="I110" s="30">
        <f t="shared" si="65"/>
        <v>7256</v>
      </c>
      <c r="J110" s="133">
        <f t="shared" si="56"/>
        <v>0</v>
      </c>
      <c r="K110" s="10">
        <f t="shared" si="43"/>
        <v>0</v>
      </c>
      <c r="L110" s="22">
        <f t="shared" si="44"/>
        <v>0</v>
      </c>
      <c r="M110" s="10">
        <f t="shared" si="45"/>
        <v>0</v>
      </c>
      <c r="O110" s="30" t="b">
        <f t="shared" si="46"/>
        <v>1</v>
      </c>
      <c r="P110" s="30" t="b">
        <f t="shared" si="47"/>
        <v>0</v>
      </c>
      <c r="Q110" s="30" t="b">
        <f t="shared" si="48"/>
        <v>0</v>
      </c>
      <c r="R110" s="30">
        <f t="shared" si="49"/>
        <v>0</v>
      </c>
      <c r="S110" s="32">
        <f t="shared" si="57"/>
        <v>50029</v>
      </c>
      <c r="Z110" s="10"/>
      <c r="AA110" s="45">
        <f t="shared" si="50"/>
        <v>50029</v>
      </c>
      <c r="AB110" s="3">
        <f t="shared" si="51"/>
        <v>7256</v>
      </c>
      <c r="AC110" s="3">
        <f aca="true" t="shared" si="66" ref="AC110:AC125">AB110/360</f>
        <v>20.155555555555555</v>
      </c>
      <c r="AD110" s="3">
        <f t="shared" si="58"/>
        <v>20.166666666666664</v>
      </c>
      <c r="AE110" s="48">
        <f t="shared" si="53"/>
        <v>0</v>
      </c>
      <c r="AF110" s="3">
        <f aca="true" t="shared" si="67" ref="AF110:AF125">AE110*AD110</f>
        <v>0</v>
      </c>
      <c r="AH110" s="4"/>
      <c r="AI110" s="4"/>
      <c r="AN110" s="108">
        <f t="shared" si="55"/>
        <v>0</v>
      </c>
    </row>
    <row r="111" spans="1:40" ht="12.75">
      <c r="A111" s="33">
        <f t="shared" si="61"/>
        <v>81</v>
      </c>
      <c r="B111" s="30">
        <f t="shared" si="62"/>
        <v>3</v>
      </c>
      <c r="C111" s="30">
        <f t="shared" si="60"/>
        <v>20</v>
      </c>
      <c r="D111" s="30">
        <f t="shared" si="63"/>
        <v>2037</v>
      </c>
      <c r="E111" s="133">
        <f t="shared" si="64"/>
        <v>0</v>
      </c>
      <c r="F111" s="1"/>
      <c r="G111" s="133">
        <f t="shared" si="59"/>
        <v>0</v>
      </c>
      <c r="H111" s="133">
        <f t="shared" si="42"/>
        <v>0</v>
      </c>
      <c r="I111" s="30">
        <f t="shared" si="65"/>
        <v>7346</v>
      </c>
      <c r="J111" s="133">
        <f t="shared" si="56"/>
        <v>0</v>
      </c>
      <c r="K111" s="10">
        <f t="shared" si="43"/>
        <v>0</v>
      </c>
      <c r="L111" s="22">
        <f t="shared" si="44"/>
        <v>0</v>
      </c>
      <c r="M111" s="10">
        <f t="shared" si="45"/>
        <v>0</v>
      </c>
      <c r="O111" s="30" t="b">
        <f t="shared" si="46"/>
        <v>1</v>
      </c>
      <c r="P111" s="30" t="b">
        <f t="shared" si="47"/>
        <v>0</v>
      </c>
      <c r="Q111" s="30" t="b">
        <f t="shared" si="48"/>
        <v>0</v>
      </c>
      <c r="R111" s="30">
        <f t="shared" si="49"/>
        <v>0</v>
      </c>
      <c r="S111" s="32">
        <f t="shared" si="57"/>
        <v>50119</v>
      </c>
      <c r="Z111" s="10"/>
      <c r="AA111" s="45">
        <f t="shared" si="50"/>
        <v>50119</v>
      </c>
      <c r="AB111" s="3">
        <f t="shared" si="51"/>
        <v>7346</v>
      </c>
      <c r="AC111" s="3">
        <f t="shared" si="66"/>
        <v>20.405555555555555</v>
      </c>
      <c r="AD111" s="3">
        <f t="shared" si="58"/>
        <v>20.416666666666664</v>
      </c>
      <c r="AE111" s="48">
        <f t="shared" si="53"/>
        <v>0</v>
      </c>
      <c r="AF111" s="3">
        <f t="shared" si="67"/>
        <v>0</v>
      </c>
      <c r="AH111" s="4"/>
      <c r="AI111" s="4"/>
      <c r="AN111" s="108">
        <f t="shared" si="55"/>
        <v>0</v>
      </c>
    </row>
    <row r="112" spans="1:40" ht="12.75">
      <c r="A112" s="33">
        <f t="shared" si="61"/>
        <v>82</v>
      </c>
      <c r="B112" s="30">
        <f t="shared" si="62"/>
        <v>6</v>
      </c>
      <c r="C112" s="30">
        <f t="shared" si="60"/>
        <v>20</v>
      </c>
      <c r="D112" s="30">
        <f t="shared" si="63"/>
        <v>2037</v>
      </c>
      <c r="E112" s="133">
        <f t="shared" si="64"/>
        <v>0</v>
      </c>
      <c r="F112" s="1"/>
      <c r="G112" s="133">
        <f t="shared" si="59"/>
        <v>0</v>
      </c>
      <c r="H112" s="133">
        <f t="shared" si="42"/>
        <v>0</v>
      </c>
      <c r="I112" s="30">
        <f t="shared" si="65"/>
        <v>7436</v>
      </c>
      <c r="J112" s="133">
        <f t="shared" si="56"/>
        <v>0</v>
      </c>
      <c r="K112" s="10">
        <f t="shared" si="43"/>
        <v>0</v>
      </c>
      <c r="L112" s="22">
        <f t="shared" si="44"/>
        <v>0</v>
      </c>
      <c r="M112" s="10">
        <f t="shared" si="45"/>
        <v>0</v>
      </c>
      <c r="O112" s="30" t="b">
        <f t="shared" si="46"/>
        <v>0</v>
      </c>
      <c r="P112" s="30" t="b">
        <f t="shared" si="47"/>
        <v>1</v>
      </c>
      <c r="Q112" s="30" t="b">
        <f t="shared" si="48"/>
        <v>0</v>
      </c>
      <c r="R112" s="30">
        <f t="shared" si="49"/>
        <v>0</v>
      </c>
      <c r="S112" s="32">
        <f t="shared" si="57"/>
        <v>50211</v>
      </c>
      <c r="Z112" s="10"/>
      <c r="AA112" s="45">
        <f t="shared" si="50"/>
        <v>50211</v>
      </c>
      <c r="AB112" s="3">
        <f t="shared" si="51"/>
        <v>7436</v>
      </c>
      <c r="AC112" s="3">
        <f t="shared" si="66"/>
        <v>20.655555555555555</v>
      </c>
      <c r="AD112" s="3">
        <f t="shared" si="58"/>
        <v>20.666666666666664</v>
      </c>
      <c r="AE112" s="48">
        <f t="shared" si="53"/>
        <v>0</v>
      </c>
      <c r="AF112" s="3">
        <f t="shared" si="67"/>
        <v>0</v>
      </c>
      <c r="AH112" s="4"/>
      <c r="AI112" s="4"/>
      <c r="AN112" s="108">
        <f t="shared" si="55"/>
        <v>0</v>
      </c>
    </row>
    <row r="113" spans="1:40" ht="12.75">
      <c r="A113" s="33">
        <f t="shared" si="61"/>
        <v>83</v>
      </c>
      <c r="B113" s="30">
        <f t="shared" si="62"/>
        <v>9</v>
      </c>
      <c r="C113" s="30">
        <f t="shared" si="60"/>
        <v>20</v>
      </c>
      <c r="D113" s="30">
        <f t="shared" si="63"/>
        <v>2037</v>
      </c>
      <c r="E113" s="133">
        <f t="shared" si="64"/>
        <v>0</v>
      </c>
      <c r="F113" s="1"/>
      <c r="G113" s="133">
        <f t="shared" si="59"/>
        <v>0</v>
      </c>
      <c r="H113" s="133">
        <f t="shared" si="42"/>
        <v>0</v>
      </c>
      <c r="I113" s="30">
        <f t="shared" si="65"/>
        <v>7526</v>
      </c>
      <c r="J113" s="133">
        <f t="shared" si="56"/>
        <v>0</v>
      </c>
      <c r="K113" s="10">
        <f t="shared" si="43"/>
        <v>0</v>
      </c>
      <c r="L113" s="22">
        <f t="shared" si="44"/>
        <v>0</v>
      </c>
      <c r="M113" s="10">
        <f t="shared" si="45"/>
        <v>0</v>
      </c>
      <c r="O113" s="30" t="b">
        <f t="shared" si="46"/>
        <v>0</v>
      </c>
      <c r="P113" s="30" t="b">
        <f t="shared" si="47"/>
        <v>1</v>
      </c>
      <c r="Q113" s="30" t="b">
        <f t="shared" si="48"/>
        <v>0</v>
      </c>
      <c r="R113" s="30">
        <f t="shared" si="49"/>
        <v>0</v>
      </c>
      <c r="S113" s="32">
        <f t="shared" si="57"/>
        <v>50303</v>
      </c>
      <c r="Z113" s="10"/>
      <c r="AA113" s="45">
        <f t="shared" si="50"/>
        <v>50303</v>
      </c>
      <c r="AB113" s="3">
        <f t="shared" si="51"/>
        <v>7526</v>
      </c>
      <c r="AC113" s="3">
        <f t="shared" si="66"/>
        <v>20.905555555555555</v>
      </c>
      <c r="AD113" s="3">
        <f t="shared" si="58"/>
        <v>20.916666666666664</v>
      </c>
      <c r="AE113" s="48">
        <f t="shared" si="53"/>
        <v>0</v>
      </c>
      <c r="AF113" s="3">
        <f t="shared" si="67"/>
        <v>0</v>
      </c>
      <c r="AH113" s="4"/>
      <c r="AI113" s="4"/>
      <c r="AN113" s="108">
        <f t="shared" si="55"/>
        <v>0</v>
      </c>
    </row>
    <row r="114" spans="1:40" ht="12.75">
      <c r="A114" s="33">
        <f t="shared" si="61"/>
        <v>84</v>
      </c>
      <c r="B114" s="30">
        <f t="shared" si="62"/>
        <v>12</v>
      </c>
      <c r="C114" s="30">
        <f t="shared" si="60"/>
        <v>20</v>
      </c>
      <c r="D114" s="30">
        <f t="shared" si="63"/>
        <v>2037</v>
      </c>
      <c r="E114" s="133">
        <f t="shared" si="64"/>
        <v>0</v>
      </c>
      <c r="F114" s="1"/>
      <c r="G114" s="133">
        <f t="shared" si="59"/>
        <v>0</v>
      </c>
      <c r="H114" s="133">
        <f t="shared" si="42"/>
        <v>0</v>
      </c>
      <c r="I114" s="30">
        <f t="shared" si="65"/>
        <v>7616</v>
      </c>
      <c r="J114" s="133">
        <f t="shared" si="56"/>
        <v>0</v>
      </c>
      <c r="K114" s="10">
        <f t="shared" si="43"/>
        <v>0</v>
      </c>
      <c r="L114" s="22">
        <f t="shared" si="44"/>
        <v>0</v>
      </c>
      <c r="M114" s="10">
        <f t="shared" si="45"/>
        <v>0</v>
      </c>
      <c r="O114" s="30" t="b">
        <f t="shared" si="46"/>
        <v>1</v>
      </c>
      <c r="P114" s="30" t="b">
        <f t="shared" si="47"/>
        <v>0</v>
      </c>
      <c r="Q114" s="30" t="b">
        <f t="shared" si="48"/>
        <v>0</v>
      </c>
      <c r="R114" s="30">
        <f t="shared" si="49"/>
        <v>0</v>
      </c>
      <c r="S114" s="32">
        <f t="shared" si="57"/>
        <v>50394</v>
      </c>
      <c r="Z114" s="10"/>
      <c r="AA114" s="45">
        <f t="shared" si="50"/>
        <v>50394</v>
      </c>
      <c r="AB114" s="3">
        <f t="shared" si="51"/>
        <v>7616</v>
      </c>
      <c r="AC114" s="3">
        <f t="shared" si="66"/>
        <v>21.155555555555555</v>
      </c>
      <c r="AD114" s="3">
        <f t="shared" si="58"/>
        <v>21.166666666666664</v>
      </c>
      <c r="AE114" s="48">
        <f t="shared" si="53"/>
        <v>0</v>
      </c>
      <c r="AF114" s="3">
        <f t="shared" si="67"/>
        <v>0</v>
      </c>
      <c r="AH114" s="4"/>
      <c r="AI114" s="4"/>
      <c r="AN114" s="108">
        <f t="shared" si="55"/>
        <v>0</v>
      </c>
    </row>
    <row r="115" spans="1:40" ht="12.75">
      <c r="A115" s="33">
        <f t="shared" si="61"/>
        <v>85</v>
      </c>
      <c r="B115" s="30">
        <f t="shared" si="62"/>
        <v>3</v>
      </c>
      <c r="C115" s="30">
        <f t="shared" si="60"/>
        <v>20</v>
      </c>
      <c r="D115" s="30">
        <f t="shared" si="63"/>
        <v>2038</v>
      </c>
      <c r="E115" s="133">
        <f t="shared" si="64"/>
        <v>0</v>
      </c>
      <c r="F115" s="1"/>
      <c r="G115" s="133">
        <f t="shared" si="59"/>
        <v>0</v>
      </c>
      <c r="H115" s="133">
        <f t="shared" si="42"/>
        <v>0</v>
      </c>
      <c r="I115" s="30">
        <f t="shared" si="65"/>
        <v>7706</v>
      </c>
      <c r="J115" s="133">
        <f t="shared" si="56"/>
        <v>0</v>
      </c>
      <c r="K115" s="10">
        <f t="shared" si="43"/>
        <v>0</v>
      </c>
      <c r="L115" s="22">
        <f t="shared" si="44"/>
        <v>0</v>
      </c>
      <c r="M115" s="10">
        <f t="shared" si="45"/>
        <v>0</v>
      </c>
      <c r="O115" s="30" t="b">
        <f t="shared" si="46"/>
        <v>1</v>
      </c>
      <c r="P115" s="30" t="b">
        <f t="shared" si="47"/>
        <v>0</v>
      </c>
      <c r="Q115" s="30" t="b">
        <f t="shared" si="48"/>
        <v>0</v>
      </c>
      <c r="R115" s="30">
        <f t="shared" si="49"/>
        <v>0</v>
      </c>
      <c r="S115" s="32">
        <f t="shared" si="57"/>
        <v>50484</v>
      </c>
      <c r="Z115" s="10"/>
      <c r="AA115" s="45">
        <f t="shared" si="50"/>
        <v>50484</v>
      </c>
      <c r="AB115" s="3">
        <f t="shared" si="51"/>
        <v>7706</v>
      </c>
      <c r="AC115" s="3">
        <f t="shared" si="66"/>
        <v>21.405555555555555</v>
      </c>
      <c r="AD115" s="3">
        <f t="shared" si="58"/>
        <v>21.416666666666664</v>
      </c>
      <c r="AE115" s="48">
        <f t="shared" si="53"/>
        <v>0</v>
      </c>
      <c r="AF115" s="3">
        <f t="shared" si="67"/>
        <v>0</v>
      </c>
      <c r="AH115" s="4"/>
      <c r="AI115" s="4"/>
      <c r="AN115" s="108">
        <f t="shared" si="55"/>
        <v>0</v>
      </c>
    </row>
    <row r="116" spans="1:40" ht="12.75">
      <c r="A116" s="33">
        <f t="shared" si="61"/>
        <v>86</v>
      </c>
      <c r="B116" s="30">
        <f t="shared" si="62"/>
        <v>6</v>
      </c>
      <c r="C116" s="30">
        <f t="shared" si="60"/>
        <v>20</v>
      </c>
      <c r="D116" s="30">
        <f t="shared" si="63"/>
        <v>2038</v>
      </c>
      <c r="E116" s="133">
        <f t="shared" si="64"/>
        <v>0</v>
      </c>
      <c r="F116" s="1"/>
      <c r="G116" s="133">
        <f t="shared" si="59"/>
        <v>0</v>
      </c>
      <c r="H116" s="133">
        <f t="shared" si="42"/>
        <v>0</v>
      </c>
      <c r="I116" s="30">
        <f t="shared" si="65"/>
        <v>7796</v>
      </c>
      <c r="J116" s="133">
        <f t="shared" si="56"/>
        <v>0</v>
      </c>
      <c r="K116" s="10">
        <f t="shared" si="43"/>
        <v>0</v>
      </c>
      <c r="L116" s="22">
        <f t="shared" si="44"/>
        <v>0</v>
      </c>
      <c r="M116" s="10">
        <f t="shared" si="45"/>
        <v>0</v>
      </c>
      <c r="O116" s="30" t="b">
        <f t="shared" si="46"/>
        <v>0</v>
      </c>
      <c r="P116" s="30" t="b">
        <f t="shared" si="47"/>
        <v>1</v>
      </c>
      <c r="Q116" s="30" t="b">
        <f t="shared" si="48"/>
        <v>0</v>
      </c>
      <c r="R116" s="30">
        <f t="shared" si="49"/>
        <v>0</v>
      </c>
      <c r="S116" s="32">
        <f t="shared" si="57"/>
        <v>50576</v>
      </c>
      <c r="Z116" s="10"/>
      <c r="AA116" s="45">
        <f t="shared" si="50"/>
        <v>50576</v>
      </c>
      <c r="AB116" s="3">
        <f t="shared" si="51"/>
        <v>7796</v>
      </c>
      <c r="AC116" s="3">
        <f t="shared" si="66"/>
        <v>21.655555555555555</v>
      </c>
      <c r="AD116" s="3">
        <f t="shared" si="58"/>
        <v>21.666666666666664</v>
      </c>
      <c r="AE116" s="48">
        <f t="shared" si="53"/>
        <v>0</v>
      </c>
      <c r="AF116" s="3">
        <f t="shared" si="67"/>
        <v>0</v>
      </c>
      <c r="AH116" s="4"/>
      <c r="AI116" s="4"/>
      <c r="AN116" s="108">
        <f t="shared" si="55"/>
        <v>0</v>
      </c>
    </row>
    <row r="117" spans="1:40" ht="12.75">
      <c r="A117" s="33">
        <f t="shared" si="61"/>
        <v>87</v>
      </c>
      <c r="B117" s="30">
        <f t="shared" si="62"/>
        <v>9</v>
      </c>
      <c r="C117" s="30">
        <f t="shared" si="60"/>
        <v>20</v>
      </c>
      <c r="D117" s="30">
        <f t="shared" si="63"/>
        <v>2038</v>
      </c>
      <c r="E117" s="133">
        <f t="shared" si="64"/>
        <v>0</v>
      </c>
      <c r="F117" s="1"/>
      <c r="G117" s="133">
        <f t="shared" si="59"/>
        <v>0</v>
      </c>
      <c r="H117" s="133">
        <f t="shared" si="42"/>
        <v>0</v>
      </c>
      <c r="I117" s="30">
        <f t="shared" si="65"/>
        <v>7886</v>
      </c>
      <c r="J117" s="133">
        <f t="shared" si="56"/>
        <v>0</v>
      </c>
      <c r="K117" s="10">
        <f t="shared" si="43"/>
        <v>0</v>
      </c>
      <c r="L117" s="22">
        <f t="shared" si="44"/>
        <v>0</v>
      </c>
      <c r="M117" s="10">
        <f t="shared" si="45"/>
        <v>0</v>
      </c>
      <c r="O117" s="30" t="b">
        <f t="shared" si="46"/>
        <v>0</v>
      </c>
      <c r="P117" s="30" t="b">
        <f t="shared" si="47"/>
        <v>1</v>
      </c>
      <c r="Q117" s="30" t="b">
        <f t="shared" si="48"/>
        <v>0</v>
      </c>
      <c r="R117" s="30">
        <f t="shared" si="49"/>
        <v>0</v>
      </c>
      <c r="S117" s="32">
        <f t="shared" si="57"/>
        <v>50668</v>
      </c>
      <c r="Z117" s="10"/>
      <c r="AA117" s="45">
        <f t="shared" si="50"/>
        <v>50668</v>
      </c>
      <c r="AB117" s="3">
        <f t="shared" si="51"/>
        <v>7886</v>
      </c>
      <c r="AC117" s="3">
        <f t="shared" si="66"/>
        <v>21.905555555555555</v>
      </c>
      <c r="AD117" s="3">
        <f t="shared" si="58"/>
        <v>21.916666666666664</v>
      </c>
      <c r="AE117" s="48">
        <f t="shared" si="53"/>
        <v>0</v>
      </c>
      <c r="AF117" s="3">
        <f t="shared" si="67"/>
        <v>0</v>
      </c>
      <c r="AH117" s="4"/>
      <c r="AI117" s="4"/>
      <c r="AN117" s="108">
        <f t="shared" si="55"/>
        <v>0</v>
      </c>
    </row>
    <row r="118" spans="1:40" ht="12.75">
      <c r="A118" s="33">
        <f t="shared" si="61"/>
        <v>88</v>
      </c>
      <c r="B118" s="30">
        <f t="shared" si="62"/>
        <v>12</v>
      </c>
      <c r="C118" s="30">
        <f t="shared" si="60"/>
        <v>20</v>
      </c>
      <c r="D118" s="30">
        <f t="shared" si="63"/>
        <v>2038</v>
      </c>
      <c r="E118" s="133">
        <f t="shared" si="64"/>
        <v>0</v>
      </c>
      <c r="F118" s="1"/>
      <c r="G118" s="133">
        <f t="shared" si="59"/>
        <v>0</v>
      </c>
      <c r="H118" s="133">
        <f t="shared" si="42"/>
        <v>0</v>
      </c>
      <c r="I118" s="30">
        <f t="shared" si="65"/>
        <v>7976</v>
      </c>
      <c r="J118" s="133">
        <f t="shared" si="56"/>
        <v>0</v>
      </c>
      <c r="K118" s="10">
        <f t="shared" si="43"/>
        <v>0</v>
      </c>
      <c r="L118" s="22">
        <f t="shared" si="44"/>
        <v>0</v>
      </c>
      <c r="M118" s="10">
        <f t="shared" si="45"/>
        <v>0</v>
      </c>
      <c r="O118" s="30" t="b">
        <f t="shared" si="46"/>
        <v>1</v>
      </c>
      <c r="P118" s="30" t="b">
        <f t="shared" si="47"/>
        <v>0</v>
      </c>
      <c r="Q118" s="30" t="b">
        <f t="shared" si="48"/>
        <v>0</v>
      </c>
      <c r="R118" s="30">
        <f t="shared" si="49"/>
        <v>0</v>
      </c>
      <c r="S118" s="32">
        <f t="shared" si="57"/>
        <v>50759</v>
      </c>
      <c r="Z118" s="10"/>
      <c r="AA118" s="45">
        <f t="shared" si="50"/>
        <v>50759</v>
      </c>
      <c r="AB118" s="3">
        <f t="shared" si="51"/>
        <v>7976</v>
      </c>
      <c r="AC118" s="3">
        <f t="shared" si="66"/>
        <v>22.155555555555555</v>
      </c>
      <c r="AD118" s="3">
        <f t="shared" si="58"/>
        <v>22.166666666666664</v>
      </c>
      <c r="AE118" s="48">
        <f t="shared" si="53"/>
        <v>0</v>
      </c>
      <c r="AF118" s="3">
        <f t="shared" si="67"/>
        <v>0</v>
      </c>
      <c r="AH118" s="4"/>
      <c r="AI118" s="4"/>
      <c r="AN118" s="108">
        <f t="shared" si="55"/>
        <v>0</v>
      </c>
    </row>
    <row r="119" spans="1:40" ht="12.75">
      <c r="A119" s="33">
        <f aca="true" t="shared" si="68" ref="A119:A134">A118+1</f>
        <v>89</v>
      </c>
      <c r="B119" s="30">
        <f aca="true" t="shared" si="69" ref="B119:B134">IF(F$14=12,MOD(B118,12)+1,IF(F$14=4,IF(AND(MOD(B118,12)+3&gt;12,B118=11),2,IF(MOD(B118,12)+3&gt;12,1,MOD(B118,12)+3)),IF(F$14=2,IF((B118+6)&gt;12,(B118+6)-12,MOD(B118,12)+6),+B118)))</f>
        <v>3</v>
      </c>
      <c r="C119" s="30">
        <f t="shared" si="60"/>
        <v>20</v>
      </c>
      <c r="D119" s="30">
        <f aca="true" t="shared" si="70" ref="D119:D134">IF(F$14=1,D118+1,IF(AND(F$14=2,B119&lt;B118),D118+1,IF(AND(F$14=4,B119&lt;B118),D118+1,IF(OR(B119=1,B118=12),D118+1,D118))))</f>
        <v>2039</v>
      </c>
      <c r="E119" s="133">
        <f aca="true" t="shared" si="71" ref="E119:E134">ROUND(IF((+E118-F119)&lt;=-1,#VALUE!,E118-F119),2)</f>
        <v>0</v>
      </c>
      <c r="F119" s="1"/>
      <c r="G119" s="133">
        <f t="shared" si="59"/>
        <v>0</v>
      </c>
      <c r="H119" s="133">
        <f t="shared" si="42"/>
        <v>0</v>
      </c>
      <c r="I119" s="30">
        <f aca="true" t="shared" si="72" ref="I119:I134">I118+(360/$F$14)</f>
        <v>8066</v>
      </c>
      <c r="J119" s="133">
        <f t="shared" si="56"/>
        <v>0</v>
      </c>
      <c r="K119" s="10">
        <f t="shared" si="43"/>
        <v>0</v>
      </c>
      <c r="L119" s="22">
        <f t="shared" si="44"/>
        <v>0</v>
      </c>
      <c r="M119" s="10">
        <f t="shared" si="45"/>
        <v>0</v>
      </c>
      <c r="O119" s="30" t="b">
        <f t="shared" si="46"/>
        <v>1</v>
      </c>
      <c r="P119" s="30" t="b">
        <f t="shared" si="47"/>
        <v>0</v>
      </c>
      <c r="Q119" s="30" t="b">
        <f t="shared" si="48"/>
        <v>0</v>
      </c>
      <c r="R119" s="30">
        <f t="shared" si="49"/>
        <v>0</v>
      </c>
      <c r="S119" s="32">
        <f t="shared" si="57"/>
        <v>50849</v>
      </c>
      <c r="Z119" s="10"/>
      <c r="AA119" s="45">
        <f t="shared" si="50"/>
        <v>50849</v>
      </c>
      <c r="AB119" s="3">
        <f t="shared" si="51"/>
        <v>8066</v>
      </c>
      <c r="AC119" s="3">
        <f t="shared" si="66"/>
        <v>22.405555555555555</v>
      </c>
      <c r="AD119" s="3">
        <f t="shared" si="58"/>
        <v>22.416666666666664</v>
      </c>
      <c r="AE119" s="48">
        <f t="shared" si="53"/>
        <v>0</v>
      </c>
      <c r="AF119" s="3">
        <f t="shared" si="67"/>
        <v>0</v>
      </c>
      <c r="AH119" s="4"/>
      <c r="AI119" s="4"/>
      <c r="AN119" s="108">
        <f t="shared" si="55"/>
        <v>0</v>
      </c>
    </row>
    <row r="120" spans="1:40" ht="12.75">
      <c r="A120" s="33">
        <f t="shared" si="68"/>
        <v>90</v>
      </c>
      <c r="B120" s="30">
        <f t="shared" si="69"/>
        <v>6</v>
      </c>
      <c r="C120" s="30">
        <f t="shared" si="60"/>
        <v>20</v>
      </c>
      <c r="D120" s="30">
        <f t="shared" si="70"/>
        <v>2039</v>
      </c>
      <c r="E120" s="133">
        <f t="shared" si="71"/>
        <v>0</v>
      </c>
      <c r="F120" s="1"/>
      <c r="G120" s="133">
        <f t="shared" si="59"/>
        <v>0</v>
      </c>
      <c r="H120" s="133">
        <f t="shared" si="42"/>
        <v>0</v>
      </c>
      <c r="I120" s="30">
        <f t="shared" si="72"/>
        <v>8156</v>
      </c>
      <c r="J120" s="133">
        <f t="shared" si="56"/>
        <v>0</v>
      </c>
      <c r="K120" s="10">
        <f t="shared" si="43"/>
        <v>0</v>
      </c>
      <c r="L120" s="22">
        <f t="shared" si="44"/>
        <v>0</v>
      </c>
      <c r="M120" s="10">
        <f t="shared" si="45"/>
        <v>0</v>
      </c>
      <c r="O120" s="30" t="b">
        <f t="shared" si="46"/>
        <v>0</v>
      </c>
      <c r="P120" s="30" t="b">
        <f t="shared" si="47"/>
        <v>1</v>
      </c>
      <c r="Q120" s="30" t="b">
        <f t="shared" si="48"/>
        <v>0</v>
      </c>
      <c r="R120" s="30">
        <f t="shared" si="49"/>
        <v>0</v>
      </c>
      <c r="S120" s="32">
        <f t="shared" si="57"/>
        <v>50941</v>
      </c>
      <c r="Z120" s="10"/>
      <c r="AA120" s="45">
        <f t="shared" si="50"/>
        <v>50941</v>
      </c>
      <c r="AB120" s="3">
        <f t="shared" si="51"/>
        <v>8156</v>
      </c>
      <c r="AC120" s="3">
        <f t="shared" si="66"/>
        <v>22.655555555555555</v>
      </c>
      <c r="AD120" s="3">
        <f t="shared" si="58"/>
        <v>22.666666666666664</v>
      </c>
      <c r="AE120" s="48">
        <f t="shared" si="53"/>
        <v>0</v>
      </c>
      <c r="AF120" s="3">
        <f t="shared" si="67"/>
        <v>0</v>
      </c>
      <c r="AH120" s="4"/>
      <c r="AI120" s="4"/>
      <c r="AN120" s="108">
        <f t="shared" si="55"/>
        <v>0</v>
      </c>
    </row>
    <row r="121" spans="1:40" ht="12.75">
      <c r="A121" s="33">
        <f t="shared" si="68"/>
        <v>91</v>
      </c>
      <c r="B121" s="30">
        <f t="shared" si="69"/>
        <v>9</v>
      </c>
      <c r="C121" s="30">
        <f t="shared" si="60"/>
        <v>20</v>
      </c>
      <c r="D121" s="30">
        <f t="shared" si="70"/>
        <v>2039</v>
      </c>
      <c r="E121" s="133">
        <f t="shared" si="71"/>
        <v>0</v>
      </c>
      <c r="F121" s="1"/>
      <c r="G121" s="133">
        <f t="shared" si="59"/>
        <v>0</v>
      </c>
      <c r="H121" s="133">
        <f t="shared" si="42"/>
        <v>0</v>
      </c>
      <c r="I121" s="30">
        <f t="shared" si="72"/>
        <v>8246</v>
      </c>
      <c r="J121" s="133">
        <f t="shared" si="56"/>
        <v>0</v>
      </c>
      <c r="K121" s="10">
        <f t="shared" si="43"/>
        <v>0</v>
      </c>
      <c r="L121" s="22">
        <f t="shared" si="44"/>
        <v>0</v>
      </c>
      <c r="M121" s="10">
        <f t="shared" si="45"/>
        <v>0</v>
      </c>
      <c r="O121" s="30" t="b">
        <f t="shared" si="46"/>
        <v>0</v>
      </c>
      <c r="P121" s="30" t="b">
        <f t="shared" si="47"/>
        <v>1</v>
      </c>
      <c r="Q121" s="30" t="b">
        <f t="shared" si="48"/>
        <v>0</v>
      </c>
      <c r="R121" s="30">
        <f t="shared" si="49"/>
        <v>0</v>
      </c>
      <c r="S121" s="32">
        <f t="shared" si="57"/>
        <v>51033</v>
      </c>
      <c r="Z121" s="10"/>
      <c r="AA121" s="45">
        <f t="shared" si="50"/>
        <v>51033</v>
      </c>
      <c r="AB121" s="3">
        <f t="shared" si="51"/>
        <v>8246</v>
      </c>
      <c r="AC121" s="3">
        <f t="shared" si="66"/>
        <v>22.905555555555555</v>
      </c>
      <c r="AD121" s="3">
        <f t="shared" si="58"/>
        <v>22.916666666666664</v>
      </c>
      <c r="AE121" s="48">
        <f t="shared" si="53"/>
        <v>0</v>
      </c>
      <c r="AF121" s="3">
        <f t="shared" si="67"/>
        <v>0</v>
      </c>
      <c r="AH121" s="4"/>
      <c r="AI121" s="4"/>
      <c r="AN121" s="108">
        <f t="shared" si="55"/>
        <v>0</v>
      </c>
    </row>
    <row r="122" spans="1:40" ht="12.75">
      <c r="A122" s="33">
        <f t="shared" si="68"/>
        <v>92</v>
      </c>
      <c r="B122" s="30">
        <f t="shared" si="69"/>
        <v>12</v>
      </c>
      <c r="C122" s="30">
        <f t="shared" si="60"/>
        <v>20</v>
      </c>
      <c r="D122" s="30">
        <f t="shared" si="70"/>
        <v>2039</v>
      </c>
      <c r="E122" s="133">
        <f t="shared" si="71"/>
        <v>0</v>
      </c>
      <c r="F122" s="1"/>
      <c r="G122" s="133">
        <f t="shared" si="59"/>
        <v>0</v>
      </c>
      <c r="H122" s="133">
        <f t="shared" si="42"/>
        <v>0</v>
      </c>
      <c r="I122" s="30">
        <f t="shared" si="72"/>
        <v>8336</v>
      </c>
      <c r="J122" s="133">
        <f t="shared" si="56"/>
        <v>0</v>
      </c>
      <c r="K122" s="10">
        <f t="shared" si="43"/>
        <v>0</v>
      </c>
      <c r="L122" s="22">
        <f t="shared" si="44"/>
        <v>0</v>
      </c>
      <c r="M122" s="10">
        <f t="shared" si="45"/>
        <v>0</v>
      </c>
      <c r="O122" s="30" t="b">
        <f t="shared" si="46"/>
        <v>1</v>
      </c>
      <c r="P122" s="30" t="b">
        <f t="shared" si="47"/>
        <v>0</v>
      </c>
      <c r="Q122" s="30" t="b">
        <f t="shared" si="48"/>
        <v>0</v>
      </c>
      <c r="R122" s="30">
        <f t="shared" si="49"/>
        <v>0</v>
      </c>
      <c r="S122" s="32">
        <f t="shared" si="57"/>
        <v>51124</v>
      </c>
      <c r="Z122" s="10"/>
      <c r="AA122" s="45">
        <f t="shared" si="50"/>
        <v>51124</v>
      </c>
      <c r="AB122" s="3">
        <f t="shared" si="51"/>
        <v>8336</v>
      </c>
      <c r="AC122" s="3">
        <f t="shared" si="66"/>
        <v>23.155555555555555</v>
      </c>
      <c r="AD122" s="3">
        <f t="shared" si="58"/>
        <v>23.166666666666664</v>
      </c>
      <c r="AE122" s="48">
        <f t="shared" si="53"/>
        <v>0</v>
      </c>
      <c r="AF122" s="3">
        <f t="shared" si="67"/>
        <v>0</v>
      </c>
      <c r="AH122" s="4"/>
      <c r="AI122" s="4"/>
      <c r="AN122" s="108">
        <f t="shared" si="55"/>
        <v>0</v>
      </c>
    </row>
    <row r="123" spans="1:40" ht="12.75">
      <c r="A123" s="33">
        <f t="shared" si="68"/>
        <v>93</v>
      </c>
      <c r="B123" s="30">
        <f t="shared" si="69"/>
        <v>3</v>
      </c>
      <c r="C123" s="30">
        <f t="shared" si="60"/>
        <v>20</v>
      </c>
      <c r="D123" s="30">
        <f t="shared" si="70"/>
        <v>2040</v>
      </c>
      <c r="E123" s="133">
        <f t="shared" si="71"/>
        <v>0</v>
      </c>
      <c r="F123" s="1"/>
      <c r="G123" s="133">
        <f t="shared" si="59"/>
        <v>0</v>
      </c>
      <c r="H123" s="133">
        <f t="shared" si="42"/>
        <v>0</v>
      </c>
      <c r="I123" s="30">
        <f t="shared" si="72"/>
        <v>8426</v>
      </c>
      <c r="J123" s="133">
        <f t="shared" si="56"/>
        <v>0</v>
      </c>
      <c r="K123" s="10">
        <f t="shared" si="43"/>
        <v>0</v>
      </c>
      <c r="L123" s="22">
        <f t="shared" si="44"/>
        <v>0</v>
      </c>
      <c r="M123" s="10">
        <f t="shared" si="45"/>
        <v>0</v>
      </c>
      <c r="O123" s="30" t="b">
        <f t="shared" si="46"/>
        <v>1</v>
      </c>
      <c r="P123" s="30" t="b">
        <f t="shared" si="47"/>
        <v>0</v>
      </c>
      <c r="Q123" s="30" t="b">
        <f t="shared" si="48"/>
        <v>0</v>
      </c>
      <c r="R123" s="30">
        <f t="shared" si="49"/>
        <v>0</v>
      </c>
      <c r="S123" s="32">
        <f t="shared" si="57"/>
        <v>51215</v>
      </c>
      <c r="Z123" s="10"/>
      <c r="AA123" s="45">
        <f t="shared" si="50"/>
        <v>51215</v>
      </c>
      <c r="AB123" s="3">
        <f t="shared" si="51"/>
        <v>8426</v>
      </c>
      <c r="AC123" s="3">
        <f t="shared" si="66"/>
        <v>23.405555555555555</v>
      </c>
      <c r="AD123" s="3">
        <f t="shared" si="58"/>
        <v>23.416666666666664</v>
      </c>
      <c r="AE123" s="48">
        <f t="shared" si="53"/>
        <v>0</v>
      </c>
      <c r="AF123" s="3">
        <f t="shared" si="67"/>
        <v>0</v>
      </c>
      <c r="AH123" s="4"/>
      <c r="AI123" s="4"/>
      <c r="AN123" s="108">
        <f t="shared" si="55"/>
        <v>0</v>
      </c>
    </row>
    <row r="124" spans="1:40" ht="12.75">
      <c r="A124" s="33">
        <f t="shared" si="68"/>
        <v>94</v>
      </c>
      <c r="B124" s="30">
        <f t="shared" si="69"/>
        <v>6</v>
      </c>
      <c r="C124" s="30">
        <f t="shared" si="60"/>
        <v>20</v>
      </c>
      <c r="D124" s="30">
        <f t="shared" si="70"/>
        <v>2040</v>
      </c>
      <c r="E124" s="133">
        <f t="shared" si="71"/>
        <v>0</v>
      </c>
      <c r="F124" s="1"/>
      <c r="G124" s="133">
        <f t="shared" si="59"/>
        <v>0</v>
      </c>
      <c r="H124" s="133">
        <f t="shared" si="42"/>
        <v>0</v>
      </c>
      <c r="I124" s="30">
        <f t="shared" si="72"/>
        <v>8516</v>
      </c>
      <c r="J124" s="133">
        <f t="shared" si="56"/>
        <v>0</v>
      </c>
      <c r="K124" s="10">
        <f t="shared" si="43"/>
        <v>0</v>
      </c>
      <c r="L124" s="22">
        <f t="shared" si="44"/>
        <v>0</v>
      </c>
      <c r="M124" s="10">
        <f t="shared" si="45"/>
        <v>0</v>
      </c>
      <c r="O124" s="30" t="b">
        <f t="shared" si="46"/>
        <v>0</v>
      </c>
      <c r="P124" s="30" t="b">
        <f t="shared" si="47"/>
        <v>1</v>
      </c>
      <c r="Q124" s="30" t="b">
        <f t="shared" si="48"/>
        <v>0</v>
      </c>
      <c r="R124" s="30">
        <f t="shared" si="49"/>
        <v>0</v>
      </c>
      <c r="S124" s="32">
        <f t="shared" si="57"/>
        <v>51307</v>
      </c>
      <c r="Z124" s="10"/>
      <c r="AA124" s="45">
        <f t="shared" si="50"/>
        <v>51307</v>
      </c>
      <c r="AB124" s="3">
        <f t="shared" si="51"/>
        <v>8516</v>
      </c>
      <c r="AC124" s="3">
        <f t="shared" si="66"/>
        <v>23.655555555555555</v>
      </c>
      <c r="AD124" s="3">
        <f t="shared" si="58"/>
        <v>23.666666666666664</v>
      </c>
      <c r="AE124" s="48">
        <f t="shared" si="53"/>
        <v>0</v>
      </c>
      <c r="AF124" s="3">
        <f t="shared" si="67"/>
        <v>0</v>
      </c>
      <c r="AH124" s="4"/>
      <c r="AI124" s="4"/>
      <c r="AN124" s="108">
        <f t="shared" si="55"/>
        <v>0</v>
      </c>
    </row>
    <row r="125" spans="1:40" ht="12.75">
      <c r="A125" s="33">
        <f t="shared" si="68"/>
        <v>95</v>
      </c>
      <c r="B125" s="30">
        <f t="shared" si="69"/>
        <v>9</v>
      </c>
      <c r="C125" s="30">
        <f t="shared" si="60"/>
        <v>20</v>
      </c>
      <c r="D125" s="30">
        <f t="shared" si="70"/>
        <v>2040</v>
      </c>
      <c r="E125" s="133">
        <f t="shared" si="71"/>
        <v>0</v>
      </c>
      <c r="F125" s="1"/>
      <c r="G125" s="133">
        <f t="shared" si="59"/>
        <v>0</v>
      </c>
      <c r="H125" s="133">
        <f t="shared" si="42"/>
        <v>0</v>
      </c>
      <c r="I125" s="30">
        <f t="shared" si="72"/>
        <v>8606</v>
      </c>
      <c r="J125" s="133">
        <f t="shared" si="56"/>
        <v>0</v>
      </c>
      <c r="K125" s="10">
        <f t="shared" si="43"/>
        <v>0</v>
      </c>
      <c r="L125" s="22">
        <f t="shared" si="44"/>
        <v>0</v>
      </c>
      <c r="M125" s="10">
        <f t="shared" si="45"/>
        <v>0</v>
      </c>
      <c r="O125" s="30" t="b">
        <f t="shared" si="46"/>
        <v>0</v>
      </c>
      <c r="P125" s="30" t="b">
        <f t="shared" si="47"/>
        <v>1</v>
      </c>
      <c r="Q125" s="30" t="b">
        <f t="shared" si="48"/>
        <v>0</v>
      </c>
      <c r="R125" s="30">
        <f t="shared" si="49"/>
        <v>0</v>
      </c>
      <c r="S125" s="32">
        <f t="shared" si="57"/>
        <v>51399</v>
      </c>
      <c r="Z125" s="10"/>
      <c r="AA125" s="45">
        <f t="shared" si="50"/>
        <v>51399</v>
      </c>
      <c r="AB125" s="3">
        <f t="shared" si="51"/>
        <v>8606</v>
      </c>
      <c r="AC125" s="3">
        <f t="shared" si="66"/>
        <v>23.905555555555555</v>
      </c>
      <c r="AD125" s="3">
        <f t="shared" si="58"/>
        <v>23.916666666666664</v>
      </c>
      <c r="AE125" s="48">
        <f t="shared" si="53"/>
        <v>0</v>
      </c>
      <c r="AF125" s="3">
        <f t="shared" si="67"/>
        <v>0</v>
      </c>
      <c r="AH125" s="4"/>
      <c r="AI125" s="4"/>
      <c r="AN125" s="108">
        <f t="shared" si="55"/>
        <v>0</v>
      </c>
    </row>
    <row r="126" spans="1:40" ht="12.75">
      <c r="A126" s="33">
        <f t="shared" si="68"/>
        <v>96</v>
      </c>
      <c r="B126" s="30">
        <f t="shared" si="69"/>
        <v>12</v>
      </c>
      <c r="C126" s="30">
        <f t="shared" si="60"/>
        <v>20</v>
      </c>
      <c r="D126" s="30">
        <f t="shared" si="70"/>
        <v>2040</v>
      </c>
      <c r="E126" s="133">
        <f t="shared" si="71"/>
        <v>0</v>
      </c>
      <c r="F126" s="1"/>
      <c r="G126" s="133">
        <f t="shared" si="59"/>
        <v>0</v>
      </c>
      <c r="H126" s="133">
        <f t="shared" si="42"/>
        <v>0</v>
      </c>
      <c r="I126" s="30">
        <f t="shared" si="72"/>
        <v>8696</v>
      </c>
      <c r="J126" s="133">
        <f t="shared" si="56"/>
        <v>0</v>
      </c>
      <c r="K126" s="10">
        <f t="shared" si="43"/>
        <v>0</v>
      </c>
      <c r="L126" s="22">
        <f t="shared" si="44"/>
        <v>0</v>
      </c>
      <c r="M126" s="10">
        <f t="shared" si="45"/>
        <v>0</v>
      </c>
      <c r="O126" s="30" t="b">
        <f t="shared" si="46"/>
        <v>1</v>
      </c>
      <c r="P126" s="30" t="b">
        <f t="shared" si="47"/>
        <v>0</v>
      </c>
      <c r="Q126" s="30" t="b">
        <f t="shared" si="48"/>
        <v>0</v>
      </c>
      <c r="R126" s="30">
        <f t="shared" si="49"/>
        <v>0</v>
      </c>
      <c r="S126" s="32">
        <f t="shared" si="57"/>
        <v>51490</v>
      </c>
      <c r="Z126" s="10"/>
      <c r="AA126" s="45">
        <f t="shared" si="50"/>
        <v>51490</v>
      </c>
      <c r="AB126" s="3">
        <f t="shared" si="51"/>
        <v>8696</v>
      </c>
      <c r="AC126" s="3">
        <f aca="true" t="shared" si="73" ref="AC126:AC141">AB126/360</f>
        <v>24.155555555555555</v>
      </c>
      <c r="AD126" s="3">
        <f t="shared" si="58"/>
        <v>24.166666666666664</v>
      </c>
      <c r="AE126" s="48">
        <f t="shared" si="53"/>
        <v>0</v>
      </c>
      <c r="AF126" s="3">
        <f aca="true" t="shared" si="74" ref="AF126:AF141">AE126*AD126</f>
        <v>0</v>
      </c>
      <c r="AH126" s="4"/>
      <c r="AI126" s="4"/>
      <c r="AN126" s="108">
        <f t="shared" si="55"/>
        <v>0</v>
      </c>
    </row>
    <row r="127" spans="1:40" ht="12.75">
      <c r="A127" s="33">
        <f t="shared" si="68"/>
        <v>97</v>
      </c>
      <c r="B127" s="30">
        <f t="shared" si="69"/>
        <v>3</v>
      </c>
      <c r="C127" s="30">
        <f t="shared" si="60"/>
        <v>20</v>
      </c>
      <c r="D127" s="30">
        <f t="shared" si="70"/>
        <v>2041</v>
      </c>
      <c r="E127" s="133">
        <f t="shared" si="71"/>
        <v>0</v>
      </c>
      <c r="F127" s="1"/>
      <c r="G127" s="133">
        <f t="shared" si="59"/>
        <v>0</v>
      </c>
      <c r="H127" s="133">
        <f t="shared" si="42"/>
        <v>0</v>
      </c>
      <c r="I127" s="30">
        <f t="shared" si="72"/>
        <v>8786</v>
      </c>
      <c r="J127" s="133">
        <f t="shared" si="56"/>
        <v>0</v>
      </c>
      <c r="K127" s="10">
        <f t="shared" si="43"/>
        <v>0</v>
      </c>
      <c r="L127" s="22">
        <f t="shared" si="44"/>
        <v>0</v>
      </c>
      <c r="M127" s="10">
        <f t="shared" si="45"/>
        <v>0</v>
      </c>
      <c r="O127" s="30" t="b">
        <f t="shared" si="46"/>
        <v>1</v>
      </c>
      <c r="P127" s="30" t="b">
        <f t="shared" si="47"/>
        <v>0</v>
      </c>
      <c r="Q127" s="30" t="b">
        <f t="shared" si="48"/>
        <v>0</v>
      </c>
      <c r="R127" s="30">
        <f t="shared" si="49"/>
        <v>0</v>
      </c>
      <c r="S127" s="32">
        <f t="shared" si="57"/>
        <v>51580</v>
      </c>
      <c r="Z127" s="10"/>
      <c r="AA127" s="45">
        <f t="shared" si="50"/>
        <v>51580</v>
      </c>
      <c r="AB127" s="3">
        <f t="shared" si="51"/>
        <v>8786</v>
      </c>
      <c r="AC127" s="3">
        <f t="shared" si="73"/>
        <v>24.405555555555555</v>
      </c>
      <c r="AD127" s="3">
        <f t="shared" si="58"/>
        <v>24.416666666666664</v>
      </c>
      <c r="AE127" s="48">
        <f t="shared" si="53"/>
        <v>0</v>
      </c>
      <c r="AF127" s="3">
        <f t="shared" si="74"/>
        <v>0</v>
      </c>
      <c r="AH127" s="4"/>
      <c r="AI127" s="4"/>
      <c r="AN127" s="108">
        <f t="shared" si="55"/>
        <v>0</v>
      </c>
    </row>
    <row r="128" spans="1:40" ht="12.75">
      <c r="A128" s="33">
        <f t="shared" si="68"/>
        <v>98</v>
      </c>
      <c r="B128" s="30">
        <f t="shared" si="69"/>
        <v>6</v>
      </c>
      <c r="C128" s="30">
        <f t="shared" si="60"/>
        <v>20</v>
      </c>
      <c r="D128" s="30">
        <f t="shared" si="70"/>
        <v>2041</v>
      </c>
      <c r="E128" s="133">
        <f t="shared" si="71"/>
        <v>0</v>
      </c>
      <c r="F128" s="1"/>
      <c r="G128" s="133">
        <f t="shared" si="59"/>
        <v>0</v>
      </c>
      <c r="H128" s="133">
        <f t="shared" si="42"/>
        <v>0</v>
      </c>
      <c r="I128" s="30">
        <f t="shared" si="72"/>
        <v>8876</v>
      </c>
      <c r="J128" s="133">
        <f t="shared" si="56"/>
        <v>0</v>
      </c>
      <c r="K128" s="10">
        <f t="shared" si="43"/>
        <v>0</v>
      </c>
      <c r="L128" s="22">
        <f t="shared" si="44"/>
        <v>0</v>
      </c>
      <c r="M128" s="10">
        <f t="shared" si="45"/>
        <v>0</v>
      </c>
      <c r="O128" s="30" t="b">
        <f t="shared" si="46"/>
        <v>0</v>
      </c>
      <c r="P128" s="30" t="b">
        <f t="shared" si="47"/>
        <v>1</v>
      </c>
      <c r="Q128" s="30" t="b">
        <f t="shared" si="48"/>
        <v>0</v>
      </c>
      <c r="R128" s="30">
        <f t="shared" si="49"/>
        <v>0</v>
      </c>
      <c r="S128" s="32">
        <f t="shared" si="57"/>
        <v>51672</v>
      </c>
      <c r="Z128" s="10"/>
      <c r="AA128" s="45">
        <f t="shared" si="50"/>
        <v>51672</v>
      </c>
      <c r="AB128" s="3">
        <f t="shared" si="51"/>
        <v>8876</v>
      </c>
      <c r="AC128" s="3">
        <f t="shared" si="73"/>
        <v>24.655555555555555</v>
      </c>
      <c r="AD128" s="3">
        <f t="shared" si="58"/>
        <v>24.666666666666664</v>
      </c>
      <c r="AE128" s="48">
        <f t="shared" si="53"/>
        <v>0</v>
      </c>
      <c r="AF128" s="3">
        <f t="shared" si="74"/>
        <v>0</v>
      </c>
      <c r="AH128" s="4"/>
      <c r="AI128" s="4"/>
      <c r="AN128" s="108">
        <f t="shared" si="55"/>
        <v>0</v>
      </c>
    </row>
    <row r="129" spans="1:40" ht="12.75">
      <c r="A129" s="33">
        <f t="shared" si="68"/>
        <v>99</v>
      </c>
      <c r="B129" s="30">
        <f t="shared" si="69"/>
        <v>9</v>
      </c>
      <c r="C129" s="30">
        <f t="shared" si="60"/>
        <v>20</v>
      </c>
      <c r="D129" s="30">
        <f t="shared" si="70"/>
        <v>2041</v>
      </c>
      <c r="E129" s="133">
        <f t="shared" si="71"/>
        <v>0</v>
      </c>
      <c r="F129" s="1"/>
      <c r="G129" s="133">
        <f t="shared" si="59"/>
        <v>0</v>
      </c>
      <c r="H129" s="133">
        <f t="shared" si="42"/>
        <v>0</v>
      </c>
      <c r="I129" s="30">
        <f t="shared" si="72"/>
        <v>8966</v>
      </c>
      <c r="J129" s="133">
        <f t="shared" si="56"/>
        <v>0</v>
      </c>
      <c r="K129" s="10">
        <f t="shared" si="43"/>
        <v>0</v>
      </c>
      <c r="L129" s="22">
        <f t="shared" si="44"/>
        <v>0</v>
      </c>
      <c r="M129" s="10">
        <f t="shared" si="45"/>
        <v>0</v>
      </c>
      <c r="O129" s="30" t="b">
        <f t="shared" si="46"/>
        <v>0</v>
      </c>
      <c r="P129" s="30" t="b">
        <f t="shared" si="47"/>
        <v>1</v>
      </c>
      <c r="Q129" s="30" t="b">
        <f t="shared" si="48"/>
        <v>0</v>
      </c>
      <c r="R129" s="30">
        <f t="shared" si="49"/>
        <v>0</v>
      </c>
      <c r="S129" s="32">
        <f t="shared" si="57"/>
        <v>51764</v>
      </c>
      <c r="Z129" s="10"/>
      <c r="AA129" s="45">
        <f t="shared" si="50"/>
        <v>51764</v>
      </c>
      <c r="AB129" s="3">
        <f t="shared" si="51"/>
        <v>8966</v>
      </c>
      <c r="AC129" s="3">
        <f t="shared" si="73"/>
        <v>24.905555555555555</v>
      </c>
      <c r="AD129" s="3">
        <f t="shared" si="58"/>
        <v>24.916666666666664</v>
      </c>
      <c r="AE129" s="48">
        <f t="shared" si="53"/>
        <v>0</v>
      </c>
      <c r="AF129" s="3">
        <f t="shared" si="74"/>
        <v>0</v>
      </c>
      <c r="AH129" s="4"/>
      <c r="AI129" s="4"/>
      <c r="AN129" s="108">
        <f t="shared" si="55"/>
        <v>0</v>
      </c>
    </row>
    <row r="130" spans="1:40" ht="12.75">
      <c r="A130" s="33">
        <f t="shared" si="68"/>
        <v>100</v>
      </c>
      <c r="B130" s="30">
        <f t="shared" si="69"/>
        <v>12</v>
      </c>
      <c r="C130" s="30">
        <f t="shared" si="60"/>
        <v>20</v>
      </c>
      <c r="D130" s="30">
        <f t="shared" si="70"/>
        <v>2041</v>
      </c>
      <c r="E130" s="133">
        <f t="shared" si="71"/>
        <v>0</v>
      </c>
      <c r="F130" s="1"/>
      <c r="G130" s="133">
        <f t="shared" si="59"/>
        <v>0</v>
      </c>
      <c r="H130" s="133">
        <f t="shared" si="42"/>
        <v>0</v>
      </c>
      <c r="I130" s="30">
        <f t="shared" si="72"/>
        <v>9056</v>
      </c>
      <c r="J130" s="133">
        <f t="shared" si="56"/>
        <v>0</v>
      </c>
      <c r="K130" s="10">
        <f t="shared" si="43"/>
        <v>0</v>
      </c>
      <c r="L130" s="22">
        <f t="shared" si="44"/>
        <v>0</v>
      </c>
      <c r="M130" s="10">
        <f t="shared" si="45"/>
        <v>0</v>
      </c>
      <c r="O130" s="30" t="b">
        <f t="shared" si="46"/>
        <v>1</v>
      </c>
      <c r="P130" s="30" t="b">
        <f t="shared" si="47"/>
        <v>0</v>
      </c>
      <c r="Q130" s="30" t="b">
        <f t="shared" si="48"/>
        <v>0</v>
      </c>
      <c r="R130" s="30">
        <f t="shared" si="49"/>
        <v>0</v>
      </c>
      <c r="S130" s="32">
        <f t="shared" si="57"/>
        <v>51855</v>
      </c>
      <c r="Z130" s="10"/>
      <c r="AA130" s="45">
        <f t="shared" si="50"/>
        <v>51855</v>
      </c>
      <c r="AB130" s="3">
        <f t="shared" si="51"/>
        <v>9056</v>
      </c>
      <c r="AC130" s="3">
        <f t="shared" si="73"/>
        <v>25.155555555555555</v>
      </c>
      <c r="AD130" s="3">
        <f t="shared" si="58"/>
        <v>25.166666666666664</v>
      </c>
      <c r="AE130" s="48">
        <f t="shared" si="53"/>
        <v>0</v>
      </c>
      <c r="AF130" s="3">
        <f t="shared" si="74"/>
        <v>0</v>
      </c>
      <c r="AH130" s="4"/>
      <c r="AI130" s="4"/>
      <c r="AN130" s="108">
        <f t="shared" si="55"/>
        <v>0</v>
      </c>
    </row>
    <row r="131" spans="1:40" ht="12.75">
      <c r="A131" s="33">
        <f t="shared" si="68"/>
        <v>101</v>
      </c>
      <c r="B131" s="30">
        <f t="shared" si="69"/>
        <v>3</v>
      </c>
      <c r="C131" s="30">
        <f t="shared" si="60"/>
        <v>20</v>
      </c>
      <c r="D131" s="30">
        <f t="shared" si="70"/>
        <v>2042</v>
      </c>
      <c r="E131" s="133">
        <f t="shared" si="71"/>
        <v>0</v>
      </c>
      <c r="F131" s="1"/>
      <c r="G131" s="133">
        <f t="shared" si="59"/>
        <v>0</v>
      </c>
      <c r="H131" s="133">
        <f t="shared" si="42"/>
        <v>0</v>
      </c>
      <c r="I131" s="30">
        <f t="shared" si="72"/>
        <v>9146</v>
      </c>
      <c r="J131" s="133">
        <f t="shared" si="56"/>
        <v>0</v>
      </c>
      <c r="K131" s="10">
        <f t="shared" si="43"/>
        <v>0</v>
      </c>
      <c r="L131" s="22">
        <f t="shared" si="44"/>
        <v>0</v>
      </c>
      <c r="M131" s="10">
        <f t="shared" si="45"/>
        <v>0</v>
      </c>
      <c r="O131" s="30" t="b">
        <f t="shared" si="46"/>
        <v>1</v>
      </c>
      <c r="P131" s="30" t="b">
        <f t="shared" si="47"/>
        <v>0</v>
      </c>
      <c r="Q131" s="30" t="b">
        <f t="shared" si="48"/>
        <v>0</v>
      </c>
      <c r="R131" s="30">
        <f t="shared" si="49"/>
        <v>0</v>
      </c>
      <c r="S131" s="32">
        <f t="shared" si="57"/>
        <v>51945</v>
      </c>
      <c r="Z131" s="10"/>
      <c r="AA131" s="45">
        <f t="shared" si="50"/>
        <v>51945</v>
      </c>
      <c r="AB131" s="3">
        <f t="shared" si="51"/>
        <v>9146</v>
      </c>
      <c r="AC131" s="3">
        <f t="shared" si="73"/>
        <v>25.405555555555555</v>
      </c>
      <c r="AD131" s="3">
        <f t="shared" si="58"/>
        <v>25.416666666666664</v>
      </c>
      <c r="AE131" s="48">
        <f t="shared" si="53"/>
        <v>0</v>
      </c>
      <c r="AF131" s="3">
        <f t="shared" si="74"/>
        <v>0</v>
      </c>
      <c r="AH131" s="4"/>
      <c r="AI131" s="4"/>
      <c r="AN131" s="108">
        <f t="shared" si="55"/>
        <v>0</v>
      </c>
    </row>
    <row r="132" spans="1:40" ht="12.75">
      <c r="A132" s="33">
        <f t="shared" si="68"/>
        <v>102</v>
      </c>
      <c r="B132" s="30">
        <f t="shared" si="69"/>
        <v>6</v>
      </c>
      <c r="C132" s="30">
        <f t="shared" si="60"/>
        <v>20</v>
      </c>
      <c r="D132" s="30">
        <f t="shared" si="70"/>
        <v>2042</v>
      </c>
      <c r="E132" s="133">
        <f t="shared" si="71"/>
        <v>0</v>
      </c>
      <c r="F132" s="1"/>
      <c r="G132" s="133">
        <f t="shared" si="59"/>
        <v>0</v>
      </c>
      <c r="H132" s="133">
        <f t="shared" si="42"/>
        <v>0</v>
      </c>
      <c r="I132" s="30">
        <f t="shared" si="72"/>
        <v>9236</v>
      </c>
      <c r="J132" s="133">
        <f t="shared" si="56"/>
        <v>0</v>
      </c>
      <c r="K132" s="10">
        <f t="shared" si="43"/>
        <v>0</v>
      </c>
      <c r="L132" s="22">
        <f t="shared" si="44"/>
        <v>0</v>
      </c>
      <c r="M132" s="10">
        <f t="shared" si="45"/>
        <v>0</v>
      </c>
      <c r="O132" s="30" t="b">
        <f t="shared" si="46"/>
        <v>0</v>
      </c>
      <c r="P132" s="30" t="b">
        <f t="shared" si="47"/>
        <v>1</v>
      </c>
      <c r="Q132" s="30" t="b">
        <f t="shared" si="48"/>
        <v>0</v>
      </c>
      <c r="R132" s="30">
        <f t="shared" si="49"/>
        <v>0</v>
      </c>
      <c r="S132" s="32">
        <f t="shared" si="57"/>
        <v>52037</v>
      </c>
      <c r="Z132" s="10"/>
      <c r="AA132" s="45">
        <f t="shared" si="50"/>
        <v>52037</v>
      </c>
      <c r="AB132" s="3">
        <f t="shared" si="51"/>
        <v>9236</v>
      </c>
      <c r="AC132" s="3">
        <f t="shared" si="73"/>
        <v>25.655555555555555</v>
      </c>
      <c r="AD132" s="3">
        <f t="shared" si="58"/>
        <v>25.666666666666664</v>
      </c>
      <c r="AE132" s="48">
        <f t="shared" si="53"/>
        <v>0</v>
      </c>
      <c r="AF132" s="3">
        <f t="shared" si="74"/>
        <v>0</v>
      </c>
      <c r="AH132" s="4"/>
      <c r="AI132" s="4"/>
      <c r="AN132" s="108">
        <f t="shared" si="55"/>
        <v>0</v>
      </c>
    </row>
    <row r="133" spans="1:40" ht="12.75">
      <c r="A133" s="33">
        <f t="shared" si="68"/>
        <v>103</v>
      </c>
      <c r="B133" s="30">
        <f t="shared" si="69"/>
        <v>9</v>
      </c>
      <c r="C133" s="30">
        <f t="shared" si="60"/>
        <v>20</v>
      </c>
      <c r="D133" s="30">
        <f t="shared" si="70"/>
        <v>2042</v>
      </c>
      <c r="E133" s="133">
        <f t="shared" si="71"/>
        <v>0</v>
      </c>
      <c r="F133" s="1"/>
      <c r="G133" s="133">
        <f t="shared" si="59"/>
        <v>0</v>
      </c>
      <c r="H133" s="133">
        <f t="shared" si="42"/>
        <v>0</v>
      </c>
      <c r="I133" s="30">
        <f t="shared" si="72"/>
        <v>9326</v>
      </c>
      <c r="J133" s="133">
        <f t="shared" si="56"/>
        <v>0</v>
      </c>
      <c r="K133" s="10">
        <f t="shared" si="43"/>
        <v>0</v>
      </c>
      <c r="L133" s="22">
        <f t="shared" si="44"/>
        <v>0</v>
      </c>
      <c r="M133" s="10">
        <f t="shared" si="45"/>
        <v>0</v>
      </c>
      <c r="O133" s="30" t="b">
        <f t="shared" si="46"/>
        <v>0</v>
      </c>
      <c r="P133" s="30" t="b">
        <f t="shared" si="47"/>
        <v>1</v>
      </c>
      <c r="Q133" s="30" t="b">
        <f t="shared" si="48"/>
        <v>0</v>
      </c>
      <c r="R133" s="30">
        <f t="shared" si="49"/>
        <v>0</v>
      </c>
      <c r="S133" s="32">
        <f t="shared" si="57"/>
        <v>52129</v>
      </c>
      <c r="Z133" s="10"/>
      <c r="AA133" s="45">
        <f t="shared" si="50"/>
        <v>52129</v>
      </c>
      <c r="AB133" s="3">
        <f t="shared" si="51"/>
        <v>9326</v>
      </c>
      <c r="AC133" s="3">
        <f t="shared" si="73"/>
        <v>25.905555555555555</v>
      </c>
      <c r="AD133" s="3">
        <f t="shared" si="58"/>
        <v>25.916666666666664</v>
      </c>
      <c r="AE133" s="48">
        <f t="shared" si="53"/>
        <v>0</v>
      </c>
      <c r="AF133" s="3">
        <f t="shared" si="74"/>
        <v>0</v>
      </c>
      <c r="AH133" s="4"/>
      <c r="AI133" s="4"/>
      <c r="AN133" s="108">
        <f t="shared" si="55"/>
        <v>0</v>
      </c>
    </row>
    <row r="134" spans="1:40" ht="12.75">
      <c r="A134" s="33">
        <f t="shared" si="68"/>
        <v>104</v>
      </c>
      <c r="B134" s="30">
        <f t="shared" si="69"/>
        <v>12</v>
      </c>
      <c r="C134" s="30">
        <f t="shared" si="60"/>
        <v>20</v>
      </c>
      <c r="D134" s="30">
        <f t="shared" si="70"/>
        <v>2042</v>
      </c>
      <c r="E134" s="133">
        <f t="shared" si="71"/>
        <v>0</v>
      </c>
      <c r="F134" s="1"/>
      <c r="G134" s="133">
        <f t="shared" si="59"/>
        <v>0</v>
      </c>
      <c r="H134" s="133">
        <f t="shared" si="42"/>
        <v>0</v>
      </c>
      <c r="I134" s="30">
        <f t="shared" si="72"/>
        <v>9416</v>
      </c>
      <c r="J134" s="133">
        <f t="shared" si="56"/>
        <v>0</v>
      </c>
      <c r="K134" s="10">
        <f t="shared" si="43"/>
        <v>0</v>
      </c>
      <c r="L134" s="22">
        <f t="shared" si="44"/>
        <v>0</v>
      </c>
      <c r="M134" s="10">
        <f t="shared" si="45"/>
        <v>0</v>
      </c>
      <c r="O134" s="30" t="b">
        <f t="shared" si="46"/>
        <v>1</v>
      </c>
      <c r="P134" s="30" t="b">
        <f t="shared" si="47"/>
        <v>0</v>
      </c>
      <c r="Q134" s="30" t="b">
        <f t="shared" si="48"/>
        <v>0</v>
      </c>
      <c r="R134" s="30">
        <f t="shared" si="49"/>
        <v>0</v>
      </c>
      <c r="S134" s="32">
        <f t="shared" si="57"/>
        <v>52220</v>
      </c>
      <c r="Z134" s="10"/>
      <c r="AA134" s="45">
        <f t="shared" si="50"/>
        <v>52220</v>
      </c>
      <c r="AB134" s="3">
        <f t="shared" si="51"/>
        <v>9416</v>
      </c>
      <c r="AC134" s="3">
        <f t="shared" si="73"/>
        <v>26.155555555555555</v>
      </c>
      <c r="AD134" s="3">
        <f t="shared" si="58"/>
        <v>26.166666666666664</v>
      </c>
      <c r="AE134" s="48">
        <f t="shared" si="53"/>
        <v>0</v>
      </c>
      <c r="AF134" s="3">
        <f t="shared" si="74"/>
        <v>0</v>
      </c>
      <c r="AH134" s="4"/>
      <c r="AI134" s="4"/>
      <c r="AN134" s="108">
        <f t="shared" si="55"/>
        <v>0</v>
      </c>
    </row>
    <row r="135" spans="1:40" ht="12.75">
      <c r="A135" s="33">
        <f aca="true" t="shared" si="75" ref="A135:A150">A134+1</f>
        <v>105</v>
      </c>
      <c r="B135" s="30">
        <f aca="true" t="shared" si="76" ref="B135:B150">IF(F$14=12,MOD(B134,12)+1,IF(F$14=4,IF(AND(MOD(B134,12)+3&gt;12,B134=11),2,IF(MOD(B134,12)+3&gt;12,1,MOD(B134,12)+3)),IF(F$14=2,IF((B134+6)&gt;12,(B134+6)-12,MOD(B134,12)+6),+B134)))</f>
        <v>3</v>
      </c>
      <c r="C135" s="30">
        <f t="shared" si="60"/>
        <v>20</v>
      </c>
      <c r="D135" s="30">
        <f aca="true" t="shared" si="77" ref="D135:D150">IF(F$14=1,D134+1,IF(AND(F$14=2,B135&lt;B134),D134+1,IF(AND(F$14=4,B135&lt;B134),D134+1,IF(OR(B135=1,B134=12),D134+1,D134))))</f>
        <v>2043</v>
      </c>
      <c r="E135" s="133">
        <f aca="true" t="shared" si="78" ref="E135:E150">ROUND(IF((+E134-F135)&lt;=-1,#VALUE!,E134-F135),2)</f>
        <v>0</v>
      </c>
      <c r="F135" s="1"/>
      <c r="G135" s="133">
        <f t="shared" si="59"/>
        <v>0</v>
      </c>
      <c r="H135" s="133">
        <f t="shared" si="42"/>
        <v>0</v>
      </c>
      <c r="I135" s="30">
        <f aca="true" t="shared" si="79" ref="I135:I150">I134+(360/$F$14)</f>
        <v>9506</v>
      </c>
      <c r="J135" s="133">
        <f t="shared" si="56"/>
        <v>0</v>
      </c>
      <c r="K135" s="10">
        <f t="shared" si="43"/>
        <v>0</v>
      </c>
      <c r="L135" s="22">
        <f t="shared" si="44"/>
        <v>0</v>
      </c>
      <c r="M135" s="10">
        <f t="shared" si="45"/>
        <v>0</v>
      </c>
      <c r="O135" s="30" t="b">
        <f t="shared" si="46"/>
        <v>1</v>
      </c>
      <c r="P135" s="30" t="b">
        <f t="shared" si="47"/>
        <v>0</v>
      </c>
      <c r="Q135" s="30" t="b">
        <f t="shared" si="48"/>
        <v>0</v>
      </c>
      <c r="R135" s="30">
        <f t="shared" si="49"/>
        <v>0</v>
      </c>
      <c r="S135" s="32">
        <f t="shared" si="57"/>
        <v>52310</v>
      </c>
      <c r="Z135" s="10"/>
      <c r="AA135" s="45">
        <f t="shared" si="50"/>
        <v>52310</v>
      </c>
      <c r="AB135" s="3">
        <f t="shared" si="51"/>
        <v>9506</v>
      </c>
      <c r="AC135" s="3">
        <f t="shared" si="73"/>
        <v>26.405555555555555</v>
      </c>
      <c r="AD135" s="3">
        <f t="shared" si="58"/>
        <v>26.416666666666664</v>
      </c>
      <c r="AE135" s="48">
        <f t="shared" si="53"/>
        <v>0</v>
      </c>
      <c r="AF135" s="3">
        <f t="shared" si="74"/>
        <v>0</v>
      </c>
      <c r="AH135" s="4"/>
      <c r="AI135" s="4"/>
      <c r="AN135" s="108">
        <f t="shared" si="55"/>
        <v>0</v>
      </c>
    </row>
    <row r="136" spans="1:40" ht="12.75">
      <c r="A136" s="33">
        <f t="shared" si="75"/>
        <v>106</v>
      </c>
      <c r="B136" s="30">
        <f t="shared" si="76"/>
        <v>6</v>
      </c>
      <c r="C136" s="30">
        <f t="shared" si="60"/>
        <v>20</v>
      </c>
      <c r="D136" s="30">
        <f t="shared" si="77"/>
        <v>2043</v>
      </c>
      <c r="E136" s="133">
        <f t="shared" si="78"/>
        <v>0</v>
      </c>
      <c r="F136" s="1"/>
      <c r="G136" s="133">
        <f t="shared" si="59"/>
        <v>0</v>
      </c>
      <c r="H136" s="133">
        <f t="shared" si="42"/>
        <v>0</v>
      </c>
      <c r="I136" s="30">
        <f t="shared" si="79"/>
        <v>9596</v>
      </c>
      <c r="J136" s="133">
        <f t="shared" si="56"/>
        <v>0</v>
      </c>
      <c r="K136" s="10">
        <f t="shared" si="43"/>
        <v>0</v>
      </c>
      <c r="L136" s="22">
        <f t="shared" si="44"/>
        <v>0</v>
      </c>
      <c r="M136" s="10">
        <f t="shared" si="45"/>
        <v>0</v>
      </c>
      <c r="O136" s="30" t="b">
        <f t="shared" si="46"/>
        <v>0</v>
      </c>
      <c r="P136" s="30" t="b">
        <f t="shared" si="47"/>
        <v>1</v>
      </c>
      <c r="Q136" s="30" t="b">
        <f t="shared" si="48"/>
        <v>0</v>
      </c>
      <c r="R136" s="30">
        <f t="shared" si="49"/>
        <v>0</v>
      </c>
      <c r="S136" s="32">
        <f t="shared" si="57"/>
        <v>52402</v>
      </c>
      <c r="Z136" s="10"/>
      <c r="AA136" s="45">
        <f t="shared" si="50"/>
        <v>52402</v>
      </c>
      <c r="AB136" s="3">
        <f t="shared" si="51"/>
        <v>9596</v>
      </c>
      <c r="AC136" s="3">
        <f t="shared" si="73"/>
        <v>26.655555555555555</v>
      </c>
      <c r="AD136" s="3">
        <f t="shared" si="58"/>
        <v>26.666666666666664</v>
      </c>
      <c r="AE136" s="48">
        <f t="shared" si="53"/>
        <v>0</v>
      </c>
      <c r="AF136" s="3">
        <f t="shared" si="74"/>
        <v>0</v>
      </c>
      <c r="AH136" s="4"/>
      <c r="AI136" s="4"/>
      <c r="AN136" s="108">
        <f t="shared" si="55"/>
        <v>0</v>
      </c>
    </row>
    <row r="137" spans="1:40" ht="12.75">
      <c r="A137" s="33">
        <f t="shared" si="75"/>
        <v>107</v>
      </c>
      <c r="B137" s="30">
        <f t="shared" si="76"/>
        <v>9</v>
      </c>
      <c r="C137" s="30">
        <f t="shared" si="60"/>
        <v>20</v>
      </c>
      <c r="D137" s="30">
        <f t="shared" si="77"/>
        <v>2043</v>
      </c>
      <c r="E137" s="133">
        <f t="shared" si="78"/>
        <v>0</v>
      </c>
      <c r="F137" s="1"/>
      <c r="G137" s="133">
        <f t="shared" si="59"/>
        <v>0</v>
      </c>
      <c r="H137" s="133">
        <f t="shared" si="42"/>
        <v>0</v>
      </c>
      <c r="I137" s="30">
        <f t="shared" si="79"/>
        <v>9686</v>
      </c>
      <c r="J137" s="133">
        <f t="shared" si="56"/>
        <v>0</v>
      </c>
      <c r="K137" s="10">
        <f t="shared" si="43"/>
        <v>0</v>
      </c>
      <c r="L137" s="22">
        <f t="shared" si="44"/>
        <v>0</v>
      </c>
      <c r="M137" s="10">
        <f t="shared" si="45"/>
        <v>0</v>
      </c>
      <c r="O137" s="30" t="b">
        <f t="shared" si="46"/>
        <v>0</v>
      </c>
      <c r="P137" s="30" t="b">
        <f t="shared" si="47"/>
        <v>1</v>
      </c>
      <c r="Q137" s="30" t="b">
        <f t="shared" si="48"/>
        <v>0</v>
      </c>
      <c r="R137" s="30">
        <f t="shared" si="49"/>
        <v>0</v>
      </c>
      <c r="S137" s="32">
        <f t="shared" si="57"/>
        <v>52494</v>
      </c>
      <c r="Z137" s="10"/>
      <c r="AA137" s="45">
        <f t="shared" si="50"/>
        <v>52494</v>
      </c>
      <c r="AB137" s="3">
        <f t="shared" si="51"/>
        <v>9686</v>
      </c>
      <c r="AC137" s="3">
        <f t="shared" si="73"/>
        <v>26.905555555555555</v>
      </c>
      <c r="AD137" s="3">
        <f t="shared" si="58"/>
        <v>26.916666666666664</v>
      </c>
      <c r="AE137" s="48">
        <f t="shared" si="53"/>
        <v>0</v>
      </c>
      <c r="AF137" s="3">
        <f t="shared" si="74"/>
        <v>0</v>
      </c>
      <c r="AH137" s="4"/>
      <c r="AI137" s="4"/>
      <c r="AN137" s="108">
        <f t="shared" si="55"/>
        <v>0</v>
      </c>
    </row>
    <row r="138" spans="1:40" ht="12.75">
      <c r="A138" s="33">
        <f t="shared" si="75"/>
        <v>108</v>
      </c>
      <c r="B138" s="30">
        <f t="shared" si="76"/>
        <v>12</v>
      </c>
      <c r="C138" s="30">
        <f t="shared" si="60"/>
        <v>20</v>
      </c>
      <c r="D138" s="30">
        <f t="shared" si="77"/>
        <v>2043</v>
      </c>
      <c r="E138" s="133">
        <f t="shared" si="78"/>
        <v>0</v>
      </c>
      <c r="F138" s="1"/>
      <c r="G138" s="133">
        <f t="shared" si="59"/>
        <v>0</v>
      </c>
      <c r="H138" s="133">
        <f t="shared" si="42"/>
        <v>0</v>
      </c>
      <c r="I138" s="30">
        <f t="shared" si="79"/>
        <v>9776</v>
      </c>
      <c r="J138" s="133">
        <f t="shared" si="56"/>
        <v>0</v>
      </c>
      <c r="K138" s="10">
        <f t="shared" si="43"/>
        <v>0</v>
      </c>
      <c r="L138" s="22">
        <f t="shared" si="44"/>
        <v>0</v>
      </c>
      <c r="M138" s="10">
        <f t="shared" si="45"/>
        <v>0</v>
      </c>
      <c r="O138" s="30" t="b">
        <f t="shared" si="46"/>
        <v>1</v>
      </c>
      <c r="P138" s="30" t="b">
        <f t="shared" si="47"/>
        <v>0</v>
      </c>
      <c r="Q138" s="30" t="b">
        <f t="shared" si="48"/>
        <v>0</v>
      </c>
      <c r="R138" s="30">
        <f t="shared" si="49"/>
        <v>0</v>
      </c>
      <c r="S138" s="32">
        <f t="shared" si="57"/>
        <v>52585</v>
      </c>
      <c r="Z138" s="10"/>
      <c r="AA138" s="45">
        <f t="shared" si="50"/>
        <v>52585</v>
      </c>
      <c r="AB138" s="3">
        <f t="shared" si="51"/>
        <v>9776</v>
      </c>
      <c r="AC138" s="3">
        <f t="shared" si="73"/>
        <v>27.155555555555555</v>
      </c>
      <c r="AD138" s="3">
        <f t="shared" si="58"/>
        <v>27.166666666666664</v>
      </c>
      <c r="AE138" s="48">
        <f t="shared" si="53"/>
        <v>0</v>
      </c>
      <c r="AF138" s="3">
        <f t="shared" si="74"/>
        <v>0</v>
      </c>
      <c r="AH138" s="4"/>
      <c r="AI138" s="4"/>
      <c r="AN138" s="108">
        <f t="shared" si="55"/>
        <v>0</v>
      </c>
    </row>
    <row r="139" spans="1:40" ht="12.75">
      <c r="A139" s="33">
        <f t="shared" si="75"/>
        <v>109</v>
      </c>
      <c r="B139" s="30">
        <f t="shared" si="76"/>
        <v>3</v>
      </c>
      <c r="C139" s="30">
        <f t="shared" si="60"/>
        <v>20</v>
      </c>
      <c r="D139" s="30">
        <f t="shared" si="77"/>
        <v>2044</v>
      </c>
      <c r="E139" s="133">
        <f t="shared" si="78"/>
        <v>0</v>
      </c>
      <c r="F139" s="1"/>
      <c r="G139" s="133">
        <f t="shared" si="59"/>
        <v>0</v>
      </c>
      <c r="H139" s="133">
        <f t="shared" si="42"/>
        <v>0</v>
      </c>
      <c r="I139" s="30">
        <f t="shared" si="79"/>
        <v>9866</v>
      </c>
      <c r="J139" s="133">
        <f t="shared" si="56"/>
        <v>0</v>
      </c>
      <c r="K139" s="10">
        <f t="shared" si="43"/>
        <v>0</v>
      </c>
      <c r="L139" s="22">
        <f t="shared" si="44"/>
        <v>0</v>
      </c>
      <c r="M139" s="10">
        <f t="shared" si="45"/>
        <v>0</v>
      </c>
      <c r="O139" s="30" t="b">
        <f t="shared" si="46"/>
        <v>1</v>
      </c>
      <c r="P139" s="30" t="b">
        <f t="shared" si="47"/>
        <v>0</v>
      </c>
      <c r="Q139" s="30" t="b">
        <f t="shared" si="48"/>
        <v>0</v>
      </c>
      <c r="R139" s="30">
        <f t="shared" si="49"/>
        <v>0</v>
      </c>
      <c r="S139" s="32">
        <f t="shared" si="57"/>
        <v>52676</v>
      </c>
      <c r="Z139" s="10"/>
      <c r="AA139" s="45">
        <f t="shared" si="50"/>
        <v>52676</v>
      </c>
      <c r="AB139" s="3">
        <f t="shared" si="51"/>
        <v>9866</v>
      </c>
      <c r="AC139" s="3">
        <f t="shared" si="73"/>
        <v>27.405555555555555</v>
      </c>
      <c r="AD139" s="3">
        <f t="shared" si="58"/>
        <v>27.416666666666664</v>
      </c>
      <c r="AE139" s="48">
        <f t="shared" si="53"/>
        <v>0</v>
      </c>
      <c r="AF139" s="3">
        <f t="shared" si="74"/>
        <v>0</v>
      </c>
      <c r="AH139" s="4"/>
      <c r="AI139" s="4"/>
      <c r="AN139" s="108">
        <f t="shared" si="55"/>
        <v>0</v>
      </c>
    </row>
    <row r="140" spans="1:40" ht="12.75">
      <c r="A140" s="33">
        <f t="shared" si="75"/>
        <v>110</v>
      </c>
      <c r="B140" s="30">
        <f t="shared" si="76"/>
        <v>6</v>
      </c>
      <c r="C140" s="30">
        <f t="shared" si="60"/>
        <v>20</v>
      </c>
      <c r="D140" s="30">
        <f t="shared" si="77"/>
        <v>2044</v>
      </c>
      <c r="E140" s="133">
        <f t="shared" si="78"/>
        <v>0</v>
      </c>
      <c r="F140" s="1"/>
      <c r="G140" s="133">
        <f t="shared" si="59"/>
        <v>0</v>
      </c>
      <c r="H140" s="133">
        <f t="shared" si="42"/>
        <v>0</v>
      </c>
      <c r="I140" s="30">
        <f t="shared" si="79"/>
        <v>9956</v>
      </c>
      <c r="J140" s="133">
        <f t="shared" si="56"/>
        <v>0</v>
      </c>
      <c r="K140" s="10">
        <f t="shared" si="43"/>
        <v>0</v>
      </c>
      <c r="L140" s="22">
        <f t="shared" si="44"/>
        <v>0</v>
      </c>
      <c r="M140" s="10">
        <f t="shared" si="45"/>
        <v>0</v>
      </c>
      <c r="O140" s="30" t="b">
        <f t="shared" si="46"/>
        <v>0</v>
      </c>
      <c r="P140" s="30" t="b">
        <f t="shared" si="47"/>
        <v>1</v>
      </c>
      <c r="Q140" s="30" t="b">
        <f t="shared" si="48"/>
        <v>0</v>
      </c>
      <c r="R140" s="30">
        <f t="shared" si="49"/>
        <v>0</v>
      </c>
      <c r="S140" s="32">
        <f t="shared" si="57"/>
        <v>52768</v>
      </c>
      <c r="Z140" s="10"/>
      <c r="AA140" s="45">
        <f t="shared" si="50"/>
        <v>52768</v>
      </c>
      <c r="AB140" s="3">
        <f t="shared" si="51"/>
        <v>9956</v>
      </c>
      <c r="AC140" s="3">
        <f t="shared" si="73"/>
        <v>27.655555555555555</v>
      </c>
      <c r="AD140" s="3">
        <f t="shared" si="58"/>
        <v>27.666666666666664</v>
      </c>
      <c r="AE140" s="48">
        <f t="shared" si="53"/>
        <v>0</v>
      </c>
      <c r="AF140" s="3">
        <f t="shared" si="74"/>
        <v>0</v>
      </c>
      <c r="AH140" s="4"/>
      <c r="AI140" s="4"/>
      <c r="AN140" s="108">
        <f t="shared" si="55"/>
        <v>0</v>
      </c>
    </row>
    <row r="141" spans="1:40" ht="12.75">
      <c r="A141" s="33">
        <f t="shared" si="75"/>
        <v>111</v>
      </c>
      <c r="B141" s="30">
        <f t="shared" si="76"/>
        <v>9</v>
      </c>
      <c r="C141" s="30">
        <f t="shared" si="60"/>
        <v>20</v>
      </c>
      <c r="D141" s="30">
        <f t="shared" si="77"/>
        <v>2044</v>
      </c>
      <c r="E141" s="133">
        <f t="shared" si="78"/>
        <v>0</v>
      </c>
      <c r="F141" s="1"/>
      <c r="G141" s="133">
        <f t="shared" si="59"/>
        <v>0</v>
      </c>
      <c r="H141" s="133">
        <f t="shared" si="42"/>
        <v>0</v>
      </c>
      <c r="I141" s="30">
        <f t="shared" si="79"/>
        <v>10046</v>
      </c>
      <c r="J141" s="133">
        <f t="shared" si="56"/>
        <v>0</v>
      </c>
      <c r="K141" s="10">
        <f t="shared" si="43"/>
        <v>0</v>
      </c>
      <c r="L141" s="22">
        <f t="shared" si="44"/>
        <v>0</v>
      </c>
      <c r="M141" s="10">
        <f t="shared" si="45"/>
        <v>0</v>
      </c>
      <c r="O141" s="30" t="b">
        <f t="shared" si="46"/>
        <v>0</v>
      </c>
      <c r="P141" s="30" t="b">
        <f t="shared" si="47"/>
        <v>1</v>
      </c>
      <c r="Q141" s="30" t="b">
        <f t="shared" si="48"/>
        <v>0</v>
      </c>
      <c r="R141" s="30">
        <f t="shared" si="49"/>
        <v>0</v>
      </c>
      <c r="S141" s="32">
        <f t="shared" si="57"/>
        <v>52860</v>
      </c>
      <c r="Z141" s="10"/>
      <c r="AA141" s="45">
        <f t="shared" si="50"/>
        <v>52860</v>
      </c>
      <c r="AB141" s="3">
        <f t="shared" si="51"/>
        <v>10046</v>
      </c>
      <c r="AC141" s="3">
        <f t="shared" si="73"/>
        <v>27.905555555555555</v>
      </c>
      <c r="AD141" s="3">
        <f t="shared" si="58"/>
        <v>27.916666666666664</v>
      </c>
      <c r="AE141" s="48">
        <f t="shared" si="53"/>
        <v>0</v>
      </c>
      <c r="AF141" s="3">
        <f t="shared" si="74"/>
        <v>0</v>
      </c>
      <c r="AH141" s="4"/>
      <c r="AI141" s="4"/>
      <c r="AN141" s="108">
        <f t="shared" si="55"/>
        <v>0</v>
      </c>
    </row>
    <row r="142" spans="1:40" ht="12.75">
      <c r="A142" s="33">
        <f t="shared" si="75"/>
        <v>112</v>
      </c>
      <c r="B142" s="30">
        <f t="shared" si="76"/>
        <v>12</v>
      </c>
      <c r="C142" s="30">
        <f t="shared" si="60"/>
        <v>20</v>
      </c>
      <c r="D142" s="30">
        <f t="shared" si="77"/>
        <v>2044</v>
      </c>
      <c r="E142" s="133">
        <f t="shared" si="78"/>
        <v>0</v>
      </c>
      <c r="F142" s="1"/>
      <c r="G142" s="133">
        <f t="shared" si="59"/>
        <v>0</v>
      </c>
      <c r="H142" s="133">
        <f t="shared" si="42"/>
        <v>0</v>
      </c>
      <c r="I142" s="30">
        <f t="shared" si="79"/>
        <v>10136</v>
      </c>
      <c r="J142" s="133">
        <f t="shared" si="56"/>
        <v>0</v>
      </c>
      <c r="K142" s="10">
        <f t="shared" si="43"/>
        <v>0</v>
      </c>
      <c r="L142" s="22">
        <f t="shared" si="44"/>
        <v>0</v>
      </c>
      <c r="M142" s="10">
        <f t="shared" si="45"/>
        <v>0</v>
      </c>
      <c r="O142" s="30" t="b">
        <f t="shared" si="46"/>
        <v>1</v>
      </c>
      <c r="P142" s="30" t="b">
        <f t="shared" si="47"/>
        <v>0</v>
      </c>
      <c r="Q142" s="30" t="b">
        <f t="shared" si="48"/>
        <v>0</v>
      </c>
      <c r="R142" s="30">
        <f t="shared" si="49"/>
        <v>0</v>
      </c>
      <c r="S142" s="32">
        <f t="shared" si="57"/>
        <v>52951</v>
      </c>
      <c r="Z142" s="10"/>
      <c r="AA142" s="45">
        <f t="shared" si="50"/>
        <v>52951</v>
      </c>
      <c r="AB142" s="3">
        <f t="shared" si="51"/>
        <v>10136</v>
      </c>
      <c r="AC142" s="3">
        <f aca="true" t="shared" si="80" ref="AC142:AC157">AB142/360</f>
        <v>28.155555555555555</v>
      </c>
      <c r="AD142" s="3">
        <f t="shared" si="58"/>
        <v>28.166666666666664</v>
      </c>
      <c r="AE142" s="48">
        <f t="shared" si="53"/>
        <v>0</v>
      </c>
      <c r="AF142" s="3">
        <f aca="true" t="shared" si="81" ref="AF142:AF157">AE142*AD142</f>
        <v>0</v>
      </c>
      <c r="AH142" s="4"/>
      <c r="AI142" s="4"/>
      <c r="AN142" s="108">
        <f t="shared" si="55"/>
        <v>0</v>
      </c>
    </row>
    <row r="143" spans="1:40" ht="12.75">
      <c r="A143" s="33">
        <f t="shared" si="75"/>
        <v>113</v>
      </c>
      <c r="B143" s="30">
        <f t="shared" si="76"/>
        <v>3</v>
      </c>
      <c r="C143" s="30">
        <f t="shared" si="60"/>
        <v>20</v>
      </c>
      <c r="D143" s="30">
        <f t="shared" si="77"/>
        <v>2045</v>
      </c>
      <c r="E143" s="133">
        <f t="shared" si="78"/>
        <v>0</v>
      </c>
      <c r="F143" s="1"/>
      <c r="G143" s="133">
        <f t="shared" si="59"/>
        <v>0</v>
      </c>
      <c r="H143" s="133">
        <f t="shared" si="42"/>
        <v>0</v>
      </c>
      <c r="I143" s="30">
        <f t="shared" si="79"/>
        <v>10226</v>
      </c>
      <c r="J143" s="133">
        <f t="shared" si="56"/>
        <v>0</v>
      </c>
      <c r="K143" s="10">
        <f t="shared" si="43"/>
        <v>0</v>
      </c>
      <c r="L143" s="22">
        <f t="shared" si="44"/>
        <v>0</v>
      </c>
      <c r="M143" s="10">
        <f t="shared" si="45"/>
        <v>0</v>
      </c>
      <c r="O143" s="30" t="b">
        <f t="shared" si="46"/>
        <v>1</v>
      </c>
      <c r="P143" s="30" t="b">
        <f t="shared" si="47"/>
        <v>0</v>
      </c>
      <c r="Q143" s="30" t="b">
        <f t="shared" si="48"/>
        <v>0</v>
      </c>
      <c r="R143" s="30">
        <f t="shared" si="49"/>
        <v>0</v>
      </c>
      <c r="S143" s="32">
        <f t="shared" si="57"/>
        <v>53041</v>
      </c>
      <c r="Z143" s="10"/>
      <c r="AA143" s="45">
        <f t="shared" si="50"/>
        <v>53041</v>
      </c>
      <c r="AB143" s="3">
        <f t="shared" si="51"/>
        <v>10226</v>
      </c>
      <c r="AC143" s="3">
        <f t="shared" si="80"/>
        <v>28.405555555555555</v>
      </c>
      <c r="AD143" s="3">
        <f t="shared" si="58"/>
        <v>28.416666666666664</v>
      </c>
      <c r="AE143" s="48">
        <f t="shared" si="53"/>
        <v>0</v>
      </c>
      <c r="AF143" s="3">
        <f t="shared" si="81"/>
        <v>0</v>
      </c>
      <c r="AH143" s="4"/>
      <c r="AI143" s="4"/>
      <c r="AN143" s="108">
        <f t="shared" si="55"/>
        <v>0</v>
      </c>
    </row>
    <row r="144" spans="1:40" ht="12.75">
      <c r="A144" s="33">
        <f t="shared" si="75"/>
        <v>114</v>
      </c>
      <c r="B144" s="30">
        <f t="shared" si="76"/>
        <v>6</v>
      </c>
      <c r="C144" s="30">
        <f t="shared" si="60"/>
        <v>20</v>
      </c>
      <c r="D144" s="30">
        <f t="shared" si="77"/>
        <v>2045</v>
      </c>
      <c r="E144" s="133">
        <f t="shared" si="78"/>
        <v>0</v>
      </c>
      <c r="F144" s="1"/>
      <c r="G144" s="133">
        <f t="shared" si="59"/>
        <v>0</v>
      </c>
      <c r="H144" s="133">
        <f t="shared" si="42"/>
        <v>0</v>
      </c>
      <c r="I144" s="30">
        <f t="shared" si="79"/>
        <v>10316</v>
      </c>
      <c r="J144" s="133">
        <f t="shared" si="56"/>
        <v>0</v>
      </c>
      <c r="K144" s="10">
        <f t="shared" si="43"/>
        <v>0</v>
      </c>
      <c r="L144" s="22">
        <f t="shared" si="44"/>
        <v>0</v>
      </c>
      <c r="M144" s="10">
        <f t="shared" si="45"/>
        <v>0</v>
      </c>
      <c r="O144" s="30" t="b">
        <f t="shared" si="46"/>
        <v>0</v>
      </c>
      <c r="P144" s="30" t="b">
        <f t="shared" si="47"/>
        <v>1</v>
      </c>
      <c r="Q144" s="30" t="b">
        <f t="shared" si="48"/>
        <v>0</v>
      </c>
      <c r="R144" s="30">
        <f t="shared" si="49"/>
        <v>0</v>
      </c>
      <c r="S144" s="32">
        <f t="shared" si="57"/>
        <v>53133</v>
      </c>
      <c r="Z144" s="10"/>
      <c r="AA144" s="45">
        <f t="shared" si="50"/>
        <v>53133</v>
      </c>
      <c r="AB144" s="3">
        <f t="shared" si="51"/>
        <v>10316</v>
      </c>
      <c r="AC144" s="3">
        <f t="shared" si="80"/>
        <v>28.655555555555555</v>
      </c>
      <c r="AD144" s="3">
        <f t="shared" si="58"/>
        <v>28.666666666666664</v>
      </c>
      <c r="AE144" s="48">
        <f t="shared" si="53"/>
        <v>0</v>
      </c>
      <c r="AF144" s="3">
        <f t="shared" si="81"/>
        <v>0</v>
      </c>
      <c r="AH144" s="4"/>
      <c r="AI144" s="4"/>
      <c r="AN144" s="108">
        <f t="shared" si="55"/>
        <v>0</v>
      </c>
    </row>
    <row r="145" spans="1:40" ht="12.75">
      <c r="A145" s="33">
        <f t="shared" si="75"/>
        <v>115</v>
      </c>
      <c r="B145" s="30">
        <f t="shared" si="76"/>
        <v>9</v>
      </c>
      <c r="C145" s="30">
        <f t="shared" si="60"/>
        <v>20</v>
      </c>
      <c r="D145" s="30">
        <f t="shared" si="77"/>
        <v>2045</v>
      </c>
      <c r="E145" s="133">
        <f t="shared" si="78"/>
        <v>0</v>
      </c>
      <c r="F145" s="1"/>
      <c r="G145" s="133">
        <f t="shared" si="59"/>
        <v>0</v>
      </c>
      <c r="H145" s="133">
        <f t="shared" si="42"/>
        <v>0</v>
      </c>
      <c r="I145" s="30">
        <f t="shared" si="79"/>
        <v>10406</v>
      </c>
      <c r="J145" s="133">
        <f t="shared" si="56"/>
        <v>0</v>
      </c>
      <c r="K145" s="10">
        <f t="shared" si="43"/>
        <v>0</v>
      </c>
      <c r="L145" s="22">
        <f t="shared" si="44"/>
        <v>0</v>
      </c>
      <c r="M145" s="10">
        <f t="shared" si="45"/>
        <v>0</v>
      </c>
      <c r="O145" s="30" t="b">
        <f t="shared" si="46"/>
        <v>0</v>
      </c>
      <c r="P145" s="30" t="b">
        <f t="shared" si="47"/>
        <v>1</v>
      </c>
      <c r="Q145" s="30" t="b">
        <f t="shared" si="48"/>
        <v>0</v>
      </c>
      <c r="R145" s="30">
        <f t="shared" si="49"/>
        <v>0</v>
      </c>
      <c r="S145" s="32">
        <f t="shared" si="57"/>
        <v>53225</v>
      </c>
      <c r="Z145" s="10"/>
      <c r="AA145" s="45">
        <f t="shared" si="50"/>
        <v>53225</v>
      </c>
      <c r="AB145" s="3">
        <f t="shared" si="51"/>
        <v>10406</v>
      </c>
      <c r="AC145" s="3">
        <f t="shared" si="80"/>
        <v>28.905555555555555</v>
      </c>
      <c r="AD145" s="3">
        <f t="shared" si="58"/>
        <v>28.916666666666664</v>
      </c>
      <c r="AE145" s="48">
        <f t="shared" si="53"/>
        <v>0</v>
      </c>
      <c r="AF145" s="3">
        <f t="shared" si="81"/>
        <v>0</v>
      </c>
      <c r="AH145" s="4"/>
      <c r="AI145" s="4"/>
      <c r="AN145" s="108">
        <f t="shared" si="55"/>
        <v>0</v>
      </c>
    </row>
    <row r="146" spans="1:40" ht="12.75">
      <c r="A146" s="33">
        <f t="shared" si="75"/>
        <v>116</v>
      </c>
      <c r="B146" s="30">
        <f t="shared" si="76"/>
        <v>12</v>
      </c>
      <c r="C146" s="30">
        <f t="shared" si="60"/>
        <v>20</v>
      </c>
      <c r="D146" s="30">
        <f t="shared" si="77"/>
        <v>2045</v>
      </c>
      <c r="E146" s="133">
        <f t="shared" si="78"/>
        <v>0</v>
      </c>
      <c r="F146" s="1"/>
      <c r="G146" s="133">
        <f t="shared" si="59"/>
        <v>0</v>
      </c>
      <c r="H146" s="133">
        <f t="shared" si="42"/>
        <v>0</v>
      </c>
      <c r="I146" s="30">
        <f t="shared" si="79"/>
        <v>10496</v>
      </c>
      <c r="J146" s="133">
        <f t="shared" si="56"/>
        <v>0</v>
      </c>
      <c r="K146" s="10">
        <f t="shared" si="43"/>
        <v>0</v>
      </c>
      <c r="L146" s="22">
        <f t="shared" si="44"/>
        <v>0</v>
      </c>
      <c r="M146" s="10">
        <f t="shared" si="45"/>
        <v>0</v>
      </c>
      <c r="O146" s="30" t="b">
        <f t="shared" si="46"/>
        <v>1</v>
      </c>
      <c r="P146" s="30" t="b">
        <f t="shared" si="47"/>
        <v>0</v>
      </c>
      <c r="Q146" s="30" t="b">
        <f t="shared" si="48"/>
        <v>0</v>
      </c>
      <c r="R146" s="30">
        <f t="shared" si="49"/>
        <v>0</v>
      </c>
      <c r="S146" s="32">
        <f t="shared" si="57"/>
        <v>53316</v>
      </c>
      <c r="Z146" s="10"/>
      <c r="AA146" s="45">
        <f t="shared" si="50"/>
        <v>53316</v>
      </c>
      <c r="AB146" s="3">
        <f t="shared" si="51"/>
        <v>10496</v>
      </c>
      <c r="AC146" s="3">
        <f t="shared" si="80"/>
        <v>29.155555555555555</v>
      </c>
      <c r="AD146" s="3">
        <f t="shared" si="58"/>
        <v>29.166666666666664</v>
      </c>
      <c r="AE146" s="48">
        <f t="shared" si="53"/>
        <v>0</v>
      </c>
      <c r="AF146" s="3">
        <f t="shared" si="81"/>
        <v>0</v>
      </c>
      <c r="AH146" s="4"/>
      <c r="AI146" s="4"/>
      <c r="AN146" s="108">
        <f t="shared" si="55"/>
        <v>0</v>
      </c>
    </row>
    <row r="147" spans="1:40" ht="12.75">
      <c r="A147" s="33">
        <f t="shared" si="75"/>
        <v>117</v>
      </c>
      <c r="B147" s="30">
        <f t="shared" si="76"/>
        <v>3</v>
      </c>
      <c r="C147" s="30">
        <f t="shared" si="60"/>
        <v>20</v>
      </c>
      <c r="D147" s="30">
        <f t="shared" si="77"/>
        <v>2046</v>
      </c>
      <c r="E147" s="133">
        <f t="shared" si="78"/>
        <v>0</v>
      </c>
      <c r="F147" s="1"/>
      <c r="G147" s="133">
        <f t="shared" si="59"/>
        <v>0</v>
      </c>
      <c r="H147" s="133">
        <f t="shared" si="42"/>
        <v>0</v>
      </c>
      <c r="I147" s="30">
        <f t="shared" si="79"/>
        <v>10586</v>
      </c>
      <c r="J147" s="133">
        <f t="shared" si="56"/>
        <v>0</v>
      </c>
      <c r="K147" s="10">
        <f t="shared" si="43"/>
        <v>0</v>
      </c>
      <c r="L147" s="22">
        <f t="shared" si="44"/>
        <v>0</v>
      </c>
      <c r="M147" s="10">
        <f t="shared" si="45"/>
        <v>0</v>
      </c>
      <c r="O147" s="30" t="b">
        <f t="shared" si="46"/>
        <v>1</v>
      </c>
      <c r="P147" s="30" t="b">
        <f t="shared" si="47"/>
        <v>0</v>
      </c>
      <c r="Q147" s="30" t="b">
        <f t="shared" si="48"/>
        <v>0</v>
      </c>
      <c r="R147" s="30">
        <f t="shared" si="49"/>
        <v>0</v>
      </c>
      <c r="S147" s="32">
        <f t="shared" si="57"/>
        <v>53406</v>
      </c>
      <c r="Z147" s="10"/>
      <c r="AA147" s="45">
        <f t="shared" si="50"/>
        <v>53406</v>
      </c>
      <c r="AB147" s="3">
        <f t="shared" si="51"/>
        <v>10586</v>
      </c>
      <c r="AC147" s="3">
        <f t="shared" si="80"/>
        <v>29.405555555555555</v>
      </c>
      <c r="AD147" s="3">
        <f t="shared" si="58"/>
        <v>29.416666666666664</v>
      </c>
      <c r="AE147" s="48">
        <f t="shared" si="53"/>
        <v>0</v>
      </c>
      <c r="AF147" s="3">
        <f t="shared" si="81"/>
        <v>0</v>
      </c>
      <c r="AH147" s="4"/>
      <c r="AI147" s="4"/>
      <c r="AN147" s="108">
        <f t="shared" si="55"/>
        <v>0</v>
      </c>
    </row>
    <row r="148" spans="1:40" ht="12.75">
      <c r="A148" s="33">
        <f t="shared" si="75"/>
        <v>118</v>
      </c>
      <c r="B148" s="30">
        <f t="shared" si="76"/>
        <v>6</v>
      </c>
      <c r="C148" s="30">
        <f t="shared" si="60"/>
        <v>20</v>
      </c>
      <c r="D148" s="30">
        <f t="shared" si="77"/>
        <v>2046</v>
      </c>
      <c r="E148" s="133">
        <f t="shared" si="78"/>
        <v>0</v>
      </c>
      <c r="F148" s="1"/>
      <c r="G148" s="133">
        <f t="shared" si="59"/>
        <v>0</v>
      </c>
      <c r="H148" s="133">
        <f t="shared" si="42"/>
        <v>0</v>
      </c>
      <c r="I148" s="30">
        <f t="shared" si="79"/>
        <v>10676</v>
      </c>
      <c r="J148" s="133">
        <f t="shared" si="56"/>
        <v>0</v>
      </c>
      <c r="K148" s="10">
        <f t="shared" si="43"/>
        <v>0</v>
      </c>
      <c r="L148" s="22">
        <f t="shared" si="44"/>
        <v>0</v>
      </c>
      <c r="M148" s="10">
        <f t="shared" si="45"/>
        <v>0</v>
      </c>
      <c r="O148" s="30" t="b">
        <f t="shared" si="46"/>
        <v>0</v>
      </c>
      <c r="P148" s="30" t="b">
        <f t="shared" si="47"/>
        <v>1</v>
      </c>
      <c r="Q148" s="30" t="b">
        <f t="shared" si="48"/>
        <v>0</v>
      </c>
      <c r="R148" s="30">
        <f t="shared" si="49"/>
        <v>0</v>
      </c>
      <c r="S148" s="32">
        <f t="shared" si="57"/>
        <v>53498</v>
      </c>
      <c r="Z148" s="10"/>
      <c r="AA148" s="45">
        <f t="shared" si="50"/>
        <v>53498</v>
      </c>
      <c r="AB148" s="3">
        <f t="shared" si="51"/>
        <v>10676</v>
      </c>
      <c r="AC148" s="3">
        <f t="shared" si="80"/>
        <v>29.655555555555555</v>
      </c>
      <c r="AD148" s="3">
        <f t="shared" si="58"/>
        <v>29.666666666666664</v>
      </c>
      <c r="AE148" s="48">
        <f t="shared" si="53"/>
        <v>0</v>
      </c>
      <c r="AF148" s="3">
        <f t="shared" si="81"/>
        <v>0</v>
      </c>
      <c r="AH148" s="4"/>
      <c r="AI148" s="4"/>
      <c r="AN148" s="108">
        <f t="shared" si="55"/>
        <v>0</v>
      </c>
    </row>
    <row r="149" spans="1:40" ht="12.75">
      <c r="A149" s="33">
        <f t="shared" si="75"/>
        <v>119</v>
      </c>
      <c r="B149" s="30">
        <f t="shared" si="76"/>
        <v>9</v>
      </c>
      <c r="C149" s="30">
        <f t="shared" si="60"/>
        <v>20</v>
      </c>
      <c r="D149" s="30">
        <f t="shared" si="77"/>
        <v>2046</v>
      </c>
      <c r="E149" s="133">
        <f t="shared" si="78"/>
        <v>0</v>
      </c>
      <c r="F149" s="1"/>
      <c r="G149" s="133">
        <f t="shared" si="59"/>
        <v>0</v>
      </c>
      <c r="H149" s="133">
        <f t="shared" si="42"/>
        <v>0</v>
      </c>
      <c r="I149" s="30">
        <f t="shared" si="79"/>
        <v>10766</v>
      </c>
      <c r="J149" s="133">
        <f t="shared" si="56"/>
        <v>0</v>
      </c>
      <c r="K149" s="10">
        <f t="shared" si="43"/>
        <v>0</v>
      </c>
      <c r="L149" s="22">
        <f t="shared" si="44"/>
        <v>0</v>
      </c>
      <c r="M149" s="10">
        <f t="shared" si="45"/>
        <v>0</v>
      </c>
      <c r="O149" s="30" t="b">
        <f t="shared" si="46"/>
        <v>0</v>
      </c>
      <c r="P149" s="30" t="b">
        <f t="shared" si="47"/>
        <v>1</v>
      </c>
      <c r="Q149" s="30" t="b">
        <f t="shared" si="48"/>
        <v>0</v>
      </c>
      <c r="R149" s="30">
        <f t="shared" si="49"/>
        <v>0</v>
      </c>
      <c r="S149" s="32">
        <f t="shared" si="57"/>
        <v>53590</v>
      </c>
      <c r="Z149" s="10"/>
      <c r="AA149" s="45">
        <f t="shared" si="50"/>
        <v>53590</v>
      </c>
      <c r="AB149" s="3">
        <f t="shared" si="51"/>
        <v>10766</v>
      </c>
      <c r="AC149" s="3">
        <f t="shared" si="80"/>
        <v>29.905555555555555</v>
      </c>
      <c r="AD149" s="3">
        <f t="shared" si="58"/>
        <v>29.916666666666664</v>
      </c>
      <c r="AE149" s="48">
        <f t="shared" si="53"/>
        <v>0</v>
      </c>
      <c r="AF149" s="3">
        <f t="shared" si="81"/>
        <v>0</v>
      </c>
      <c r="AH149" s="4"/>
      <c r="AI149" s="4"/>
      <c r="AN149" s="108">
        <f t="shared" si="55"/>
        <v>0</v>
      </c>
    </row>
    <row r="150" spans="1:40" ht="12.75">
      <c r="A150" s="33">
        <f t="shared" si="75"/>
        <v>120</v>
      </c>
      <c r="B150" s="30">
        <f t="shared" si="76"/>
        <v>12</v>
      </c>
      <c r="C150" s="30">
        <f t="shared" si="60"/>
        <v>20</v>
      </c>
      <c r="D150" s="30">
        <f t="shared" si="77"/>
        <v>2046</v>
      </c>
      <c r="E150" s="133">
        <f t="shared" si="78"/>
        <v>0</v>
      </c>
      <c r="F150" s="1"/>
      <c r="G150" s="133">
        <f t="shared" si="59"/>
        <v>0</v>
      </c>
      <c r="H150" s="133">
        <f t="shared" si="42"/>
        <v>0</v>
      </c>
      <c r="I150" s="30">
        <f t="shared" si="79"/>
        <v>10856</v>
      </c>
      <c r="J150" s="133">
        <f t="shared" si="56"/>
        <v>0</v>
      </c>
      <c r="K150" s="10">
        <f t="shared" si="43"/>
        <v>0</v>
      </c>
      <c r="L150" s="22">
        <f t="shared" si="44"/>
        <v>0</v>
      </c>
      <c r="M150" s="10">
        <f t="shared" si="45"/>
        <v>0</v>
      </c>
      <c r="O150" s="30" t="b">
        <f t="shared" si="46"/>
        <v>1</v>
      </c>
      <c r="P150" s="30" t="b">
        <f t="shared" si="47"/>
        <v>0</v>
      </c>
      <c r="Q150" s="30" t="b">
        <f t="shared" si="48"/>
        <v>0</v>
      </c>
      <c r="R150" s="30">
        <f t="shared" si="49"/>
        <v>0</v>
      </c>
      <c r="S150" s="32">
        <f t="shared" si="57"/>
        <v>53681</v>
      </c>
      <c r="Z150" s="10"/>
      <c r="AA150" s="45">
        <f t="shared" si="50"/>
        <v>53681</v>
      </c>
      <c r="AB150" s="3">
        <f t="shared" si="51"/>
        <v>10856</v>
      </c>
      <c r="AC150" s="3">
        <f t="shared" si="80"/>
        <v>30.155555555555555</v>
      </c>
      <c r="AD150" s="3">
        <f t="shared" si="58"/>
        <v>30.166666666666664</v>
      </c>
      <c r="AE150" s="48">
        <f t="shared" si="53"/>
        <v>0</v>
      </c>
      <c r="AF150" s="3">
        <f t="shared" si="81"/>
        <v>0</v>
      </c>
      <c r="AH150" s="4"/>
      <c r="AI150" s="4"/>
      <c r="AN150" s="108">
        <f t="shared" si="55"/>
        <v>0</v>
      </c>
    </row>
    <row r="151" spans="1:40" ht="12.75">
      <c r="A151" s="33">
        <f aca="true" t="shared" si="82" ref="A151:A166">A150+1</f>
        <v>121</v>
      </c>
      <c r="B151" s="30">
        <f aca="true" t="shared" si="83" ref="B151:B166">IF(F$14=12,MOD(B150,12)+1,IF(F$14=4,IF(AND(MOD(B150,12)+3&gt;12,B150=11),2,IF(MOD(B150,12)+3&gt;12,1,MOD(B150,12)+3)),IF(F$14=2,IF((B150+6)&gt;12,(B150+6)-12,MOD(B150,12)+6),+B150)))</f>
        <v>3</v>
      </c>
      <c r="C151" s="30">
        <f t="shared" si="60"/>
        <v>20</v>
      </c>
      <c r="D151" s="30">
        <f aca="true" t="shared" si="84" ref="D151:D166">IF(F$14=1,D150+1,IF(AND(F$14=2,B151&lt;B150),D150+1,IF(AND(F$14=4,B151&lt;B150),D150+1,IF(OR(B151=1,B150=12),D150+1,D150))))</f>
        <v>2047</v>
      </c>
      <c r="E151" s="133">
        <f aca="true" t="shared" si="85" ref="E151:E166">ROUND(IF((+E150-F151)&lt;=-1,#VALUE!,E150-F151),2)</f>
        <v>0</v>
      </c>
      <c r="F151" s="1"/>
      <c r="G151" s="133">
        <f t="shared" si="59"/>
        <v>0</v>
      </c>
      <c r="H151" s="133">
        <f t="shared" si="42"/>
        <v>0</v>
      </c>
      <c r="I151" s="30">
        <f aca="true" t="shared" si="86" ref="I151:I166">I150+(360/$F$14)</f>
        <v>10946</v>
      </c>
      <c r="J151" s="133">
        <f t="shared" si="56"/>
        <v>0</v>
      </c>
      <c r="K151" s="10">
        <f t="shared" si="43"/>
        <v>0</v>
      </c>
      <c r="L151" s="22">
        <f t="shared" si="44"/>
        <v>0</v>
      </c>
      <c r="M151" s="10">
        <f t="shared" si="45"/>
        <v>0</v>
      </c>
      <c r="O151" s="30" t="b">
        <f t="shared" si="46"/>
        <v>1</v>
      </c>
      <c r="P151" s="30" t="b">
        <f t="shared" si="47"/>
        <v>0</v>
      </c>
      <c r="Q151" s="30" t="b">
        <f t="shared" si="48"/>
        <v>0</v>
      </c>
      <c r="R151" s="30">
        <f t="shared" si="49"/>
        <v>0</v>
      </c>
      <c r="S151" s="32">
        <f t="shared" si="57"/>
        <v>53771</v>
      </c>
      <c r="Z151" s="10"/>
      <c r="AA151" s="45">
        <f t="shared" si="50"/>
        <v>53771</v>
      </c>
      <c r="AB151" s="3">
        <f t="shared" si="51"/>
        <v>10946</v>
      </c>
      <c r="AC151" s="3">
        <f t="shared" si="80"/>
        <v>30.405555555555555</v>
      </c>
      <c r="AD151" s="3">
        <f t="shared" si="58"/>
        <v>30.416666666666664</v>
      </c>
      <c r="AE151" s="48">
        <f t="shared" si="53"/>
        <v>0</v>
      </c>
      <c r="AF151" s="3">
        <f t="shared" si="81"/>
        <v>0</v>
      </c>
      <c r="AH151" s="4"/>
      <c r="AI151" s="4"/>
      <c r="AN151" s="108">
        <f t="shared" si="55"/>
        <v>0</v>
      </c>
    </row>
    <row r="152" spans="1:40" ht="12.75">
      <c r="A152" s="33">
        <f t="shared" si="82"/>
        <v>122</v>
      </c>
      <c r="B152" s="30">
        <f t="shared" si="83"/>
        <v>6</v>
      </c>
      <c r="C152" s="30">
        <f t="shared" si="60"/>
        <v>20</v>
      </c>
      <c r="D152" s="30">
        <f t="shared" si="84"/>
        <v>2047</v>
      </c>
      <c r="E152" s="133">
        <f t="shared" si="85"/>
        <v>0</v>
      </c>
      <c r="F152" s="1"/>
      <c r="G152" s="133">
        <f t="shared" si="59"/>
        <v>0</v>
      </c>
      <c r="H152" s="133">
        <f t="shared" si="42"/>
        <v>0</v>
      </c>
      <c r="I152" s="30">
        <f t="shared" si="86"/>
        <v>11036</v>
      </c>
      <c r="J152" s="133">
        <f t="shared" si="56"/>
        <v>0</v>
      </c>
      <c r="K152" s="10">
        <f t="shared" si="43"/>
        <v>0</v>
      </c>
      <c r="L152" s="22">
        <f t="shared" si="44"/>
        <v>0</v>
      </c>
      <c r="M152" s="10">
        <f t="shared" si="45"/>
        <v>0</v>
      </c>
      <c r="O152" s="30" t="b">
        <f t="shared" si="46"/>
        <v>0</v>
      </c>
      <c r="P152" s="30" t="b">
        <f t="shared" si="47"/>
        <v>1</v>
      </c>
      <c r="Q152" s="30" t="b">
        <f t="shared" si="48"/>
        <v>0</v>
      </c>
      <c r="R152" s="30">
        <f t="shared" si="49"/>
        <v>0</v>
      </c>
      <c r="S152" s="32">
        <f t="shared" si="57"/>
        <v>53863</v>
      </c>
      <c r="Z152" s="10"/>
      <c r="AA152" s="45">
        <f t="shared" si="50"/>
        <v>53863</v>
      </c>
      <c r="AB152" s="3">
        <f t="shared" si="51"/>
        <v>11036</v>
      </c>
      <c r="AC152" s="3">
        <f t="shared" si="80"/>
        <v>30.655555555555555</v>
      </c>
      <c r="AD152" s="3">
        <f t="shared" si="58"/>
        <v>30.666666666666664</v>
      </c>
      <c r="AE152" s="48">
        <f t="shared" si="53"/>
        <v>0</v>
      </c>
      <c r="AF152" s="3">
        <f t="shared" si="81"/>
        <v>0</v>
      </c>
      <c r="AH152" s="4"/>
      <c r="AI152" s="4"/>
      <c r="AN152" s="108">
        <f t="shared" si="55"/>
        <v>0</v>
      </c>
    </row>
    <row r="153" spans="1:40" ht="12.75">
      <c r="A153" s="33">
        <f t="shared" si="82"/>
        <v>123</v>
      </c>
      <c r="B153" s="30">
        <f t="shared" si="83"/>
        <v>9</v>
      </c>
      <c r="C153" s="30">
        <f t="shared" si="60"/>
        <v>20</v>
      </c>
      <c r="D153" s="30">
        <f t="shared" si="84"/>
        <v>2047</v>
      </c>
      <c r="E153" s="133">
        <f t="shared" si="85"/>
        <v>0</v>
      </c>
      <c r="F153" s="1"/>
      <c r="G153" s="133">
        <f t="shared" si="59"/>
        <v>0</v>
      </c>
      <c r="H153" s="133">
        <f t="shared" si="42"/>
        <v>0</v>
      </c>
      <c r="I153" s="30">
        <f t="shared" si="86"/>
        <v>11126</v>
      </c>
      <c r="J153" s="133">
        <f t="shared" si="56"/>
        <v>0</v>
      </c>
      <c r="K153" s="10">
        <f t="shared" si="43"/>
        <v>0</v>
      </c>
      <c r="L153" s="22">
        <f t="shared" si="44"/>
        <v>0</v>
      </c>
      <c r="M153" s="10">
        <f t="shared" si="45"/>
        <v>0</v>
      </c>
      <c r="O153" s="30" t="b">
        <f t="shared" si="46"/>
        <v>0</v>
      </c>
      <c r="P153" s="30" t="b">
        <f t="shared" si="47"/>
        <v>1</v>
      </c>
      <c r="Q153" s="30" t="b">
        <f t="shared" si="48"/>
        <v>0</v>
      </c>
      <c r="R153" s="30">
        <f t="shared" si="49"/>
        <v>0</v>
      </c>
      <c r="S153" s="32">
        <f t="shared" si="57"/>
        <v>53955</v>
      </c>
      <c r="Z153" s="10"/>
      <c r="AA153" s="45">
        <f t="shared" si="50"/>
        <v>53955</v>
      </c>
      <c r="AB153" s="3">
        <f t="shared" si="51"/>
        <v>11126</v>
      </c>
      <c r="AC153" s="3">
        <f t="shared" si="80"/>
        <v>30.905555555555555</v>
      </c>
      <c r="AD153" s="3">
        <f t="shared" si="58"/>
        <v>30.916666666666664</v>
      </c>
      <c r="AE153" s="48">
        <f t="shared" si="53"/>
        <v>0</v>
      </c>
      <c r="AF153" s="3">
        <f t="shared" si="81"/>
        <v>0</v>
      </c>
      <c r="AH153" s="4"/>
      <c r="AI153" s="4"/>
      <c r="AN153" s="108">
        <f t="shared" si="55"/>
        <v>0</v>
      </c>
    </row>
    <row r="154" spans="1:40" ht="12.75">
      <c r="A154" s="33">
        <f t="shared" si="82"/>
        <v>124</v>
      </c>
      <c r="B154" s="30">
        <f t="shared" si="83"/>
        <v>12</v>
      </c>
      <c r="C154" s="30">
        <f t="shared" si="60"/>
        <v>20</v>
      </c>
      <c r="D154" s="30">
        <f t="shared" si="84"/>
        <v>2047</v>
      </c>
      <c r="E154" s="133">
        <f t="shared" si="85"/>
        <v>0</v>
      </c>
      <c r="F154" s="1"/>
      <c r="G154" s="133">
        <f t="shared" si="59"/>
        <v>0</v>
      </c>
      <c r="H154" s="133">
        <f t="shared" si="42"/>
        <v>0</v>
      </c>
      <c r="I154" s="30">
        <f t="shared" si="86"/>
        <v>11216</v>
      </c>
      <c r="J154" s="133">
        <f t="shared" si="56"/>
        <v>0</v>
      </c>
      <c r="K154" s="10">
        <f t="shared" si="43"/>
        <v>0</v>
      </c>
      <c r="L154" s="22">
        <f t="shared" si="44"/>
        <v>0</v>
      </c>
      <c r="M154" s="10">
        <f t="shared" si="45"/>
        <v>0</v>
      </c>
      <c r="O154" s="30" t="b">
        <f t="shared" si="46"/>
        <v>1</v>
      </c>
      <c r="P154" s="30" t="b">
        <f t="shared" si="47"/>
        <v>0</v>
      </c>
      <c r="Q154" s="30" t="b">
        <f t="shared" si="48"/>
        <v>0</v>
      </c>
      <c r="R154" s="30">
        <f t="shared" si="49"/>
        <v>0</v>
      </c>
      <c r="S154" s="32">
        <f t="shared" si="57"/>
        <v>54046</v>
      </c>
      <c r="Z154" s="10"/>
      <c r="AA154" s="45">
        <f t="shared" si="50"/>
        <v>54046</v>
      </c>
      <c r="AB154" s="3">
        <f t="shared" si="51"/>
        <v>11216</v>
      </c>
      <c r="AC154" s="3">
        <f t="shared" si="80"/>
        <v>31.155555555555555</v>
      </c>
      <c r="AD154" s="3">
        <f t="shared" si="58"/>
        <v>31.166666666666664</v>
      </c>
      <c r="AE154" s="48">
        <f t="shared" si="53"/>
        <v>0</v>
      </c>
      <c r="AF154" s="3">
        <f t="shared" si="81"/>
        <v>0</v>
      </c>
      <c r="AH154" s="4"/>
      <c r="AI154" s="4"/>
      <c r="AN154" s="108">
        <f t="shared" si="55"/>
        <v>0</v>
      </c>
    </row>
    <row r="155" spans="1:40" ht="12.75">
      <c r="A155" s="33">
        <f t="shared" si="82"/>
        <v>125</v>
      </c>
      <c r="B155" s="30">
        <f t="shared" si="83"/>
        <v>3</v>
      </c>
      <c r="C155" s="30">
        <f t="shared" si="60"/>
        <v>20</v>
      </c>
      <c r="D155" s="30">
        <f t="shared" si="84"/>
        <v>2048</v>
      </c>
      <c r="E155" s="133">
        <f t="shared" si="85"/>
        <v>0</v>
      </c>
      <c r="F155" s="1"/>
      <c r="G155" s="133">
        <f t="shared" si="59"/>
        <v>0</v>
      </c>
      <c r="H155" s="133">
        <f t="shared" si="42"/>
        <v>0</v>
      </c>
      <c r="I155" s="30">
        <f t="shared" si="86"/>
        <v>11306</v>
      </c>
      <c r="J155" s="133">
        <f t="shared" si="56"/>
        <v>0</v>
      </c>
      <c r="K155" s="10">
        <f t="shared" si="43"/>
        <v>0</v>
      </c>
      <c r="L155" s="22">
        <f t="shared" si="44"/>
        <v>0</v>
      </c>
      <c r="M155" s="10">
        <f t="shared" si="45"/>
        <v>0</v>
      </c>
      <c r="O155" s="30" t="b">
        <f t="shared" si="46"/>
        <v>1</v>
      </c>
      <c r="P155" s="30" t="b">
        <f t="shared" si="47"/>
        <v>0</v>
      </c>
      <c r="Q155" s="30" t="b">
        <f t="shared" si="48"/>
        <v>0</v>
      </c>
      <c r="R155" s="30">
        <f t="shared" si="49"/>
        <v>0</v>
      </c>
      <c r="S155" s="32">
        <f t="shared" si="57"/>
        <v>54137</v>
      </c>
      <c r="Z155" s="10"/>
      <c r="AA155" s="45">
        <f t="shared" si="50"/>
        <v>54137</v>
      </c>
      <c r="AB155" s="3">
        <f t="shared" si="51"/>
        <v>11306</v>
      </c>
      <c r="AC155" s="3">
        <f t="shared" si="80"/>
        <v>31.405555555555555</v>
      </c>
      <c r="AD155" s="3">
        <f t="shared" si="58"/>
        <v>31.416666666666664</v>
      </c>
      <c r="AE155" s="48">
        <f t="shared" si="53"/>
        <v>0</v>
      </c>
      <c r="AF155" s="3">
        <f t="shared" si="81"/>
        <v>0</v>
      </c>
      <c r="AH155" s="4"/>
      <c r="AI155" s="4"/>
      <c r="AN155" s="108">
        <f t="shared" si="55"/>
        <v>0</v>
      </c>
    </row>
    <row r="156" spans="1:40" ht="12.75">
      <c r="A156" s="33">
        <f t="shared" si="82"/>
        <v>126</v>
      </c>
      <c r="B156" s="30">
        <f t="shared" si="83"/>
        <v>6</v>
      </c>
      <c r="C156" s="30">
        <f t="shared" si="60"/>
        <v>20</v>
      </c>
      <c r="D156" s="30">
        <f t="shared" si="84"/>
        <v>2048</v>
      </c>
      <c r="E156" s="133">
        <f t="shared" si="85"/>
        <v>0</v>
      </c>
      <c r="F156" s="1"/>
      <c r="G156" s="133">
        <f t="shared" si="59"/>
        <v>0</v>
      </c>
      <c r="H156" s="133">
        <f t="shared" si="42"/>
        <v>0</v>
      </c>
      <c r="I156" s="30">
        <f t="shared" si="86"/>
        <v>11396</v>
      </c>
      <c r="J156" s="133">
        <f t="shared" si="56"/>
        <v>0</v>
      </c>
      <c r="K156" s="10">
        <f t="shared" si="43"/>
        <v>0</v>
      </c>
      <c r="L156" s="22">
        <f t="shared" si="44"/>
        <v>0</v>
      </c>
      <c r="M156" s="10">
        <f t="shared" si="45"/>
        <v>0</v>
      </c>
      <c r="O156" s="30" t="b">
        <f t="shared" si="46"/>
        <v>0</v>
      </c>
      <c r="P156" s="30" t="b">
        <f t="shared" si="47"/>
        <v>1</v>
      </c>
      <c r="Q156" s="30" t="b">
        <f t="shared" si="48"/>
        <v>0</v>
      </c>
      <c r="R156" s="30">
        <f t="shared" si="49"/>
        <v>0</v>
      </c>
      <c r="S156" s="32">
        <f t="shared" si="57"/>
        <v>54229</v>
      </c>
      <c r="Z156" s="10"/>
      <c r="AA156" s="45">
        <f t="shared" si="50"/>
        <v>54229</v>
      </c>
      <c r="AB156" s="3">
        <f t="shared" si="51"/>
        <v>11396</v>
      </c>
      <c r="AC156" s="3">
        <f t="shared" si="80"/>
        <v>31.655555555555555</v>
      </c>
      <c r="AD156" s="3">
        <f t="shared" si="58"/>
        <v>31.666666666666664</v>
      </c>
      <c r="AE156" s="48">
        <f t="shared" si="53"/>
        <v>0</v>
      </c>
      <c r="AF156" s="3">
        <f t="shared" si="81"/>
        <v>0</v>
      </c>
      <c r="AH156" s="4"/>
      <c r="AI156" s="4"/>
      <c r="AN156" s="108">
        <f t="shared" si="55"/>
        <v>0</v>
      </c>
    </row>
    <row r="157" spans="1:40" ht="12.75">
      <c r="A157" s="33">
        <f t="shared" si="82"/>
        <v>127</v>
      </c>
      <c r="B157" s="30">
        <f t="shared" si="83"/>
        <v>9</v>
      </c>
      <c r="C157" s="30">
        <f t="shared" si="60"/>
        <v>20</v>
      </c>
      <c r="D157" s="30">
        <f t="shared" si="84"/>
        <v>2048</v>
      </c>
      <c r="E157" s="133">
        <f t="shared" si="85"/>
        <v>0</v>
      </c>
      <c r="F157" s="1"/>
      <c r="G157" s="133">
        <f t="shared" si="59"/>
        <v>0</v>
      </c>
      <c r="H157" s="133">
        <f t="shared" si="42"/>
        <v>0</v>
      </c>
      <c r="I157" s="30">
        <f t="shared" si="86"/>
        <v>11486</v>
      </c>
      <c r="J157" s="133">
        <f t="shared" si="56"/>
        <v>0</v>
      </c>
      <c r="K157" s="10">
        <f t="shared" si="43"/>
        <v>0</v>
      </c>
      <c r="L157" s="22">
        <f t="shared" si="44"/>
        <v>0</v>
      </c>
      <c r="M157" s="10">
        <f t="shared" si="45"/>
        <v>0</v>
      </c>
      <c r="O157" s="30" t="b">
        <f t="shared" si="46"/>
        <v>0</v>
      </c>
      <c r="P157" s="30" t="b">
        <f t="shared" si="47"/>
        <v>1</v>
      </c>
      <c r="Q157" s="30" t="b">
        <f t="shared" si="48"/>
        <v>0</v>
      </c>
      <c r="R157" s="30">
        <f t="shared" si="49"/>
        <v>0</v>
      </c>
      <c r="S157" s="32">
        <f t="shared" si="57"/>
        <v>54321</v>
      </c>
      <c r="Z157" s="10"/>
      <c r="AA157" s="45">
        <f t="shared" si="50"/>
        <v>54321</v>
      </c>
      <c r="AB157" s="3">
        <f t="shared" si="51"/>
        <v>11486</v>
      </c>
      <c r="AC157" s="3">
        <f t="shared" si="80"/>
        <v>31.905555555555555</v>
      </c>
      <c r="AD157" s="3">
        <f t="shared" si="58"/>
        <v>31.916666666666664</v>
      </c>
      <c r="AE157" s="48">
        <f t="shared" si="53"/>
        <v>0</v>
      </c>
      <c r="AF157" s="3">
        <f t="shared" si="81"/>
        <v>0</v>
      </c>
      <c r="AH157" s="4"/>
      <c r="AI157" s="4"/>
      <c r="AN157" s="108">
        <f t="shared" si="55"/>
        <v>0</v>
      </c>
    </row>
    <row r="158" spans="1:40" ht="12.75">
      <c r="A158" s="33">
        <f t="shared" si="82"/>
        <v>128</v>
      </c>
      <c r="B158" s="30">
        <f t="shared" si="83"/>
        <v>12</v>
      </c>
      <c r="C158" s="30">
        <f t="shared" si="60"/>
        <v>20</v>
      </c>
      <c r="D158" s="30">
        <f t="shared" si="84"/>
        <v>2048</v>
      </c>
      <c r="E158" s="133">
        <f t="shared" si="85"/>
        <v>0</v>
      </c>
      <c r="F158" s="1"/>
      <c r="G158" s="133">
        <f t="shared" si="59"/>
        <v>0</v>
      </c>
      <c r="H158" s="133">
        <f aca="true" t="shared" si="87" ref="H158:H221">G158+F158</f>
        <v>0</v>
      </c>
      <c r="I158" s="30">
        <f t="shared" si="86"/>
        <v>11576</v>
      </c>
      <c r="J158" s="133">
        <f t="shared" si="56"/>
        <v>0</v>
      </c>
      <c r="K158" s="10">
        <f aca="true" t="shared" si="88" ref="K158:K221">F158*((A158/$F$14)+$E$9/IF($M$3,365,360))</f>
        <v>0</v>
      </c>
      <c r="L158" s="22">
        <f aca="true" t="shared" si="89" ref="L158:L221">(H158/((1+$F$15/$F$14)^(A158+($E$7-$E$8)/365*$F$14)))</f>
        <v>0</v>
      </c>
      <c r="M158" s="10">
        <f aca="true" t="shared" si="90" ref="M158:M221">L158*(A158+($E$7-$E$8)/365*$F$14)</f>
        <v>0</v>
      </c>
      <c r="O158" s="30" t="b">
        <f aca="true" t="shared" si="91" ref="O158:O221">(OR(OR(OR(OR(OR(OR(B158=1,B158=3),B158=5),B158=7),B158=8),B158=10),B158=12))</f>
        <v>1</v>
      </c>
      <c r="P158" s="30" t="b">
        <f aca="true" t="shared" si="92" ref="P158:P221">(OR(OR(OR(B158=4,B158=6),B158=9),B158=11))</f>
        <v>0</v>
      </c>
      <c r="Q158" s="30" t="b">
        <f aca="true" t="shared" si="93" ref="Q158:Q221">OR((AND(B158=2,C158=28)),(AND(B158=2,C158=29)))</f>
        <v>0</v>
      </c>
      <c r="R158" s="30">
        <f aca="true" t="shared" si="94" ref="R158:R221">IF(AND(D158/4=(ROUND(D158/4,0)),B158=2),1,0)</f>
        <v>0</v>
      </c>
      <c r="S158" s="32">
        <f t="shared" si="57"/>
        <v>54412</v>
      </c>
      <c r="Z158" s="10"/>
      <c r="AA158" s="45">
        <f aca="true" t="shared" si="95" ref="AA158:AA221">S158</f>
        <v>54412</v>
      </c>
      <c r="AB158" s="3">
        <f aca="true" t="shared" si="96" ref="AB158:AB221">DAYS360($Z$29,AA158)</f>
        <v>11576</v>
      </c>
      <c r="AC158" s="3">
        <f aca="true" t="shared" si="97" ref="AC158:AC173">AB158/360</f>
        <v>32.15555555555556</v>
      </c>
      <c r="AD158" s="3">
        <f t="shared" si="58"/>
        <v>32.166666666666664</v>
      </c>
      <c r="AE158" s="48">
        <f aca="true" t="shared" si="98" ref="AE158:AE221">F158</f>
        <v>0</v>
      </c>
      <c r="AF158" s="3">
        <f aca="true" t="shared" si="99" ref="AF158:AF173">AE158*AD158</f>
        <v>0</v>
      </c>
      <c r="AH158" s="4"/>
      <c r="AI158" s="4"/>
      <c r="AN158" s="108">
        <f aca="true" t="shared" si="100" ref="AN158:AN221">IF($H158=0,0,DATE($D158,$B158,$C158))</f>
        <v>0</v>
      </c>
    </row>
    <row r="159" spans="1:40" ht="12.75">
      <c r="A159" s="33">
        <f t="shared" si="82"/>
        <v>129</v>
      </c>
      <c r="B159" s="30">
        <f t="shared" si="83"/>
        <v>3</v>
      </c>
      <c r="C159" s="30">
        <f t="shared" si="60"/>
        <v>20</v>
      </c>
      <c r="D159" s="30">
        <f t="shared" si="84"/>
        <v>2049</v>
      </c>
      <c r="E159" s="133">
        <f t="shared" si="85"/>
        <v>0</v>
      </c>
      <c r="F159" s="1"/>
      <c r="G159" s="133">
        <f t="shared" si="59"/>
        <v>0</v>
      </c>
      <c r="H159" s="133">
        <f t="shared" si="87"/>
        <v>0</v>
      </c>
      <c r="I159" s="30">
        <f t="shared" si="86"/>
        <v>11666</v>
      </c>
      <c r="J159" s="133">
        <f aca="true" t="shared" si="101" ref="J159:J222">($H159/((1+$F$19/$F$14)^(I159/360*$F$14)))</f>
        <v>0</v>
      </c>
      <c r="K159" s="10">
        <f t="shared" si="88"/>
        <v>0</v>
      </c>
      <c r="L159" s="22">
        <f t="shared" si="89"/>
        <v>0</v>
      </c>
      <c r="M159" s="10">
        <f t="shared" si="90"/>
        <v>0</v>
      </c>
      <c r="O159" s="30" t="b">
        <f t="shared" si="91"/>
        <v>1</v>
      </c>
      <c r="P159" s="30" t="b">
        <f t="shared" si="92"/>
        <v>0</v>
      </c>
      <c r="Q159" s="30" t="b">
        <f t="shared" si="93"/>
        <v>0</v>
      </c>
      <c r="R159" s="30">
        <f t="shared" si="94"/>
        <v>0</v>
      </c>
      <c r="S159" s="32">
        <f aca="true" t="shared" si="102" ref="S159:S222">IF(D159&gt;2078,0,DATE(+D159-1900,+B159,+C159))</f>
        <v>54502</v>
      </c>
      <c r="Z159" s="10"/>
      <c r="AA159" s="45">
        <f t="shared" si="95"/>
        <v>54502</v>
      </c>
      <c r="AB159" s="3">
        <f t="shared" si="96"/>
        <v>11666</v>
      </c>
      <c r="AC159" s="3">
        <f t="shared" si="97"/>
        <v>32.40555555555556</v>
      </c>
      <c r="AD159" s="3">
        <f aca="true" t="shared" si="103" ref="AD159:AD222">AD158+(1/$AD$16)</f>
        <v>32.416666666666664</v>
      </c>
      <c r="AE159" s="48">
        <f t="shared" si="98"/>
        <v>0</v>
      </c>
      <c r="AF159" s="3">
        <f t="shared" si="99"/>
        <v>0</v>
      </c>
      <c r="AH159" s="4"/>
      <c r="AI159" s="4"/>
      <c r="AN159" s="108">
        <f t="shared" si="100"/>
        <v>0</v>
      </c>
    </row>
    <row r="160" spans="1:40" ht="12.75">
      <c r="A160" s="33">
        <f t="shared" si="82"/>
        <v>130</v>
      </c>
      <c r="B160" s="30">
        <f t="shared" si="83"/>
        <v>6</v>
      </c>
      <c r="C160" s="30">
        <f t="shared" si="60"/>
        <v>20</v>
      </c>
      <c r="D160" s="30">
        <f t="shared" si="84"/>
        <v>2049</v>
      </c>
      <c r="E160" s="133">
        <f t="shared" si="85"/>
        <v>0</v>
      </c>
      <c r="F160" s="1"/>
      <c r="G160" s="133">
        <f aca="true" t="shared" si="104" ref="G160:G223">ROUND(IF(D160&gt;2078,0,IF($M$3,E159*(S160-S159)*$F$15/360,IF(AND(Q160&gt;0,OR(F$12="N",F$12="No")),(E159*F$15/F$14),ROUND(E159*$F$15*DAYS360(S159,S160)/360,2)))),2)</f>
        <v>0</v>
      </c>
      <c r="H160" s="133">
        <f t="shared" si="87"/>
        <v>0</v>
      </c>
      <c r="I160" s="30">
        <f t="shared" si="86"/>
        <v>11756</v>
      </c>
      <c r="J160" s="133">
        <f t="shared" si="101"/>
        <v>0</v>
      </c>
      <c r="K160" s="10">
        <f t="shared" si="88"/>
        <v>0</v>
      </c>
      <c r="L160" s="22">
        <f t="shared" si="89"/>
        <v>0</v>
      </c>
      <c r="M160" s="10">
        <f t="shared" si="90"/>
        <v>0</v>
      </c>
      <c r="O160" s="30" t="b">
        <f t="shared" si="91"/>
        <v>0</v>
      </c>
      <c r="P160" s="30" t="b">
        <f t="shared" si="92"/>
        <v>1</v>
      </c>
      <c r="Q160" s="30" t="b">
        <f t="shared" si="93"/>
        <v>0</v>
      </c>
      <c r="R160" s="30">
        <f t="shared" si="94"/>
        <v>0</v>
      </c>
      <c r="S160" s="32">
        <f t="shared" si="102"/>
        <v>54594</v>
      </c>
      <c r="Z160" s="10"/>
      <c r="AA160" s="45">
        <f t="shared" si="95"/>
        <v>54594</v>
      </c>
      <c r="AB160" s="3">
        <f t="shared" si="96"/>
        <v>11756</v>
      </c>
      <c r="AC160" s="3">
        <f t="shared" si="97"/>
        <v>32.65555555555556</v>
      </c>
      <c r="AD160" s="3">
        <f t="shared" si="103"/>
        <v>32.666666666666664</v>
      </c>
      <c r="AE160" s="48">
        <f t="shared" si="98"/>
        <v>0</v>
      </c>
      <c r="AF160" s="3">
        <f t="shared" si="99"/>
        <v>0</v>
      </c>
      <c r="AH160" s="4"/>
      <c r="AI160" s="4"/>
      <c r="AN160" s="108">
        <f t="shared" si="100"/>
        <v>0</v>
      </c>
    </row>
    <row r="161" spans="1:40" ht="12.75">
      <c r="A161" s="33">
        <f t="shared" si="82"/>
        <v>131</v>
      </c>
      <c r="B161" s="30">
        <f t="shared" si="83"/>
        <v>9</v>
      </c>
      <c r="C161" s="30">
        <f t="shared" si="60"/>
        <v>20</v>
      </c>
      <c r="D161" s="30">
        <f t="shared" si="84"/>
        <v>2049</v>
      </c>
      <c r="E161" s="133">
        <f t="shared" si="85"/>
        <v>0</v>
      </c>
      <c r="F161" s="1"/>
      <c r="G161" s="133">
        <f t="shared" si="104"/>
        <v>0</v>
      </c>
      <c r="H161" s="133">
        <f t="shared" si="87"/>
        <v>0</v>
      </c>
      <c r="I161" s="30">
        <f t="shared" si="86"/>
        <v>11846</v>
      </c>
      <c r="J161" s="133">
        <f t="shared" si="101"/>
        <v>0</v>
      </c>
      <c r="K161" s="10">
        <f t="shared" si="88"/>
        <v>0</v>
      </c>
      <c r="L161" s="22">
        <f t="shared" si="89"/>
        <v>0</v>
      </c>
      <c r="M161" s="10">
        <f t="shared" si="90"/>
        <v>0</v>
      </c>
      <c r="O161" s="30" t="b">
        <f t="shared" si="91"/>
        <v>0</v>
      </c>
      <c r="P161" s="30" t="b">
        <f t="shared" si="92"/>
        <v>1</v>
      </c>
      <c r="Q161" s="30" t="b">
        <f t="shared" si="93"/>
        <v>0</v>
      </c>
      <c r="R161" s="30">
        <f t="shared" si="94"/>
        <v>0</v>
      </c>
      <c r="S161" s="32">
        <f t="shared" si="102"/>
        <v>54686</v>
      </c>
      <c r="Z161" s="10"/>
      <c r="AA161" s="45">
        <f t="shared" si="95"/>
        <v>54686</v>
      </c>
      <c r="AB161" s="3">
        <f t="shared" si="96"/>
        <v>11846</v>
      </c>
      <c r="AC161" s="3">
        <f t="shared" si="97"/>
        <v>32.90555555555556</v>
      </c>
      <c r="AD161" s="3">
        <f t="shared" si="103"/>
        <v>32.916666666666664</v>
      </c>
      <c r="AE161" s="48">
        <f t="shared" si="98"/>
        <v>0</v>
      </c>
      <c r="AF161" s="3">
        <f t="shared" si="99"/>
        <v>0</v>
      </c>
      <c r="AH161" s="4"/>
      <c r="AI161" s="4"/>
      <c r="AN161" s="108">
        <f t="shared" si="100"/>
        <v>0</v>
      </c>
    </row>
    <row r="162" spans="1:40" ht="12.75">
      <c r="A162" s="33">
        <f t="shared" si="82"/>
        <v>132</v>
      </c>
      <c r="B162" s="30">
        <f t="shared" si="83"/>
        <v>12</v>
      </c>
      <c r="C162" s="30">
        <f t="shared" si="60"/>
        <v>20</v>
      </c>
      <c r="D162" s="30">
        <f t="shared" si="84"/>
        <v>2049</v>
      </c>
      <c r="E162" s="133">
        <f t="shared" si="85"/>
        <v>0</v>
      </c>
      <c r="F162" s="1"/>
      <c r="G162" s="133">
        <f t="shared" si="104"/>
        <v>0</v>
      </c>
      <c r="H162" s="133">
        <f t="shared" si="87"/>
        <v>0</v>
      </c>
      <c r="I162" s="30">
        <f t="shared" si="86"/>
        <v>11936</v>
      </c>
      <c r="J162" s="133">
        <f t="shared" si="101"/>
        <v>0</v>
      </c>
      <c r="K162" s="10">
        <f t="shared" si="88"/>
        <v>0</v>
      </c>
      <c r="L162" s="22">
        <f t="shared" si="89"/>
        <v>0</v>
      </c>
      <c r="M162" s="10">
        <f t="shared" si="90"/>
        <v>0</v>
      </c>
      <c r="O162" s="30" t="b">
        <f t="shared" si="91"/>
        <v>1</v>
      </c>
      <c r="P162" s="30" t="b">
        <f t="shared" si="92"/>
        <v>0</v>
      </c>
      <c r="Q162" s="30" t="b">
        <f t="shared" si="93"/>
        <v>0</v>
      </c>
      <c r="R162" s="30">
        <f t="shared" si="94"/>
        <v>0</v>
      </c>
      <c r="S162" s="32">
        <f t="shared" si="102"/>
        <v>54777</v>
      </c>
      <c r="Z162" s="10"/>
      <c r="AA162" s="45">
        <f t="shared" si="95"/>
        <v>54777</v>
      </c>
      <c r="AB162" s="3">
        <f t="shared" si="96"/>
        <v>11936</v>
      </c>
      <c r="AC162" s="3">
        <f t="shared" si="97"/>
        <v>33.15555555555556</v>
      </c>
      <c r="AD162" s="3">
        <f t="shared" si="103"/>
        <v>33.166666666666664</v>
      </c>
      <c r="AE162" s="48">
        <f t="shared" si="98"/>
        <v>0</v>
      </c>
      <c r="AF162" s="3">
        <f t="shared" si="99"/>
        <v>0</v>
      </c>
      <c r="AH162" s="4"/>
      <c r="AI162" s="4"/>
      <c r="AN162" s="108">
        <f t="shared" si="100"/>
        <v>0</v>
      </c>
    </row>
    <row r="163" spans="1:40" ht="12.75">
      <c r="A163" s="33">
        <f t="shared" si="82"/>
        <v>133</v>
      </c>
      <c r="B163" s="30">
        <f t="shared" si="83"/>
        <v>3</v>
      </c>
      <c r="C163" s="30">
        <f t="shared" si="60"/>
        <v>20</v>
      </c>
      <c r="D163" s="30">
        <f t="shared" si="84"/>
        <v>2050</v>
      </c>
      <c r="E163" s="133">
        <f t="shared" si="85"/>
        <v>0</v>
      </c>
      <c r="F163" s="1"/>
      <c r="G163" s="133">
        <f t="shared" si="104"/>
        <v>0</v>
      </c>
      <c r="H163" s="133">
        <f t="shared" si="87"/>
        <v>0</v>
      </c>
      <c r="I163" s="30">
        <f t="shared" si="86"/>
        <v>12026</v>
      </c>
      <c r="J163" s="133">
        <f t="shared" si="101"/>
        <v>0</v>
      </c>
      <c r="K163" s="10">
        <f t="shared" si="88"/>
        <v>0</v>
      </c>
      <c r="L163" s="22">
        <f t="shared" si="89"/>
        <v>0</v>
      </c>
      <c r="M163" s="10">
        <f t="shared" si="90"/>
        <v>0</v>
      </c>
      <c r="O163" s="30" t="b">
        <f t="shared" si="91"/>
        <v>1</v>
      </c>
      <c r="P163" s="30" t="b">
        <f t="shared" si="92"/>
        <v>0</v>
      </c>
      <c r="Q163" s="30" t="b">
        <f t="shared" si="93"/>
        <v>0</v>
      </c>
      <c r="R163" s="30">
        <f t="shared" si="94"/>
        <v>0</v>
      </c>
      <c r="S163" s="32">
        <f t="shared" si="102"/>
        <v>54867</v>
      </c>
      <c r="Z163" s="10"/>
      <c r="AA163" s="45">
        <f t="shared" si="95"/>
        <v>54867</v>
      </c>
      <c r="AB163" s="3">
        <f t="shared" si="96"/>
        <v>12026</v>
      </c>
      <c r="AC163" s="3">
        <f t="shared" si="97"/>
        <v>33.40555555555556</v>
      </c>
      <c r="AD163" s="3">
        <f t="shared" si="103"/>
        <v>33.416666666666664</v>
      </c>
      <c r="AE163" s="48">
        <f t="shared" si="98"/>
        <v>0</v>
      </c>
      <c r="AF163" s="3">
        <f t="shared" si="99"/>
        <v>0</v>
      </c>
      <c r="AH163" s="4"/>
      <c r="AI163" s="4"/>
      <c r="AN163" s="108">
        <f t="shared" si="100"/>
        <v>0</v>
      </c>
    </row>
    <row r="164" spans="1:40" ht="12.75">
      <c r="A164" s="33">
        <f t="shared" si="82"/>
        <v>134</v>
      </c>
      <c r="B164" s="30">
        <f t="shared" si="83"/>
        <v>6</v>
      </c>
      <c r="C164" s="30">
        <f t="shared" si="60"/>
        <v>20</v>
      </c>
      <c r="D164" s="30">
        <f t="shared" si="84"/>
        <v>2050</v>
      </c>
      <c r="E164" s="133">
        <f t="shared" si="85"/>
        <v>0</v>
      </c>
      <c r="F164" s="1"/>
      <c r="G164" s="133">
        <f t="shared" si="104"/>
        <v>0</v>
      </c>
      <c r="H164" s="133">
        <f t="shared" si="87"/>
        <v>0</v>
      </c>
      <c r="I164" s="30">
        <f t="shared" si="86"/>
        <v>12116</v>
      </c>
      <c r="J164" s="133">
        <f t="shared" si="101"/>
        <v>0</v>
      </c>
      <c r="K164" s="10">
        <f t="shared" si="88"/>
        <v>0</v>
      </c>
      <c r="L164" s="22">
        <f t="shared" si="89"/>
        <v>0</v>
      </c>
      <c r="M164" s="10">
        <f t="shared" si="90"/>
        <v>0</v>
      </c>
      <c r="O164" s="30" t="b">
        <f t="shared" si="91"/>
        <v>0</v>
      </c>
      <c r="P164" s="30" t="b">
        <f t="shared" si="92"/>
        <v>1</v>
      </c>
      <c r="Q164" s="30" t="b">
        <f t="shared" si="93"/>
        <v>0</v>
      </c>
      <c r="R164" s="30">
        <f t="shared" si="94"/>
        <v>0</v>
      </c>
      <c r="S164" s="32">
        <f t="shared" si="102"/>
        <v>54959</v>
      </c>
      <c r="Z164" s="10"/>
      <c r="AA164" s="45">
        <f t="shared" si="95"/>
        <v>54959</v>
      </c>
      <c r="AB164" s="3">
        <f t="shared" si="96"/>
        <v>12116</v>
      </c>
      <c r="AC164" s="3">
        <f t="shared" si="97"/>
        <v>33.65555555555556</v>
      </c>
      <c r="AD164" s="3">
        <f t="shared" si="103"/>
        <v>33.666666666666664</v>
      </c>
      <c r="AE164" s="48">
        <f t="shared" si="98"/>
        <v>0</v>
      </c>
      <c r="AF164" s="3">
        <f t="shared" si="99"/>
        <v>0</v>
      </c>
      <c r="AH164" s="4"/>
      <c r="AI164" s="4"/>
      <c r="AN164" s="108">
        <f t="shared" si="100"/>
        <v>0</v>
      </c>
    </row>
    <row r="165" spans="1:40" ht="12.75">
      <c r="A165" s="33">
        <f t="shared" si="82"/>
        <v>135</v>
      </c>
      <c r="B165" s="30">
        <f t="shared" si="83"/>
        <v>9</v>
      </c>
      <c r="C165" s="30">
        <f aca="true" t="shared" si="105" ref="C165:C228">IF(AND((OR(C$30=31,Q$30=1)),P165=1),30,IF(AND((OR(C$30=30,Q$30=1)),O165=1),31,IF(AND(AND(C164&gt;29,B165=2),R165=1),29,IF(AND(AND(C164&gt;29,B165=2),R165=0),28,C$30))))</f>
        <v>20</v>
      </c>
      <c r="D165" s="30">
        <f t="shared" si="84"/>
        <v>2050</v>
      </c>
      <c r="E165" s="133">
        <f t="shared" si="85"/>
        <v>0</v>
      </c>
      <c r="F165" s="1"/>
      <c r="G165" s="133">
        <f t="shared" si="104"/>
        <v>0</v>
      </c>
      <c r="H165" s="133">
        <f t="shared" si="87"/>
        <v>0</v>
      </c>
      <c r="I165" s="30">
        <f t="shared" si="86"/>
        <v>12206</v>
      </c>
      <c r="J165" s="133">
        <f t="shared" si="101"/>
        <v>0</v>
      </c>
      <c r="K165" s="10">
        <f t="shared" si="88"/>
        <v>0</v>
      </c>
      <c r="L165" s="22">
        <f t="shared" si="89"/>
        <v>0</v>
      </c>
      <c r="M165" s="10">
        <f t="shared" si="90"/>
        <v>0</v>
      </c>
      <c r="O165" s="30" t="b">
        <f t="shared" si="91"/>
        <v>0</v>
      </c>
      <c r="P165" s="30" t="b">
        <f t="shared" si="92"/>
        <v>1</v>
      </c>
      <c r="Q165" s="30" t="b">
        <f t="shared" si="93"/>
        <v>0</v>
      </c>
      <c r="R165" s="30">
        <f t="shared" si="94"/>
        <v>0</v>
      </c>
      <c r="S165" s="32">
        <f t="shared" si="102"/>
        <v>55051</v>
      </c>
      <c r="Z165" s="10"/>
      <c r="AA165" s="45">
        <f t="shared" si="95"/>
        <v>55051</v>
      </c>
      <c r="AB165" s="3">
        <f t="shared" si="96"/>
        <v>12206</v>
      </c>
      <c r="AC165" s="3">
        <f t="shared" si="97"/>
        <v>33.90555555555556</v>
      </c>
      <c r="AD165" s="3">
        <f t="shared" si="103"/>
        <v>33.916666666666664</v>
      </c>
      <c r="AE165" s="48">
        <f t="shared" si="98"/>
        <v>0</v>
      </c>
      <c r="AF165" s="3">
        <f t="shared" si="99"/>
        <v>0</v>
      </c>
      <c r="AH165" s="4"/>
      <c r="AI165" s="4"/>
      <c r="AN165" s="108">
        <f t="shared" si="100"/>
        <v>0</v>
      </c>
    </row>
    <row r="166" spans="1:40" ht="12.75">
      <c r="A166" s="33">
        <f t="shared" si="82"/>
        <v>136</v>
      </c>
      <c r="B166" s="30">
        <f t="shared" si="83"/>
        <v>12</v>
      </c>
      <c r="C166" s="30">
        <f t="shared" si="105"/>
        <v>20</v>
      </c>
      <c r="D166" s="30">
        <f t="shared" si="84"/>
        <v>2050</v>
      </c>
      <c r="E166" s="133">
        <f t="shared" si="85"/>
        <v>0</v>
      </c>
      <c r="F166" s="1"/>
      <c r="G166" s="133">
        <f t="shared" si="104"/>
        <v>0</v>
      </c>
      <c r="H166" s="133">
        <f t="shared" si="87"/>
        <v>0</v>
      </c>
      <c r="I166" s="30">
        <f t="shared" si="86"/>
        <v>12296</v>
      </c>
      <c r="J166" s="133">
        <f t="shared" si="101"/>
        <v>0</v>
      </c>
      <c r="K166" s="10">
        <f t="shared" si="88"/>
        <v>0</v>
      </c>
      <c r="L166" s="22">
        <f t="shared" si="89"/>
        <v>0</v>
      </c>
      <c r="M166" s="10">
        <f t="shared" si="90"/>
        <v>0</v>
      </c>
      <c r="O166" s="30" t="b">
        <f t="shared" si="91"/>
        <v>1</v>
      </c>
      <c r="P166" s="30" t="b">
        <f t="shared" si="92"/>
        <v>0</v>
      </c>
      <c r="Q166" s="30" t="b">
        <f t="shared" si="93"/>
        <v>0</v>
      </c>
      <c r="R166" s="30">
        <f t="shared" si="94"/>
        <v>0</v>
      </c>
      <c r="S166" s="32">
        <f t="shared" si="102"/>
        <v>55142</v>
      </c>
      <c r="Z166" s="10"/>
      <c r="AA166" s="45">
        <f t="shared" si="95"/>
        <v>55142</v>
      </c>
      <c r="AB166" s="3">
        <f t="shared" si="96"/>
        <v>12296</v>
      </c>
      <c r="AC166" s="3">
        <f t="shared" si="97"/>
        <v>34.15555555555556</v>
      </c>
      <c r="AD166" s="3">
        <f t="shared" si="103"/>
        <v>34.166666666666664</v>
      </c>
      <c r="AE166" s="48">
        <f t="shared" si="98"/>
        <v>0</v>
      </c>
      <c r="AF166" s="3">
        <f t="shared" si="99"/>
        <v>0</v>
      </c>
      <c r="AH166" s="4"/>
      <c r="AI166" s="4"/>
      <c r="AN166" s="108">
        <f t="shared" si="100"/>
        <v>0</v>
      </c>
    </row>
    <row r="167" spans="1:40" ht="12.75">
      <c r="A167" s="33">
        <f aca="true" t="shared" si="106" ref="A167:A182">A166+1</f>
        <v>137</v>
      </c>
      <c r="B167" s="30">
        <f aca="true" t="shared" si="107" ref="B167:B182">IF(F$14=12,MOD(B166,12)+1,IF(F$14=4,IF(AND(MOD(B166,12)+3&gt;12,B166=11),2,IF(MOD(B166,12)+3&gt;12,1,MOD(B166,12)+3)),IF(F$14=2,IF((B166+6)&gt;12,(B166+6)-12,MOD(B166,12)+6),+B166)))</f>
        <v>3</v>
      </c>
      <c r="C167" s="30">
        <f t="shared" si="105"/>
        <v>20</v>
      </c>
      <c r="D167" s="30">
        <f aca="true" t="shared" si="108" ref="D167:D182">IF(F$14=1,D166+1,IF(AND(F$14=2,B167&lt;B166),D166+1,IF(AND(F$14=4,B167&lt;B166),D166+1,IF(OR(B167=1,B166=12),D166+1,D166))))</f>
        <v>2051</v>
      </c>
      <c r="E167" s="133">
        <f aca="true" t="shared" si="109" ref="E167:E182">ROUND(IF((+E166-F167)&lt;=-1,#VALUE!,E166-F167),2)</f>
        <v>0</v>
      </c>
      <c r="F167" s="1"/>
      <c r="G167" s="133">
        <f t="shared" si="104"/>
        <v>0</v>
      </c>
      <c r="H167" s="133">
        <f t="shared" si="87"/>
        <v>0</v>
      </c>
      <c r="I167" s="30">
        <f aca="true" t="shared" si="110" ref="I167:I182">I166+(360/$F$14)</f>
        <v>12386</v>
      </c>
      <c r="J167" s="133">
        <f t="shared" si="101"/>
        <v>0</v>
      </c>
      <c r="K167" s="10">
        <f t="shared" si="88"/>
        <v>0</v>
      </c>
      <c r="L167" s="22">
        <f t="shared" si="89"/>
        <v>0</v>
      </c>
      <c r="M167" s="10">
        <f t="shared" si="90"/>
        <v>0</v>
      </c>
      <c r="O167" s="30" t="b">
        <f t="shared" si="91"/>
        <v>1</v>
      </c>
      <c r="P167" s="30" t="b">
        <f t="shared" si="92"/>
        <v>0</v>
      </c>
      <c r="Q167" s="30" t="b">
        <f t="shared" si="93"/>
        <v>0</v>
      </c>
      <c r="R167" s="30">
        <f t="shared" si="94"/>
        <v>0</v>
      </c>
      <c r="S167" s="32">
        <f t="shared" si="102"/>
        <v>55232</v>
      </c>
      <c r="Z167" s="10"/>
      <c r="AA167" s="45">
        <f t="shared" si="95"/>
        <v>55232</v>
      </c>
      <c r="AB167" s="3">
        <f t="shared" si="96"/>
        <v>12386</v>
      </c>
      <c r="AC167" s="3">
        <f t="shared" si="97"/>
        <v>34.40555555555556</v>
      </c>
      <c r="AD167" s="3">
        <f t="shared" si="103"/>
        <v>34.416666666666664</v>
      </c>
      <c r="AE167" s="48">
        <f t="shared" si="98"/>
        <v>0</v>
      </c>
      <c r="AF167" s="3">
        <f t="shared" si="99"/>
        <v>0</v>
      </c>
      <c r="AH167" s="4"/>
      <c r="AI167" s="4"/>
      <c r="AN167" s="108">
        <f t="shared" si="100"/>
        <v>0</v>
      </c>
    </row>
    <row r="168" spans="1:40" ht="12.75">
      <c r="A168" s="33">
        <f t="shared" si="106"/>
        <v>138</v>
      </c>
      <c r="B168" s="30">
        <f t="shared" si="107"/>
        <v>6</v>
      </c>
      <c r="C168" s="30">
        <f t="shared" si="105"/>
        <v>20</v>
      </c>
      <c r="D168" s="30">
        <f t="shared" si="108"/>
        <v>2051</v>
      </c>
      <c r="E168" s="133">
        <f t="shared" si="109"/>
        <v>0</v>
      </c>
      <c r="F168" s="1"/>
      <c r="G168" s="133">
        <f t="shared" si="104"/>
        <v>0</v>
      </c>
      <c r="H168" s="133">
        <f t="shared" si="87"/>
        <v>0</v>
      </c>
      <c r="I168" s="30">
        <f t="shared" si="110"/>
        <v>12476</v>
      </c>
      <c r="J168" s="133">
        <f t="shared" si="101"/>
        <v>0</v>
      </c>
      <c r="K168" s="10">
        <f t="shared" si="88"/>
        <v>0</v>
      </c>
      <c r="L168" s="22">
        <f t="shared" si="89"/>
        <v>0</v>
      </c>
      <c r="M168" s="10">
        <f t="shared" si="90"/>
        <v>0</v>
      </c>
      <c r="O168" s="30" t="b">
        <f t="shared" si="91"/>
        <v>0</v>
      </c>
      <c r="P168" s="30" t="b">
        <f t="shared" si="92"/>
        <v>1</v>
      </c>
      <c r="Q168" s="30" t="b">
        <f t="shared" si="93"/>
        <v>0</v>
      </c>
      <c r="R168" s="30">
        <f t="shared" si="94"/>
        <v>0</v>
      </c>
      <c r="S168" s="32">
        <f t="shared" si="102"/>
        <v>55324</v>
      </c>
      <c r="Z168" s="10"/>
      <c r="AA168" s="45">
        <f t="shared" si="95"/>
        <v>55324</v>
      </c>
      <c r="AB168" s="3">
        <f t="shared" si="96"/>
        <v>12476</v>
      </c>
      <c r="AC168" s="3">
        <f t="shared" si="97"/>
        <v>34.65555555555556</v>
      </c>
      <c r="AD168" s="3">
        <f t="shared" si="103"/>
        <v>34.666666666666664</v>
      </c>
      <c r="AE168" s="48">
        <f t="shared" si="98"/>
        <v>0</v>
      </c>
      <c r="AF168" s="3">
        <f t="shared" si="99"/>
        <v>0</v>
      </c>
      <c r="AH168" s="4"/>
      <c r="AI168" s="4"/>
      <c r="AN168" s="108">
        <f t="shared" si="100"/>
        <v>0</v>
      </c>
    </row>
    <row r="169" spans="1:40" ht="12.75">
      <c r="A169" s="33">
        <f t="shared" si="106"/>
        <v>139</v>
      </c>
      <c r="B169" s="30">
        <f t="shared" si="107"/>
        <v>9</v>
      </c>
      <c r="C169" s="30">
        <f t="shared" si="105"/>
        <v>20</v>
      </c>
      <c r="D169" s="30">
        <f t="shared" si="108"/>
        <v>2051</v>
      </c>
      <c r="E169" s="133">
        <f t="shared" si="109"/>
        <v>0</v>
      </c>
      <c r="F169" s="1"/>
      <c r="G169" s="133">
        <f t="shared" si="104"/>
        <v>0</v>
      </c>
      <c r="H169" s="133">
        <f t="shared" si="87"/>
        <v>0</v>
      </c>
      <c r="I169" s="30">
        <f t="shared" si="110"/>
        <v>12566</v>
      </c>
      <c r="J169" s="133">
        <f t="shared" si="101"/>
        <v>0</v>
      </c>
      <c r="K169" s="10">
        <f t="shared" si="88"/>
        <v>0</v>
      </c>
      <c r="L169" s="22">
        <f t="shared" si="89"/>
        <v>0</v>
      </c>
      <c r="M169" s="10">
        <f t="shared" si="90"/>
        <v>0</v>
      </c>
      <c r="O169" s="30" t="b">
        <f t="shared" si="91"/>
        <v>0</v>
      </c>
      <c r="P169" s="30" t="b">
        <f t="shared" si="92"/>
        <v>1</v>
      </c>
      <c r="Q169" s="30" t="b">
        <f t="shared" si="93"/>
        <v>0</v>
      </c>
      <c r="R169" s="30">
        <f t="shared" si="94"/>
        <v>0</v>
      </c>
      <c r="S169" s="32">
        <f t="shared" si="102"/>
        <v>55416</v>
      </c>
      <c r="Z169" s="10"/>
      <c r="AA169" s="45">
        <f t="shared" si="95"/>
        <v>55416</v>
      </c>
      <c r="AB169" s="3">
        <f t="shared" si="96"/>
        <v>12566</v>
      </c>
      <c r="AC169" s="3">
        <f t="shared" si="97"/>
        <v>34.90555555555556</v>
      </c>
      <c r="AD169" s="3">
        <f t="shared" si="103"/>
        <v>34.916666666666664</v>
      </c>
      <c r="AE169" s="48">
        <f t="shared" si="98"/>
        <v>0</v>
      </c>
      <c r="AF169" s="3">
        <f t="shared" si="99"/>
        <v>0</v>
      </c>
      <c r="AH169" s="4"/>
      <c r="AI169" s="4"/>
      <c r="AN169" s="108">
        <f t="shared" si="100"/>
        <v>0</v>
      </c>
    </row>
    <row r="170" spans="1:40" ht="12.75">
      <c r="A170" s="33">
        <f t="shared" si="106"/>
        <v>140</v>
      </c>
      <c r="B170" s="30">
        <f t="shared" si="107"/>
        <v>12</v>
      </c>
      <c r="C170" s="30">
        <f t="shared" si="105"/>
        <v>20</v>
      </c>
      <c r="D170" s="30">
        <f t="shared" si="108"/>
        <v>2051</v>
      </c>
      <c r="E170" s="133">
        <f t="shared" si="109"/>
        <v>0</v>
      </c>
      <c r="F170" s="1"/>
      <c r="G170" s="133">
        <f t="shared" si="104"/>
        <v>0</v>
      </c>
      <c r="H170" s="133">
        <f t="shared" si="87"/>
        <v>0</v>
      </c>
      <c r="I170" s="30">
        <f t="shared" si="110"/>
        <v>12656</v>
      </c>
      <c r="J170" s="133">
        <f t="shared" si="101"/>
        <v>0</v>
      </c>
      <c r="K170" s="10">
        <f t="shared" si="88"/>
        <v>0</v>
      </c>
      <c r="L170" s="22">
        <f t="shared" si="89"/>
        <v>0</v>
      </c>
      <c r="M170" s="10">
        <f t="shared" si="90"/>
        <v>0</v>
      </c>
      <c r="O170" s="30" t="b">
        <f t="shared" si="91"/>
        <v>1</v>
      </c>
      <c r="P170" s="30" t="b">
        <f t="shared" si="92"/>
        <v>0</v>
      </c>
      <c r="Q170" s="30" t="b">
        <f t="shared" si="93"/>
        <v>0</v>
      </c>
      <c r="R170" s="30">
        <f t="shared" si="94"/>
        <v>0</v>
      </c>
      <c r="S170" s="32">
        <f t="shared" si="102"/>
        <v>55507</v>
      </c>
      <c r="Z170" s="10"/>
      <c r="AA170" s="45">
        <f t="shared" si="95"/>
        <v>55507</v>
      </c>
      <c r="AB170" s="3">
        <f t="shared" si="96"/>
        <v>12656</v>
      </c>
      <c r="AC170" s="3">
        <f t="shared" si="97"/>
        <v>35.15555555555556</v>
      </c>
      <c r="AD170" s="3">
        <f t="shared" si="103"/>
        <v>35.166666666666664</v>
      </c>
      <c r="AE170" s="48">
        <f t="shared" si="98"/>
        <v>0</v>
      </c>
      <c r="AF170" s="3">
        <f t="shared" si="99"/>
        <v>0</v>
      </c>
      <c r="AH170" s="4"/>
      <c r="AI170" s="4"/>
      <c r="AN170" s="108">
        <f t="shared" si="100"/>
        <v>0</v>
      </c>
    </row>
    <row r="171" spans="1:40" ht="12.75">
      <c r="A171" s="33">
        <f t="shared" si="106"/>
        <v>141</v>
      </c>
      <c r="B171" s="30">
        <f t="shared" si="107"/>
        <v>3</v>
      </c>
      <c r="C171" s="30">
        <f t="shared" si="105"/>
        <v>20</v>
      </c>
      <c r="D171" s="30">
        <f t="shared" si="108"/>
        <v>2052</v>
      </c>
      <c r="E171" s="133">
        <f t="shared" si="109"/>
        <v>0</v>
      </c>
      <c r="F171" s="1"/>
      <c r="G171" s="133">
        <f t="shared" si="104"/>
        <v>0</v>
      </c>
      <c r="H171" s="133">
        <f t="shared" si="87"/>
        <v>0</v>
      </c>
      <c r="I171" s="30">
        <f t="shared" si="110"/>
        <v>12746</v>
      </c>
      <c r="J171" s="133">
        <f t="shared" si="101"/>
        <v>0</v>
      </c>
      <c r="K171" s="10">
        <f t="shared" si="88"/>
        <v>0</v>
      </c>
      <c r="L171" s="22">
        <f t="shared" si="89"/>
        <v>0</v>
      </c>
      <c r="M171" s="10">
        <f t="shared" si="90"/>
        <v>0</v>
      </c>
      <c r="O171" s="30" t="b">
        <f t="shared" si="91"/>
        <v>1</v>
      </c>
      <c r="P171" s="30" t="b">
        <f t="shared" si="92"/>
        <v>0</v>
      </c>
      <c r="Q171" s="30" t="b">
        <f t="shared" si="93"/>
        <v>0</v>
      </c>
      <c r="R171" s="30">
        <f t="shared" si="94"/>
        <v>0</v>
      </c>
      <c r="S171" s="32">
        <f t="shared" si="102"/>
        <v>55598</v>
      </c>
      <c r="Z171" s="10"/>
      <c r="AA171" s="45">
        <f t="shared" si="95"/>
        <v>55598</v>
      </c>
      <c r="AB171" s="3">
        <f t="shared" si="96"/>
        <v>12746</v>
      </c>
      <c r="AC171" s="3">
        <f t="shared" si="97"/>
        <v>35.40555555555556</v>
      </c>
      <c r="AD171" s="3">
        <f t="shared" si="103"/>
        <v>35.416666666666664</v>
      </c>
      <c r="AE171" s="48">
        <f t="shared" si="98"/>
        <v>0</v>
      </c>
      <c r="AF171" s="3">
        <f t="shared" si="99"/>
        <v>0</v>
      </c>
      <c r="AH171" s="4"/>
      <c r="AI171" s="4"/>
      <c r="AN171" s="108">
        <f t="shared" si="100"/>
        <v>0</v>
      </c>
    </row>
    <row r="172" spans="1:40" ht="12.75">
      <c r="A172" s="33">
        <f t="shared" si="106"/>
        <v>142</v>
      </c>
      <c r="B172" s="30">
        <f t="shared" si="107"/>
        <v>6</v>
      </c>
      <c r="C172" s="30">
        <f t="shared" si="105"/>
        <v>20</v>
      </c>
      <c r="D172" s="30">
        <f t="shared" si="108"/>
        <v>2052</v>
      </c>
      <c r="E172" s="133">
        <f t="shared" si="109"/>
        <v>0</v>
      </c>
      <c r="F172" s="1"/>
      <c r="G172" s="133">
        <f t="shared" si="104"/>
        <v>0</v>
      </c>
      <c r="H172" s="133">
        <f t="shared" si="87"/>
        <v>0</v>
      </c>
      <c r="I172" s="30">
        <f t="shared" si="110"/>
        <v>12836</v>
      </c>
      <c r="J172" s="133">
        <f t="shared" si="101"/>
        <v>0</v>
      </c>
      <c r="K172" s="10">
        <f t="shared" si="88"/>
        <v>0</v>
      </c>
      <c r="L172" s="22">
        <f t="shared" si="89"/>
        <v>0</v>
      </c>
      <c r="M172" s="10">
        <f t="shared" si="90"/>
        <v>0</v>
      </c>
      <c r="O172" s="30" t="b">
        <f t="shared" si="91"/>
        <v>0</v>
      </c>
      <c r="P172" s="30" t="b">
        <f t="shared" si="92"/>
        <v>1</v>
      </c>
      <c r="Q172" s="30" t="b">
        <f t="shared" si="93"/>
        <v>0</v>
      </c>
      <c r="R172" s="30">
        <f t="shared" si="94"/>
        <v>0</v>
      </c>
      <c r="S172" s="32">
        <f t="shared" si="102"/>
        <v>55690</v>
      </c>
      <c r="Z172" s="10"/>
      <c r="AA172" s="45">
        <f t="shared" si="95"/>
        <v>55690</v>
      </c>
      <c r="AB172" s="3">
        <f t="shared" si="96"/>
        <v>12836</v>
      </c>
      <c r="AC172" s="3">
        <f t="shared" si="97"/>
        <v>35.65555555555556</v>
      </c>
      <c r="AD172" s="3">
        <f t="shared" si="103"/>
        <v>35.666666666666664</v>
      </c>
      <c r="AE172" s="48">
        <f t="shared" si="98"/>
        <v>0</v>
      </c>
      <c r="AF172" s="3">
        <f t="shared" si="99"/>
        <v>0</v>
      </c>
      <c r="AH172" s="4"/>
      <c r="AI172" s="4"/>
      <c r="AN172" s="108">
        <f t="shared" si="100"/>
        <v>0</v>
      </c>
    </row>
    <row r="173" spans="1:40" ht="12.75">
      <c r="A173" s="33">
        <f t="shared" si="106"/>
        <v>143</v>
      </c>
      <c r="B173" s="30">
        <f t="shared" si="107"/>
        <v>9</v>
      </c>
      <c r="C173" s="30">
        <f t="shared" si="105"/>
        <v>20</v>
      </c>
      <c r="D173" s="30">
        <f t="shared" si="108"/>
        <v>2052</v>
      </c>
      <c r="E173" s="133">
        <f t="shared" si="109"/>
        <v>0</v>
      </c>
      <c r="F173" s="1"/>
      <c r="G173" s="133">
        <f t="shared" si="104"/>
        <v>0</v>
      </c>
      <c r="H173" s="133">
        <f t="shared" si="87"/>
        <v>0</v>
      </c>
      <c r="I173" s="30">
        <f t="shared" si="110"/>
        <v>12926</v>
      </c>
      <c r="J173" s="133">
        <f t="shared" si="101"/>
        <v>0</v>
      </c>
      <c r="K173" s="10">
        <f t="shared" si="88"/>
        <v>0</v>
      </c>
      <c r="L173" s="22">
        <f t="shared" si="89"/>
        <v>0</v>
      </c>
      <c r="M173" s="10">
        <f t="shared" si="90"/>
        <v>0</v>
      </c>
      <c r="O173" s="30" t="b">
        <f t="shared" si="91"/>
        <v>0</v>
      </c>
      <c r="P173" s="30" t="b">
        <f t="shared" si="92"/>
        <v>1</v>
      </c>
      <c r="Q173" s="30" t="b">
        <f t="shared" si="93"/>
        <v>0</v>
      </c>
      <c r="R173" s="30">
        <f t="shared" si="94"/>
        <v>0</v>
      </c>
      <c r="S173" s="32">
        <f t="shared" si="102"/>
        <v>55782</v>
      </c>
      <c r="Z173" s="10"/>
      <c r="AA173" s="45">
        <f t="shared" si="95"/>
        <v>55782</v>
      </c>
      <c r="AB173" s="3">
        <f t="shared" si="96"/>
        <v>12926</v>
      </c>
      <c r="AC173" s="3">
        <f t="shared" si="97"/>
        <v>35.90555555555556</v>
      </c>
      <c r="AD173" s="3">
        <f t="shared" si="103"/>
        <v>35.916666666666664</v>
      </c>
      <c r="AE173" s="48">
        <f t="shared" si="98"/>
        <v>0</v>
      </c>
      <c r="AF173" s="3">
        <f t="shared" si="99"/>
        <v>0</v>
      </c>
      <c r="AH173" s="4"/>
      <c r="AI173" s="4"/>
      <c r="AN173" s="108">
        <f t="shared" si="100"/>
        <v>0</v>
      </c>
    </row>
    <row r="174" spans="1:40" ht="12.75">
      <c r="A174" s="33">
        <f t="shared" si="106"/>
        <v>144</v>
      </c>
      <c r="B174" s="30">
        <f t="shared" si="107"/>
        <v>12</v>
      </c>
      <c r="C174" s="30">
        <f t="shared" si="105"/>
        <v>20</v>
      </c>
      <c r="D174" s="30">
        <f t="shared" si="108"/>
        <v>2052</v>
      </c>
      <c r="E174" s="133">
        <f t="shared" si="109"/>
        <v>0</v>
      </c>
      <c r="F174" s="1"/>
      <c r="G174" s="133">
        <f t="shared" si="104"/>
        <v>0</v>
      </c>
      <c r="H174" s="133">
        <f t="shared" si="87"/>
        <v>0</v>
      </c>
      <c r="I174" s="30">
        <f t="shared" si="110"/>
        <v>13016</v>
      </c>
      <c r="J174" s="133">
        <f t="shared" si="101"/>
        <v>0</v>
      </c>
      <c r="K174" s="10">
        <f t="shared" si="88"/>
        <v>0</v>
      </c>
      <c r="L174" s="22">
        <f t="shared" si="89"/>
        <v>0</v>
      </c>
      <c r="M174" s="10">
        <f t="shared" si="90"/>
        <v>0</v>
      </c>
      <c r="O174" s="30" t="b">
        <f t="shared" si="91"/>
        <v>1</v>
      </c>
      <c r="P174" s="30" t="b">
        <f t="shared" si="92"/>
        <v>0</v>
      </c>
      <c r="Q174" s="30" t="b">
        <f t="shared" si="93"/>
        <v>0</v>
      </c>
      <c r="R174" s="30">
        <f t="shared" si="94"/>
        <v>0</v>
      </c>
      <c r="S174" s="32">
        <f t="shared" si="102"/>
        <v>55873</v>
      </c>
      <c r="Z174" s="10"/>
      <c r="AA174" s="45">
        <f t="shared" si="95"/>
        <v>55873</v>
      </c>
      <c r="AB174" s="3">
        <f t="shared" si="96"/>
        <v>13016</v>
      </c>
      <c r="AC174" s="3">
        <f aca="true" t="shared" si="111" ref="AC174:AC189">AB174/360</f>
        <v>36.15555555555556</v>
      </c>
      <c r="AD174" s="3">
        <f t="shared" si="103"/>
        <v>36.166666666666664</v>
      </c>
      <c r="AE174" s="48">
        <f t="shared" si="98"/>
        <v>0</v>
      </c>
      <c r="AF174" s="3">
        <f aca="true" t="shared" si="112" ref="AF174:AF189">AE174*AD174</f>
        <v>0</v>
      </c>
      <c r="AH174" s="4"/>
      <c r="AI174" s="4"/>
      <c r="AN174" s="108">
        <f t="shared" si="100"/>
        <v>0</v>
      </c>
    </row>
    <row r="175" spans="1:40" ht="12.75">
      <c r="A175" s="33">
        <f t="shared" si="106"/>
        <v>145</v>
      </c>
      <c r="B175" s="30">
        <f t="shared" si="107"/>
        <v>3</v>
      </c>
      <c r="C175" s="30">
        <f t="shared" si="105"/>
        <v>20</v>
      </c>
      <c r="D175" s="30">
        <f t="shared" si="108"/>
        <v>2053</v>
      </c>
      <c r="E175" s="133">
        <f t="shared" si="109"/>
        <v>0</v>
      </c>
      <c r="F175" s="1"/>
      <c r="G175" s="133">
        <f t="shared" si="104"/>
        <v>0</v>
      </c>
      <c r="H175" s="133">
        <f t="shared" si="87"/>
        <v>0</v>
      </c>
      <c r="I175" s="30">
        <f t="shared" si="110"/>
        <v>13106</v>
      </c>
      <c r="J175" s="133">
        <f t="shared" si="101"/>
        <v>0</v>
      </c>
      <c r="K175" s="10">
        <f t="shared" si="88"/>
        <v>0</v>
      </c>
      <c r="L175" s="22">
        <f t="shared" si="89"/>
        <v>0</v>
      </c>
      <c r="M175" s="10">
        <f t="shared" si="90"/>
        <v>0</v>
      </c>
      <c r="O175" s="30" t="b">
        <f t="shared" si="91"/>
        <v>1</v>
      </c>
      <c r="P175" s="30" t="b">
        <f t="shared" si="92"/>
        <v>0</v>
      </c>
      <c r="Q175" s="30" t="b">
        <f t="shared" si="93"/>
        <v>0</v>
      </c>
      <c r="R175" s="30">
        <f t="shared" si="94"/>
        <v>0</v>
      </c>
      <c r="S175" s="32">
        <f t="shared" si="102"/>
        <v>55963</v>
      </c>
      <c r="Z175" s="10"/>
      <c r="AA175" s="45">
        <f t="shared" si="95"/>
        <v>55963</v>
      </c>
      <c r="AB175" s="3">
        <f t="shared" si="96"/>
        <v>13106</v>
      </c>
      <c r="AC175" s="3">
        <f t="shared" si="111"/>
        <v>36.40555555555556</v>
      </c>
      <c r="AD175" s="3">
        <f t="shared" si="103"/>
        <v>36.416666666666664</v>
      </c>
      <c r="AE175" s="48">
        <f t="shared" si="98"/>
        <v>0</v>
      </c>
      <c r="AF175" s="3">
        <f t="shared" si="112"/>
        <v>0</v>
      </c>
      <c r="AH175" s="4"/>
      <c r="AI175" s="4"/>
      <c r="AN175" s="108">
        <f t="shared" si="100"/>
        <v>0</v>
      </c>
    </row>
    <row r="176" spans="1:40" ht="12.75">
      <c r="A176" s="33">
        <f t="shared" si="106"/>
        <v>146</v>
      </c>
      <c r="B176" s="30">
        <f t="shared" si="107"/>
        <v>6</v>
      </c>
      <c r="C176" s="30">
        <f t="shared" si="105"/>
        <v>20</v>
      </c>
      <c r="D176" s="30">
        <f t="shared" si="108"/>
        <v>2053</v>
      </c>
      <c r="E176" s="133">
        <f t="shared" si="109"/>
        <v>0</v>
      </c>
      <c r="F176" s="1"/>
      <c r="G176" s="133">
        <f t="shared" si="104"/>
        <v>0</v>
      </c>
      <c r="H176" s="133">
        <f t="shared" si="87"/>
        <v>0</v>
      </c>
      <c r="I176" s="30">
        <f t="shared" si="110"/>
        <v>13196</v>
      </c>
      <c r="J176" s="133">
        <f t="shared" si="101"/>
        <v>0</v>
      </c>
      <c r="K176" s="10">
        <f t="shared" si="88"/>
        <v>0</v>
      </c>
      <c r="L176" s="22">
        <f t="shared" si="89"/>
        <v>0</v>
      </c>
      <c r="M176" s="10">
        <f t="shared" si="90"/>
        <v>0</v>
      </c>
      <c r="O176" s="30" t="b">
        <f t="shared" si="91"/>
        <v>0</v>
      </c>
      <c r="P176" s="30" t="b">
        <f t="shared" si="92"/>
        <v>1</v>
      </c>
      <c r="Q176" s="30" t="b">
        <f t="shared" si="93"/>
        <v>0</v>
      </c>
      <c r="R176" s="30">
        <f t="shared" si="94"/>
        <v>0</v>
      </c>
      <c r="S176" s="32">
        <f t="shared" si="102"/>
        <v>56055</v>
      </c>
      <c r="Z176" s="10"/>
      <c r="AA176" s="45">
        <f t="shared" si="95"/>
        <v>56055</v>
      </c>
      <c r="AB176" s="3">
        <f t="shared" si="96"/>
        <v>13196</v>
      </c>
      <c r="AC176" s="3">
        <f t="shared" si="111"/>
        <v>36.65555555555556</v>
      </c>
      <c r="AD176" s="3">
        <f t="shared" si="103"/>
        <v>36.666666666666664</v>
      </c>
      <c r="AE176" s="48">
        <f t="shared" si="98"/>
        <v>0</v>
      </c>
      <c r="AF176" s="3">
        <f t="shared" si="112"/>
        <v>0</v>
      </c>
      <c r="AH176" s="4"/>
      <c r="AI176" s="4"/>
      <c r="AN176" s="108">
        <f t="shared" si="100"/>
        <v>0</v>
      </c>
    </row>
    <row r="177" spans="1:40" ht="12.75">
      <c r="A177" s="33">
        <f t="shared" si="106"/>
        <v>147</v>
      </c>
      <c r="B177" s="30">
        <f t="shared" si="107"/>
        <v>9</v>
      </c>
      <c r="C177" s="30">
        <f t="shared" si="105"/>
        <v>20</v>
      </c>
      <c r="D177" s="30">
        <f t="shared" si="108"/>
        <v>2053</v>
      </c>
      <c r="E177" s="133">
        <f t="shared" si="109"/>
        <v>0</v>
      </c>
      <c r="F177" s="1"/>
      <c r="G177" s="133">
        <f t="shared" si="104"/>
        <v>0</v>
      </c>
      <c r="H177" s="133">
        <f t="shared" si="87"/>
        <v>0</v>
      </c>
      <c r="I177" s="30">
        <f t="shared" si="110"/>
        <v>13286</v>
      </c>
      <c r="J177" s="133">
        <f t="shared" si="101"/>
        <v>0</v>
      </c>
      <c r="K177" s="10">
        <f t="shared" si="88"/>
        <v>0</v>
      </c>
      <c r="L177" s="22">
        <f t="shared" si="89"/>
        <v>0</v>
      </c>
      <c r="M177" s="10">
        <f t="shared" si="90"/>
        <v>0</v>
      </c>
      <c r="O177" s="30" t="b">
        <f t="shared" si="91"/>
        <v>0</v>
      </c>
      <c r="P177" s="30" t="b">
        <f t="shared" si="92"/>
        <v>1</v>
      </c>
      <c r="Q177" s="30" t="b">
        <f t="shared" si="93"/>
        <v>0</v>
      </c>
      <c r="R177" s="30">
        <f t="shared" si="94"/>
        <v>0</v>
      </c>
      <c r="S177" s="32">
        <f t="shared" si="102"/>
        <v>56147</v>
      </c>
      <c r="Z177" s="10"/>
      <c r="AA177" s="45">
        <f t="shared" si="95"/>
        <v>56147</v>
      </c>
      <c r="AB177" s="3">
        <f t="shared" si="96"/>
        <v>13286</v>
      </c>
      <c r="AC177" s="3">
        <f t="shared" si="111"/>
        <v>36.90555555555556</v>
      </c>
      <c r="AD177" s="3">
        <f t="shared" si="103"/>
        <v>36.916666666666664</v>
      </c>
      <c r="AE177" s="48">
        <f t="shared" si="98"/>
        <v>0</v>
      </c>
      <c r="AF177" s="3">
        <f t="shared" si="112"/>
        <v>0</v>
      </c>
      <c r="AH177" s="4"/>
      <c r="AI177" s="4"/>
      <c r="AN177" s="108">
        <f t="shared" si="100"/>
        <v>0</v>
      </c>
    </row>
    <row r="178" spans="1:40" ht="12.75">
      <c r="A178" s="33">
        <f t="shared" si="106"/>
        <v>148</v>
      </c>
      <c r="B178" s="30">
        <f t="shared" si="107"/>
        <v>12</v>
      </c>
      <c r="C178" s="30">
        <f t="shared" si="105"/>
        <v>20</v>
      </c>
      <c r="D178" s="30">
        <f t="shared" si="108"/>
        <v>2053</v>
      </c>
      <c r="E178" s="133">
        <f t="shared" si="109"/>
        <v>0</v>
      </c>
      <c r="F178" s="1"/>
      <c r="G178" s="133">
        <f t="shared" si="104"/>
        <v>0</v>
      </c>
      <c r="H178" s="133">
        <f t="shared" si="87"/>
        <v>0</v>
      </c>
      <c r="I178" s="30">
        <f t="shared" si="110"/>
        <v>13376</v>
      </c>
      <c r="J178" s="133">
        <f t="shared" si="101"/>
        <v>0</v>
      </c>
      <c r="K178" s="10">
        <f t="shared" si="88"/>
        <v>0</v>
      </c>
      <c r="L178" s="22">
        <f t="shared" si="89"/>
        <v>0</v>
      </c>
      <c r="M178" s="10">
        <f t="shared" si="90"/>
        <v>0</v>
      </c>
      <c r="O178" s="30" t="b">
        <f t="shared" si="91"/>
        <v>1</v>
      </c>
      <c r="P178" s="30" t="b">
        <f t="shared" si="92"/>
        <v>0</v>
      </c>
      <c r="Q178" s="30" t="b">
        <f t="shared" si="93"/>
        <v>0</v>
      </c>
      <c r="R178" s="30">
        <f t="shared" si="94"/>
        <v>0</v>
      </c>
      <c r="S178" s="32">
        <f t="shared" si="102"/>
        <v>56238</v>
      </c>
      <c r="Z178" s="10"/>
      <c r="AA178" s="45">
        <f t="shared" si="95"/>
        <v>56238</v>
      </c>
      <c r="AB178" s="3">
        <f t="shared" si="96"/>
        <v>13376</v>
      </c>
      <c r="AC178" s="3">
        <f t="shared" si="111"/>
        <v>37.15555555555556</v>
      </c>
      <c r="AD178" s="3">
        <f t="shared" si="103"/>
        <v>37.166666666666664</v>
      </c>
      <c r="AE178" s="48">
        <f t="shared" si="98"/>
        <v>0</v>
      </c>
      <c r="AF178" s="3">
        <f t="shared" si="112"/>
        <v>0</v>
      </c>
      <c r="AH178" s="4"/>
      <c r="AI178" s="4"/>
      <c r="AN178" s="108">
        <f t="shared" si="100"/>
        <v>0</v>
      </c>
    </row>
    <row r="179" spans="1:40" ht="12.75">
      <c r="A179" s="33">
        <f t="shared" si="106"/>
        <v>149</v>
      </c>
      <c r="B179" s="30">
        <f t="shared" si="107"/>
        <v>3</v>
      </c>
      <c r="C179" s="30">
        <f t="shared" si="105"/>
        <v>20</v>
      </c>
      <c r="D179" s="30">
        <f t="shared" si="108"/>
        <v>2054</v>
      </c>
      <c r="E179" s="133">
        <f t="shared" si="109"/>
        <v>0</v>
      </c>
      <c r="F179" s="1"/>
      <c r="G179" s="133">
        <f t="shared" si="104"/>
        <v>0</v>
      </c>
      <c r="H179" s="133">
        <f t="shared" si="87"/>
        <v>0</v>
      </c>
      <c r="I179" s="30">
        <f t="shared" si="110"/>
        <v>13466</v>
      </c>
      <c r="J179" s="133">
        <f t="shared" si="101"/>
        <v>0</v>
      </c>
      <c r="K179" s="10">
        <f t="shared" si="88"/>
        <v>0</v>
      </c>
      <c r="L179" s="22">
        <f t="shared" si="89"/>
        <v>0</v>
      </c>
      <c r="M179" s="10">
        <f t="shared" si="90"/>
        <v>0</v>
      </c>
      <c r="O179" s="30" t="b">
        <f t="shared" si="91"/>
        <v>1</v>
      </c>
      <c r="P179" s="30" t="b">
        <f t="shared" si="92"/>
        <v>0</v>
      </c>
      <c r="Q179" s="30" t="b">
        <f t="shared" si="93"/>
        <v>0</v>
      </c>
      <c r="R179" s="30">
        <f t="shared" si="94"/>
        <v>0</v>
      </c>
      <c r="S179" s="32">
        <f t="shared" si="102"/>
        <v>56328</v>
      </c>
      <c r="Z179" s="10"/>
      <c r="AA179" s="45">
        <f t="shared" si="95"/>
        <v>56328</v>
      </c>
      <c r="AB179" s="3">
        <f t="shared" si="96"/>
        <v>13466</v>
      </c>
      <c r="AC179" s="3">
        <f t="shared" si="111"/>
        <v>37.40555555555556</v>
      </c>
      <c r="AD179" s="3">
        <f t="shared" si="103"/>
        <v>37.416666666666664</v>
      </c>
      <c r="AE179" s="48">
        <f t="shared" si="98"/>
        <v>0</v>
      </c>
      <c r="AF179" s="3">
        <f t="shared" si="112"/>
        <v>0</v>
      </c>
      <c r="AH179" s="4"/>
      <c r="AI179" s="4"/>
      <c r="AN179" s="108">
        <f t="shared" si="100"/>
        <v>0</v>
      </c>
    </row>
    <row r="180" spans="1:40" ht="12.75">
      <c r="A180" s="33">
        <f t="shared" si="106"/>
        <v>150</v>
      </c>
      <c r="B180" s="30">
        <f t="shared" si="107"/>
        <v>6</v>
      </c>
      <c r="C180" s="30">
        <f t="shared" si="105"/>
        <v>20</v>
      </c>
      <c r="D180" s="30">
        <f t="shared" si="108"/>
        <v>2054</v>
      </c>
      <c r="E180" s="133">
        <f t="shared" si="109"/>
        <v>0</v>
      </c>
      <c r="F180" s="1"/>
      <c r="G180" s="133">
        <f t="shared" si="104"/>
        <v>0</v>
      </c>
      <c r="H180" s="133">
        <f t="shared" si="87"/>
        <v>0</v>
      </c>
      <c r="I180" s="30">
        <f t="shared" si="110"/>
        <v>13556</v>
      </c>
      <c r="J180" s="133">
        <f t="shared" si="101"/>
        <v>0</v>
      </c>
      <c r="K180" s="10">
        <f t="shared" si="88"/>
        <v>0</v>
      </c>
      <c r="L180" s="22">
        <f t="shared" si="89"/>
        <v>0</v>
      </c>
      <c r="M180" s="10">
        <f t="shared" si="90"/>
        <v>0</v>
      </c>
      <c r="O180" s="30" t="b">
        <f t="shared" si="91"/>
        <v>0</v>
      </c>
      <c r="P180" s="30" t="b">
        <f t="shared" si="92"/>
        <v>1</v>
      </c>
      <c r="Q180" s="30" t="b">
        <f t="shared" si="93"/>
        <v>0</v>
      </c>
      <c r="R180" s="30">
        <f t="shared" si="94"/>
        <v>0</v>
      </c>
      <c r="S180" s="32">
        <f t="shared" si="102"/>
        <v>56420</v>
      </c>
      <c r="Z180" s="10"/>
      <c r="AA180" s="45">
        <f t="shared" si="95"/>
        <v>56420</v>
      </c>
      <c r="AB180" s="3">
        <f t="shared" si="96"/>
        <v>13556</v>
      </c>
      <c r="AC180" s="3">
        <f t="shared" si="111"/>
        <v>37.65555555555556</v>
      </c>
      <c r="AD180" s="3">
        <f t="shared" si="103"/>
        <v>37.666666666666664</v>
      </c>
      <c r="AE180" s="48">
        <f t="shared" si="98"/>
        <v>0</v>
      </c>
      <c r="AF180" s="3">
        <f t="shared" si="112"/>
        <v>0</v>
      </c>
      <c r="AH180" s="4"/>
      <c r="AI180" s="4"/>
      <c r="AN180" s="108">
        <f t="shared" si="100"/>
        <v>0</v>
      </c>
    </row>
    <row r="181" spans="1:40" ht="12.75">
      <c r="A181" s="33">
        <f t="shared" si="106"/>
        <v>151</v>
      </c>
      <c r="B181" s="30">
        <f t="shared" si="107"/>
        <v>9</v>
      </c>
      <c r="C181" s="30">
        <f t="shared" si="105"/>
        <v>20</v>
      </c>
      <c r="D181" s="30">
        <f t="shared" si="108"/>
        <v>2054</v>
      </c>
      <c r="E181" s="133">
        <f t="shared" si="109"/>
        <v>0</v>
      </c>
      <c r="F181" s="1"/>
      <c r="G181" s="133">
        <f t="shared" si="104"/>
        <v>0</v>
      </c>
      <c r="H181" s="133">
        <f t="shared" si="87"/>
        <v>0</v>
      </c>
      <c r="I181" s="30">
        <f t="shared" si="110"/>
        <v>13646</v>
      </c>
      <c r="J181" s="133">
        <f t="shared" si="101"/>
        <v>0</v>
      </c>
      <c r="K181" s="10">
        <f t="shared" si="88"/>
        <v>0</v>
      </c>
      <c r="L181" s="22">
        <f t="shared" si="89"/>
        <v>0</v>
      </c>
      <c r="M181" s="10">
        <f t="shared" si="90"/>
        <v>0</v>
      </c>
      <c r="O181" s="30" t="b">
        <f t="shared" si="91"/>
        <v>0</v>
      </c>
      <c r="P181" s="30" t="b">
        <f t="shared" si="92"/>
        <v>1</v>
      </c>
      <c r="Q181" s="30" t="b">
        <f t="shared" si="93"/>
        <v>0</v>
      </c>
      <c r="R181" s="30">
        <f t="shared" si="94"/>
        <v>0</v>
      </c>
      <c r="S181" s="32">
        <f t="shared" si="102"/>
        <v>56512</v>
      </c>
      <c r="Z181" s="10"/>
      <c r="AA181" s="45">
        <f t="shared" si="95"/>
        <v>56512</v>
      </c>
      <c r="AB181" s="3">
        <f t="shared" si="96"/>
        <v>13646</v>
      </c>
      <c r="AC181" s="3">
        <f t="shared" si="111"/>
        <v>37.90555555555556</v>
      </c>
      <c r="AD181" s="3">
        <f t="shared" si="103"/>
        <v>37.916666666666664</v>
      </c>
      <c r="AE181" s="48">
        <f t="shared" si="98"/>
        <v>0</v>
      </c>
      <c r="AF181" s="3">
        <f t="shared" si="112"/>
        <v>0</v>
      </c>
      <c r="AH181" s="4"/>
      <c r="AI181" s="4"/>
      <c r="AN181" s="108">
        <f t="shared" si="100"/>
        <v>0</v>
      </c>
    </row>
    <row r="182" spans="1:40" ht="12.75">
      <c r="A182" s="33">
        <f t="shared" si="106"/>
        <v>152</v>
      </c>
      <c r="B182" s="30">
        <f t="shared" si="107"/>
        <v>12</v>
      </c>
      <c r="C182" s="30">
        <f t="shared" si="105"/>
        <v>20</v>
      </c>
      <c r="D182" s="30">
        <f t="shared" si="108"/>
        <v>2054</v>
      </c>
      <c r="E182" s="133">
        <f t="shared" si="109"/>
        <v>0</v>
      </c>
      <c r="F182" s="1"/>
      <c r="G182" s="133">
        <f t="shared" si="104"/>
        <v>0</v>
      </c>
      <c r="H182" s="133">
        <f t="shared" si="87"/>
        <v>0</v>
      </c>
      <c r="I182" s="30">
        <f t="shared" si="110"/>
        <v>13736</v>
      </c>
      <c r="J182" s="133">
        <f t="shared" si="101"/>
        <v>0</v>
      </c>
      <c r="K182" s="10">
        <f t="shared" si="88"/>
        <v>0</v>
      </c>
      <c r="L182" s="22">
        <f t="shared" si="89"/>
        <v>0</v>
      </c>
      <c r="M182" s="10">
        <f t="shared" si="90"/>
        <v>0</v>
      </c>
      <c r="O182" s="30" t="b">
        <f t="shared" si="91"/>
        <v>1</v>
      </c>
      <c r="P182" s="30" t="b">
        <f t="shared" si="92"/>
        <v>0</v>
      </c>
      <c r="Q182" s="30" t="b">
        <f t="shared" si="93"/>
        <v>0</v>
      </c>
      <c r="R182" s="30">
        <f t="shared" si="94"/>
        <v>0</v>
      </c>
      <c r="S182" s="32">
        <f t="shared" si="102"/>
        <v>56603</v>
      </c>
      <c r="Z182" s="10"/>
      <c r="AA182" s="45">
        <f t="shared" si="95"/>
        <v>56603</v>
      </c>
      <c r="AB182" s="3">
        <f t="shared" si="96"/>
        <v>13736</v>
      </c>
      <c r="AC182" s="3">
        <f t="shared" si="111"/>
        <v>38.15555555555556</v>
      </c>
      <c r="AD182" s="3">
        <f t="shared" si="103"/>
        <v>38.166666666666664</v>
      </c>
      <c r="AE182" s="48">
        <f t="shared" si="98"/>
        <v>0</v>
      </c>
      <c r="AF182" s="3">
        <f t="shared" si="112"/>
        <v>0</v>
      </c>
      <c r="AH182" s="4"/>
      <c r="AI182" s="4"/>
      <c r="AN182" s="108">
        <f t="shared" si="100"/>
        <v>0</v>
      </c>
    </row>
    <row r="183" spans="1:40" ht="12.75">
      <c r="A183" s="33">
        <f aca="true" t="shared" si="113" ref="A183:A198">A182+1</f>
        <v>153</v>
      </c>
      <c r="B183" s="30">
        <f aca="true" t="shared" si="114" ref="B183:B198">IF(F$14=12,MOD(B182,12)+1,IF(F$14=4,IF(AND(MOD(B182,12)+3&gt;12,B182=11),2,IF(MOD(B182,12)+3&gt;12,1,MOD(B182,12)+3)),IF(F$14=2,IF((B182+6)&gt;12,(B182+6)-12,MOD(B182,12)+6),+B182)))</f>
        <v>3</v>
      </c>
      <c r="C183" s="30">
        <f t="shared" si="105"/>
        <v>20</v>
      </c>
      <c r="D183" s="30">
        <f aca="true" t="shared" si="115" ref="D183:D198">IF(F$14=1,D182+1,IF(AND(F$14=2,B183&lt;B182),D182+1,IF(AND(F$14=4,B183&lt;B182),D182+1,IF(OR(B183=1,B182=12),D182+1,D182))))</f>
        <v>2055</v>
      </c>
      <c r="E183" s="133">
        <f aca="true" t="shared" si="116" ref="E183:E198">ROUND(IF((+E182-F183)&lt;=-1,#VALUE!,E182-F183),2)</f>
        <v>0</v>
      </c>
      <c r="F183" s="1"/>
      <c r="G183" s="133">
        <f t="shared" si="104"/>
        <v>0</v>
      </c>
      <c r="H183" s="133">
        <f t="shared" si="87"/>
        <v>0</v>
      </c>
      <c r="I183" s="30">
        <f aca="true" t="shared" si="117" ref="I183:I198">I182+(360/$F$14)</f>
        <v>13826</v>
      </c>
      <c r="J183" s="133">
        <f t="shared" si="101"/>
        <v>0</v>
      </c>
      <c r="K183" s="10">
        <f t="shared" si="88"/>
        <v>0</v>
      </c>
      <c r="L183" s="22">
        <f t="shared" si="89"/>
        <v>0</v>
      </c>
      <c r="M183" s="10">
        <f t="shared" si="90"/>
        <v>0</v>
      </c>
      <c r="O183" s="30" t="b">
        <f t="shared" si="91"/>
        <v>1</v>
      </c>
      <c r="P183" s="30" t="b">
        <f t="shared" si="92"/>
        <v>0</v>
      </c>
      <c r="Q183" s="30" t="b">
        <f t="shared" si="93"/>
        <v>0</v>
      </c>
      <c r="R183" s="30">
        <f t="shared" si="94"/>
        <v>0</v>
      </c>
      <c r="S183" s="32">
        <f t="shared" si="102"/>
        <v>56693</v>
      </c>
      <c r="Z183" s="10"/>
      <c r="AA183" s="45">
        <f t="shared" si="95"/>
        <v>56693</v>
      </c>
      <c r="AB183" s="3">
        <f t="shared" si="96"/>
        <v>13826</v>
      </c>
      <c r="AC183" s="3">
        <f t="shared" si="111"/>
        <v>38.40555555555556</v>
      </c>
      <c r="AD183" s="3">
        <f t="shared" si="103"/>
        <v>38.416666666666664</v>
      </c>
      <c r="AE183" s="48">
        <f t="shared" si="98"/>
        <v>0</v>
      </c>
      <c r="AF183" s="3">
        <f t="shared" si="112"/>
        <v>0</v>
      </c>
      <c r="AH183" s="4"/>
      <c r="AI183" s="4"/>
      <c r="AN183" s="108">
        <f t="shared" si="100"/>
        <v>0</v>
      </c>
    </row>
    <row r="184" spans="1:40" ht="12.75">
      <c r="A184" s="33">
        <f t="shared" si="113"/>
        <v>154</v>
      </c>
      <c r="B184" s="30">
        <f t="shared" si="114"/>
        <v>6</v>
      </c>
      <c r="C184" s="30">
        <f t="shared" si="105"/>
        <v>20</v>
      </c>
      <c r="D184" s="30">
        <f t="shared" si="115"/>
        <v>2055</v>
      </c>
      <c r="E184" s="133">
        <f t="shared" si="116"/>
        <v>0</v>
      </c>
      <c r="F184" s="1"/>
      <c r="G184" s="133">
        <f t="shared" si="104"/>
        <v>0</v>
      </c>
      <c r="H184" s="133">
        <f t="shared" si="87"/>
        <v>0</v>
      </c>
      <c r="I184" s="30">
        <f t="shared" si="117"/>
        <v>13916</v>
      </c>
      <c r="J184" s="133">
        <f t="shared" si="101"/>
        <v>0</v>
      </c>
      <c r="K184" s="10">
        <f t="shared" si="88"/>
        <v>0</v>
      </c>
      <c r="L184" s="22">
        <f t="shared" si="89"/>
        <v>0</v>
      </c>
      <c r="M184" s="10">
        <f t="shared" si="90"/>
        <v>0</v>
      </c>
      <c r="O184" s="30" t="b">
        <f t="shared" si="91"/>
        <v>0</v>
      </c>
      <c r="P184" s="30" t="b">
        <f t="shared" si="92"/>
        <v>1</v>
      </c>
      <c r="Q184" s="30" t="b">
        <f t="shared" si="93"/>
        <v>0</v>
      </c>
      <c r="R184" s="30">
        <f t="shared" si="94"/>
        <v>0</v>
      </c>
      <c r="S184" s="32">
        <f t="shared" si="102"/>
        <v>56785</v>
      </c>
      <c r="Z184" s="10"/>
      <c r="AA184" s="45">
        <f t="shared" si="95"/>
        <v>56785</v>
      </c>
      <c r="AB184" s="3">
        <f t="shared" si="96"/>
        <v>13916</v>
      </c>
      <c r="AC184" s="3">
        <f t="shared" si="111"/>
        <v>38.65555555555556</v>
      </c>
      <c r="AD184" s="3">
        <f t="shared" si="103"/>
        <v>38.666666666666664</v>
      </c>
      <c r="AE184" s="48">
        <f t="shared" si="98"/>
        <v>0</v>
      </c>
      <c r="AF184" s="3">
        <f t="shared" si="112"/>
        <v>0</v>
      </c>
      <c r="AH184" s="4"/>
      <c r="AI184" s="4"/>
      <c r="AN184" s="108">
        <f t="shared" si="100"/>
        <v>0</v>
      </c>
    </row>
    <row r="185" spans="1:40" ht="12.75">
      <c r="A185" s="33">
        <f t="shared" si="113"/>
        <v>155</v>
      </c>
      <c r="B185" s="30">
        <f t="shared" si="114"/>
        <v>9</v>
      </c>
      <c r="C185" s="30">
        <f t="shared" si="105"/>
        <v>20</v>
      </c>
      <c r="D185" s="30">
        <f t="shared" si="115"/>
        <v>2055</v>
      </c>
      <c r="E185" s="133">
        <f t="shared" si="116"/>
        <v>0</v>
      </c>
      <c r="F185" s="1"/>
      <c r="G185" s="133">
        <f t="shared" si="104"/>
        <v>0</v>
      </c>
      <c r="H185" s="133">
        <f t="shared" si="87"/>
        <v>0</v>
      </c>
      <c r="I185" s="30">
        <f t="shared" si="117"/>
        <v>14006</v>
      </c>
      <c r="J185" s="133">
        <f t="shared" si="101"/>
        <v>0</v>
      </c>
      <c r="K185" s="10">
        <f t="shared" si="88"/>
        <v>0</v>
      </c>
      <c r="L185" s="22">
        <f t="shared" si="89"/>
        <v>0</v>
      </c>
      <c r="M185" s="10">
        <f t="shared" si="90"/>
        <v>0</v>
      </c>
      <c r="O185" s="30" t="b">
        <f t="shared" si="91"/>
        <v>0</v>
      </c>
      <c r="P185" s="30" t="b">
        <f t="shared" si="92"/>
        <v>1</v>
      </c>
      <c r="Q185" s="30" t="b">
        <f t="shared" si="93"/>
        <v>0</v>
      </c>
      <c r="R185" s="30">
        <f t="shared" si="94"/>
        <v>0</v>
      </c>
      <c r="S185" s="32">
        <f t="shared" si="102"/>
        <v>56877</v>
      </c>
      <c r="Z185" s="10"/>
      <c r="AA185" s="45">
        <f t="shared" si="95"/>
        <v>56877</v>
      </c>
      <c r="AB185" s="3">
        <f t="shared" si="96"/>
        <v>14006</v>
      </c>
      <c r="AC185" s="3">
        <f t="shared" si="111"/>
        <v>38.90555555555556</v>
      </c>
      <c r="AD185" s="3">
        <f t="shared" si="103"/>
        <v>38.916666666666664</v>
      </c>
      <c r="AE185" s="48">
        <f t="shared" si="98"/>
        <v>0</v>
      </c>
      <c r="AF185" s="3">
        <f t="shared" si="112"/>
        <v>0</v>
      </c>
      <c r="AH185" s="4"/>
      <c r="AI185" s="4"/>
      <c r="AN185" s="108">
        <f t="shared" si="100"/>
        <v>0</v>
      </c>
    </row>
    <row r="186" spans="1:40" ht="12.75">
      <c r="A186" s="33">
        <f t="shared" si="113"/>
        <v>156</v>
      </c>
      <c r="B186" s="30">
        <f t="shared" si="114"/>
        <v>12</v>
      </c>
      <c r="C186" s="30">
        <f t="shared" si="105"/>
        <v>20</v>
      </c>
      <c r="D186" s="30">
        <f t="shared" si="115"/>
        <v>2055</v>
      </c>
      <c r="E186" s="133">
        <f t="shared" si="116"/>
        <v>0</v>
      </c>
      <c r="F186" s="1"/>
      <c r="G186" s="133">
        <f t="shared" si="104"/>
        <v>0</v>
      </c>
      <c r="H186" s="133">
        <f t="shared" si="87"/>
        <v>0</v>
      </c>
      <c r="I186" s="30">
        <f t="shared" si="117"/>
        <v>14096</v>
      </c>
      <c r="J186" s="133">
        <f t="shared" si="101"/>
        <v>0</v>
      </c>
      <c r="K186" s="10">
        <f t="shared" si="88"/>
        <v>0</v>
      </c>
      <c r="L186" s="22">
        <f t="shared" si="89"/>
        <v>0</v>
      </c>
      <c r="M186" s="10">
        <f t="shared" si="90"/>
        <v>0</v>
      </c>
      <c r="O186" s="30" t="b">
        <f t="shared" si="91"/>
        <v>1</v>
      </c>
      <c r="P186" s="30" t="b">
        <f t="shared" si="92"/>
        <v>0</v>
      </c>
      <c r="Q186" s="30" t="b">
        <f t="shared" si="93"/>
        <v>0</v>
      </c>
      <c r="R186" s="30">
        <f t="shared" si="94"/>
        <v>0</v>
      </c>
      <c r="S186" s="32">
        <f t="shared" si="102"/>
        <v>56968</v>
      </c>
      <c r="Z186" s="10"/>
      <c r="AA186" s="45">
        <f t="shared" si="95"/>
        <v>56968</v>
      </c>
      <c r="AB186" s="3">
        <f t="shared" si="96"/>
        <v>14096</v>
      </c>
      <c r="AC186" s="3">
        <f t="shared" si="111"/>
        <v>39.15555555555556</v>
      </c>
      <c r="AD186" s="3">
        <f t="shared" si="103"/>
        <v>39.166666666666664</v>
      </c>
      <c r="AE186" s="48">
        <f t="shared" si="98"/>
        <v>0</v>
      </c>
      <c r="AF186" s="3">
        <f t="shared" si="112"/>
        <v>0</v>
      </c>
      <c r="AH186" s="4"/>
      <c r="AI186" s="4"/>
      <c r="AN186" s="108">
        <f t="shared" si="100"/>
        <v>0</v>
      </c>
    </row>
    <row r="187" spans="1:40" ht="12.75">
      <c r="A187" s="33">
        <f t="shared" si="113"/>
        <v>157</v>
      </c>
      <c r="B187" s="30">
        <f t="shared" si="114"/>
        <v>3</v>
      </c>
      <c r="C187" s="30">
        <f t="shared" si="105"/>
        <v>20</v>
      </c>
      <c r="D187" s="30">
        <f t="shared" si="115"/>
        <v>2056</v>
      </c>
      <c r="E187" s="133">
        <f t="shared" si="116"/>
        <v>0</v>
      </c>
      <c r="F187" s="1"/>
      <c r="G187" s="133">
        <f t="shared" si="104"/>
        <v>0</v>
      </c>
      <c r="H187" s="133">
        <f t="shared" si="87"/>
        <v>0</v>
      </c>
      <c r="I187" s="30">
        <f t="shared" si="117"/>
        <v>14186</v>
      </c>
      <c r="J187" s="133">
        <f t="shared" si="101"/>
        <v>0</v>
      </c>
      <c r="K187" s="10">
        <f t="shared" si="88"/>
        <v>0</v>
      </c>
      <c r="L187" s="22">
        <f t="shared" si="89"/>
        <v>0</v>
      </c>
      <c r="M187" s="10">
        <f t="shared" si="90"/>
        <v>0</v>
      </c>
      <c r="O187" s="30" t="b">
        <f t="shared" si="91"/>
        <v>1</v>
      </c>
      <c r="P187" s="30" t="b">
        <f t="shared" si="92"/>
        <v>0</v>
      </c>
      <c r="Q187" s="30" t="b">
        <f t="shared" si="93"/>
        <v>0</v>
      </c>
      <c r="R187" s="30">
        <f t="shared" si="94"/>
        <v>0</v>
      </c>
      <c r="S187" s="32">
        <f t="shared" si="102"/>
        <v>57059</v>
      </c>
      <c r="Z187" s="10"/>
      <c r="AA187" s="45">
        <f t="shared" si="95"/>
        <v>57059</v>
      </c>
      <c r="AB187" s="3">
        <f t="shared" si="96"/>
        <v>14186</v>
      </c>
      <c r="AC187" s="3">
        <f t="shared" si="111"/>
        <v>39.40555555555556</v>
      </c>
      <c r="AD187" s="3">
        <f t="shared" si="103"/>
        <v>39.416666666666664</v>
      </c>
      <c r="AE187" s="48">
        <f t="shared" si="98"/>
        <v>0</v>
      </c>
      <c r="AF187" s="3">
        <f t="shared" si="112"/>
        <v>0</v>
      </c>
      <c r="AH187" s="4"/>
      <c r="AI187" s="4"/>
      <c r="AN187" s="108">
        <f t="shared" si="100"/>
        <v>0</v>
      </c>
    </row>
    <row r="188" spans="1:40" ht="12.75">
      <c r="A188" s="33">
        <f t="shared" si="113"/>
        <v>158</v>
      </c>
      <c r="B188" s="30">
        <f t="shared" si="114"/>
        <v>6</v>
      </c>
      <c r="C188" s="30">
        <f t="shared" si="105"/>
        <v>20</v>
      </c>
      <c r="D188" s="30">
        <f t="shared" si="115"/>
        <v>2056</v>
      </c>
      <c r="E188" s="133">
        <f t="shared" si="116"/>
        <v>0</v>
      </c>
      <c r="F188" s="1"/>
      <c r="G188" s="133">
        <f t="shared" si="104"/>
        <v>0</v>
      </c>
      <c r="H188" s="133">
        <f t="shared" si="87"/>
        <v>0</v>
      </c>
      <c r="I188" s="30">
        <f t="shared" si="117"/>
        <v>14276</v>
      </c>
      <c r="J188" s="133">
        <f t="shared" si="101"/>
        <v>0</v>
      </c>
      <c r="K188" s="10">
        <f t="shared" si="88"/>
        <v>0</v>
      </c>
      <c r="L188" s="22">
        <f t="shared" si="89"/>
        <v>0</v>
      </c>
      <c r="M188" s="10">
        <f t="shared" si="90"/>
        <v>0</v>
      </c>
      <c r="O188" s="30" t="b">
        <f t="shared" si="91"/>
        <v>0</v>
      </c>
      <c r="P188" s="30" t="b">
        <f t="shared" si="92"/>
        <v>1</v>
      </c>
      <c r="Q188" s="30" t="b">
        <f t="shared" si="93"/>
        <v>0</v>
      </c>
      <c r="R188" s="30">
        <f t="shared" si="94"/>
        <v>0</v>
      </c>
      <c r="S188" s="32">
        <f t="shared" si="102"/>
        <v>57151</v>
      </c>
      <c r="Z188" s="10"/>
      <c r="AA188" s="45">
        <f t="shared" si="95"/>
        <v>57151</v>
      </c>
      <c r="AB188" s="3">
        <f t="shared" si="96"/>
        <v>14276</v>
      </c>
      <c r="AC188" s="3">
        <f t="shared" si="111"/>
        <v>39.65555555555556</v>
      </c>
      <c r="AD188" s="3">
        <f t="shared" si="103"/>
        <v>39.666666666666664</v>
      </c>
      <c r="AE188" s="48">
        <f t="shared" si="98"/>
        <v>0</v>
      </c>
      <c r="AF188" s="3">
        <f t="shared" si="112"/>
        <v>0</v>
      </c>
      <c r="AH188" s="4"/>
      <c r="AI188" s="4"/>
      <c r="AN188" s="108">
        <f t="shared" si="100"/>
        <v>0</v>
      </c>
    </row>
    <row r="189" spans="1:40" ht="12.75">
      <c r="A189" s="33">
        <f t="shared" si="113"/>
        <v>159</v>
      </c>
      <c r="B189" s="30">
        <f t="shared" si="114"/>
        <v>9</v>
      </c>
      <c r="C189" s="30">
        <f t="shared" si="105"/>
        <v>20</v>
      </c>
      <c r="D189" s="30">
        <f t="shared" si="115"/>
        <v>2056</v>
      </c>
      <c r="E189" s="133">
        <f t="shared" si="116"/>
        <v>0</v>
      </c>
      <c r="F189" s="1"/>
      <c r="G189" s="133">
        <f t="shared" si="104"/>
        <v>0</v>
      </c>
      <c r="H189" s="133">
        <f t="shared" si="87"/>
        <v>0</v>
      </c>
      <c r="I189" s="30">
        <f t="shared" si="117"/>
        <v>14366</v>
      </c>
      <c r="J189" s="133">
        <f t="shared" si="101"/>
        <v>0</v>
      </c>
      <c r="K189" s="10">
        <f t="shared" si="88"/>
        <v>0</v>
      </c>
      <c r="L189" s="22">
        <f t="shared" si="89"/>
        <v>0</v>
      </c>
      <c r="M189" s="10">
        <f t="shared" si="90"/>
        <v>0</v>
      </c>
      <c r="O189" s="30" t="b">
        <f t="shared" si="91"/>
        <v>0</v>
      </c>
      <c r="P189" s="30" t="b">
        <f t="shared" si="92"/>
        <v>1</v>
      </c>
      <c r="Q189" s="30" t="b">
        <f t="shared" si="93"/>
        <v>0</v>
      </c>
      <c r="R189" s="30">
        <f t="shared" si="94"/>
        <v>0</v>
      </c>
      <c r="S189" s="32">
        <f t="shared" si="102"/>
        <v>57243</v>
      </c>
      <c r="Z189" s="10"/>
      <c r="AA189" s="45">
        <f t="shared" si="95"/>
        <v>57243</v>
      </c>
      <c r="AB189" s="3">
        <f t="shared" si="96"/>
        <v>14366</v>
      </c>
      <c r="AC189" s="3">
        <f t="shared" si="111"/>
        <v>39.90555555555556</v>
      </c>
      <c r="AD189" s="3">
        <f t="shared" si="103"/>
        <v>39.916666666666664</v>
      </c>
      <c r="AE189" s="48">
        <f t="shared" si="98"/>
        <v>0</v>
      </c>
      <c r="AF189" s="3">
        <f t="shared" si="112"/>
        <v>0</v>
      </c>
      <c r="AH189" s="4"/>
      <c r="AI189" s="4"/>
      <c r="AN189" s="108">
        <f t="shared" si="100"/>
        <v>0</v>
      </c>
    </row>
    <row r="190" spans="1:40" ht="12.75">
      <c r="A190" s="33">
        <f t="shared" si="113"/>
        <v>160</v>
      </c>
      <c r="B190" s="30">
        <f t="shared" si="114"/>
        <v>12</v>
      </c>
      <c r="C190" s="30">
        <f t="shared" si="105"/>
        <v>20</v>
      </c>
      <c r="D190" s="30">
        <f t="shared" si="115"/>
        <v>2056</v>
      </c>
      <c r="E190" s="133">
        <f t="shared" si="116"/>
        <v>0</v>
      </c>
      <c r="F190" s="1"/>
      <c r="G190" s="133">
        <f t="shared" si="104"/>
        <v>0</v>
      </c>
      <c r="H190" s="133">
        <f t="shared" si="87"/>
        <v>0</v>
      </c>
      <c r="I190" s="30">
        <f t="shared" si="117"/>
        <v>14456</v>
      </c>
      <c r="J190" s="133">
        <f t="shared" si="101"/>
        <v>0</v>
      </c>
      <c r="K190" s="10">
        <f t="shared" si="88"/>
        <v>0</v>
      </c>
      <c r="L190" s="22">
        <f t="shared" si="89"/>
        <v>0</v>
      </c>
      <c r="M190" s="10">
        <f t="shared" si="90"/>
        <v>0</v>
      </c>
      <c r="O190" s="30" t="b">
        <f t="shared" si="91"/>
        <v>1</v>
      </c>
      <c r="P190" s="30" t="b">
        <f t="shared" si="92"/>
        <v>0</v>
      </c>
      <c r="Q190" s="30" t="b">
        <f t="shared" si="93"/>
        <v>0</v>
      </c>
      <c r="R190" s="30">
        <f t="shared" si="94"/>
        <v>0</v>
      </c>
      <c r="S190" s="32">
        <f t="shared" si="102"/>
        <v>57334</v>
      </c>
      <c r="Z190" s="10"/>
      <c r="AA190" s="45">
        <f t="shared" si="95"/>
        <v>57334</v>
      </c>
      <c r="AB190" s="3">
        <f t="shared" si="96"/>
        <v>14456</v>
      </c>
      <c r="AC190" s="3">
        <f aca="true" t="shared" si="118" ref="AC190:AC205">AB190/360</f>
        <v>40.15555555555556</v>
      </c>
      <c r="AD190" s="3">
        <f t="shared" si="103"/>
        <v>40.166666666666664</v>
      </c>
      <c r="AE190" s="48">
        <f t="shared" si="98"/>
        <v>0</v>
      </c>
      <c r="AF190" s="3">
        <f aca="true" t="shared" si="119" ref="AF190:AF205">AE190*AD190</f>
        <v>0</v>
      </c>
      <c r="AH190" s="4"/>
      <c r="AI190" s="4"/>
      <c r="AN190" s="108">
        <f t="shared" si="100"/>
        <v>0</v>
      </c>
    </row>
    <row r="191" spans="1:40" ht="12.75">
      <c r="A191" s="33">
        <f t="shared" si="113"/>
        <v>161</v>
      </c>
      <c r="B191" s="30">
        <f t="shared" si="114"/>
        <v>3</v>
      </c>
      <c r="C191" s="30">
        <f t="shared" si="105"/>
        <v>20</v>
      </c>
      <c r="D191" s="30">
        <f t="shared" si="115"/>
        <v>2057</v>
      </c>
      <c r="E191" s="133">
        <f t="shared" si="116"/>
        <v>0</v>
      </c>
      <c r="F191" s="1"/>
      <c r="G191" s="133">
        <f t="shared" si="104"/>
        <v>0</v>
      </c>
      <c r="H191" s="133">
        <f t="shared" si="87"/>
        <v>0</v>
      </c>
      <c r="I191" s="30">
        <f t="shared" si="117"/>
        <v>14546</v>
      </c>
      <c r="J191" s="133">
        <f t="shared" si="101"/>
        <v>0</v>
      </c>
      <c r="K191" s="10">
        <f t="shared" si="88"/>
        <v>0</v>
      </c>
      <c r="L191" s="22">
        <f t="shared" si="89"/>
        <v>0</v>
      </c>
      <c r="M191" s="10">
        <f t="shared" si="90"/>
        <v>0</v>
      </c>
      <c r="O191" s="30" t="b">
        <f t="shared" si="91"/>
        <v>1</v>
      </c>
      <c r="P191" s="30" t="b">
        <f t="shared" si="92"/>
        <v>0</v>
      </c>
      <c r="Q191" s="30" t="b">
        <f t="shared" si="93"/>
        <v>0</v>
      </c>
      <c r="R191" s="30">
        <f t="shared" si="94"/>
        <v>0</v>
      </c>
      <c r="S191" s="32">
        <f t="shared" si="102"/>
        <v>57424</v>
      </c>
      <c r="Z191" s="10"/>
      <c r="AA191" s="45">
        <f t="shared" si="95"/>
        <v>57424</v>
      </c>
      <c r="AB191" s="3">
        <f t="shared" si="96"/>
        <v>14546</v>
      </c>
      <c r="AC191" s="3">
        <f t="shared" si="118"/>
        <v>40.40555555555556</v>
      </c>
      <c r="AD191" s="3">
        <f t="shared" si="103"/>
        <v>40.416666666666664</v>
      </c>
      <c r="AE191" s="48">
        <f t="shared" si="98"/>
        <v>0</v>
      </c>
      <c r="AF191" s="3">
        <f t="shared" si="119"/>
        <v>0</v>
      </c>
      <c r="AH191" s="4"/>
      <c r="AI191" s="4"/>
      <c r="AN191" s="108">
        <f t="shared" si="100"/>
        <v>0</v>
      </c>
    </row>
    <row r="192" spans="1:40" ht="12.75">
      <c r="A192" s="33">
        <f t="shared" si="113"/>
        <v>162</v>
      </c>
      <c r="B192" s="30">
        <f t="shared" si="114"/>
        <v>6</v>
      </c>
      <c r="C192" s="30">
        <f t="shared" si="105"/>
        <v>20</v>
      </c>
      <c r="D192" s="30">
        <f t="shared" si="115"/>
        <v>2057</v>
      </c>
      <c r="E192" s="133">
        <f t="shared" si="116"/>
        <v>0</v>
      </c>
      <c r="F192" s="1"/>
      <c r="G192" s="133">
        <f t="shared" si="104"/>
        <v>0</v>
      </c>
      <c r="H192" s="133">
        <f t="shared" si="87"/>
        <v>0</v>
      </c>
      <c r="I192" s="30">
        <f t="shared" si="117"/>
        <v>14636</v>
      </c>
      <c r="J192" s="133">
        <f t="shared" si="101"/>
        <v>0</v>
      </c>
      <c r="K192" s="10">
        <f t="shared" si="88"/>
        <v>0</v>
      </c>
      <c r="L192" s="22">
        <f t="shared" si="89"/>
        <v>0</v>
      </c>
      <c r="M192" s="10">
        <f t="shared" si="90"/>
        <v>0</v>
      </c>
      <c r="O192" s="30" t="b">
        <f t="shared" si="91"/>
        <v>0</v>
      </c>
      <c r="P192" s="30" t="b">
        <f t="shared" si="92"/>
        <v>1</v>
      </c>
      <c r="Q192" s="30" t="b">
        <f t="shared" si="93"/>
        <v>0</v>
      </c>
      <c r="R192" s="30">
        <f t="shared" si="94"/>
        <v>0</v>
      </c>
      <c r="S192" s="32">
        <f t="shared" si="102"/>
        <v>57516</v>
      </c>
      <c r="Z192" s="10"/>
      <c r="AA192" s="45">
        <f t="shared" si="95"/>
        <v>57516</v>
      </c>
      <c r="AB192" s="3">
        <f t="shared" si="96"/>
        <v>14636</v>
      </c>
      <c r="AC192" s="3">
        <f t="shared" si="118"/>
        <v>40.65555555555556</v>
      </c>
      <c r="AD192" s="3">
        <f t="shared" si="103"/>
        <v>40.666666666666664</v>
      </c>
      <c r="AE192" s="48">
        <f t="shared" si="98"/>
        <v>0</v>
      </c>
      <c r="AF192" s="3">
        <f t="shared" si="119"/>
        <v>0</v>
      </c>
      <c r="AH192" s="4"/>
      <c r="AI192" s="4"/>
      <c r="AN192" s="108">
        <f t="shared" si="100"/>
        <v>0</v>
      </c>
    </row>
    <row r="193" spans="1:40" ht="12.75">
      <c r="A193" s="33">
        <f t="shared" si="113"/>
        <v>163</v>
      </c>
      <c r="B193" s="30">
        <f t="shared" si="114"/>
        <v>9</v>
      </c>
      <c r="C193" s="30">
        <f t="shared" si="105"/>
        <v>20</v>
      </c>
      <c r="D193" s="30">
        <f t="shared" si="115"/>
        <v>2057</v>
      </c>
      <c r="E193" s="133">
        <f t="shared" si="116"/>
        <v>0</v>
      </c>
      <c r="F193" s="1"/>
      <c r="G193" s="133">
        <f t="shared" si="104"/>
        <v>0</v>
      </c>
      <c r="H193" s="133">
        <f t="shared" si="87"/>
        <v>0</v>
      </c>
      <c r="I193" s="30">
        <f t="shared" si="117"/>
        <v>14726</v>
      </c>
      <c r="J193" s="133">
        <f t="shared" si="101"/>
        <v>0</v>
      </c>
      <c r="K193" s="10">
        <f t="shared" si="88"/>
        <v>0</v>
      </c>
      <c r="L193" s="22">
        <f t="shared" si="89"/>
        <v>0</v>
      </c>
      <c r="M193" s="10">
        <f t="shared" si="90"/>
        <v>0</v>
      </c>
      <c r="O193" s="30" t="b">
        <f t="shared" si="91"/>
        <v>0</v>
      </c>
      <c r="P193" s="30" t="b">
        <f t="shared" si="92"/>
        <v>1</v>
      </c>
      <c r="Q193" s="30" t="b">
        <f t="shared" si="93"/>
        <v>0</v>
      </c>
      <c r="R193" s="30">
        <f t="shared" si="94"/>
        <v>0</v>
      </c>
      <c r="S193" s="32">
        <f t="shared" si="102"/>
        <v>57608</v>
      </c>
      <c r="Z193" s="10"/>
      <c r="AA193" s="45">
        <f t="shared" si="95"/>
        <v>57608</v>
      </c>
      <c r="AB193" s="3">
        <f t="shared" si="96"/>
        <v>14726</v>
      </c>
      <c r="AC193" s="3">
        <f t="shared" si="118"/>
        <v>40.90555555555556</v>
      </c>
      <c r="AD193" s="3">
        <f t="shared" si="103"/>
        <v>40.916666666666664</v>
      </c>
      <c r="AE193" s="48">
        <f t="shared" si="98"/>
        <v>0</v>
      </c>
      <c r="AF193" s="3">
        <f t="shared" si="119"/>
        <v>0</v>
      </c>
      <c r="AH193" s="4"/>
      <c r="AI193" s="4"/>
      <c r="AN193" s="108">
        <f t="shared" si="100"/>
        <v>0</v>
      </c>
    </row>
    <row r="194" spans="1:40" ht="12.75">
      <c r="A194" s="33">
        <f t="shared" si="113"/>
        <v>164</v>
      </c>
      <c r="B194" s="30">
        <f t="shared" si="114"/>
        <v>12</v>
      </c>
      <c r="C194" s="30">
        <f t="shared" si="105"/>
        <v>20</v>
      </c>
      <c r="D194" s="30">
        <f t="shared" si="115"/>
        <v>2057</v>
      </c>
      <c r="E194" s="133">
        <f t="shared" si="116"/>
        <v>0</v>
      </c>
      <c r="F194" s="1"/>
      <c r="G194" s="133">
        <f t="shared" si="104"/>
        <v>0</v>
      </c>
      <c r="H194" s="133">
        <f t="shared" si="87"/>
        <v>0</v>
      </c>
      <c r="I194" s="30">
        <f t="shared" si="117"/>
        <v>14816</v>
      </c>
      <c r="J194" s="133">
        <f t="shared" si="101"/>
        <v>0</v>
      </c>
      <c r="K194" s="10">
        <f t="shared" si="88"/>
        <v>0</v>
      </c>
      <c r="L194" s="22">
        <f t="shared" si="89"/>
        <v>0</v>
      </c>
      <c r="M194" s="10">
        <f t="shared" si="90"/>
        <v>0</v>
      </c>
      <c r="O194" s="30" t="b">
        <f t="shared" si="91"/>
        <v>1</v>
      </c>
      <c r="P194" s="30" t="b">
        <f t="shared" si="92"/>
        <v>0</v>
      </c>
      <c r="Q194" s="30" t="b">
        <f t="shared" si="93"/>
        <v>0</v>
      </c>
      <c r="R194" s="30">
        <f t="shared" si="94"/>
        <v>0</v>
      </c>
      <c r="S194" s="32">
        <f t="shared" si="102"/>
        <v>57699</v>
      </c>
      <c r="Z194" s="10"/>
      <c r="AA194" s="45">
        <f t="shared" si="95"/>
        <v>57699</v>
      </c>
      <c r="AB194" s="3">
        <f t="shared" si="96"/>
        <v>14816</v>
      </c>
      <c r="AC194" s="3">
        <f t="shared" si="118"/>
        <v>41.15555555555556</v>
      </c>
      <c r="AD194" s="3">
        <f t="shared" si="103"/>
        <v>41.166666666666664</v>
      </c>
      <c r="AE194" s="48">
        <f t="shared" si="98"/>
        <v>0</v>
      </c>
      <c r="AF194" s="3">
        <f t="shared" si="119"/>
        <v>0</v>
      </c>
      <c r="AH194" s="4"/>
      <c r="AI194" s="4"/>
      <c r="AN194" s="108">
        <f t="shared" si="100"/>
        <v>0</v>
      </c>
    </row>
    <row r="195" spans="1:40" ht="12.75">
      <c r="A195" s="33">
        <f t="shared" si="113"/>
        <v>165</v>
      </c>
      <c r="B195" s="30">
        <f t="shared" si="114"/>
        <v>3</v>
      </c>
      <c r="C195" s="30">
        <f t="shared" si="105"/>
        <v>20</v>
      </c>
      <c r="D195" s="30">
        <f t="shared" si="115"/>
        <v>2058</v>
      </c>
      <c r="E195" s="133">
        <f t="shared" si="116"/>
        <v>0</v>
      </c>
      <c r="F195" s="1"/>
      <c r="G195" s="133">
        <f t="shared" si="104"/>
        <v>0</v>
      </c>
      <c r="H195" s="133">
        <f t="shared" si="87"/>
        <v>0</v>
      </c>
      <c r="I195" s="30">
        <f t="shared" si="117"/>
        <v>14906</v>
      </c>
      <c r="J195" s="133">
        <f t="shared" si="101"/>
        <v>0</v>
      </c>
      <c r="K195" s="10">
        <f t="shared" si="88"/>
        <v>0</v>
      </c>
      <c r="L195" s="22">
        <f t="shared" si="89"/>
        <v>0</v>
      </c>
      <c r="M195" s="10">
        <f t="shared" si="90"/>
        <v>0</v>
      </c>
      <c r="O195" s="30" t="b">
        <f t="shared" si="91"/>
        <v>1</v>
      </c>
      <c r="P195" s="30" t="b">
        <f t="shared" si="92"/>
        <v>0</v>
      </c>
      <c r="Q195" s="30" t="b">
        <f t="shared" si="93"/>
        <v>0</v>
      </c>
      <c r="R195" s="30">
        <f t="shared" si="94"/>
        <v>0</v>
      </c>
      <c r="S195" s="32">
        <f t="shared" si="102"/>
        <v>57789</v>
      </c>
      <c r="Z195" s="10"/>
      <c r="AA195" s="45">
        <f t="shared" si="95"/>
        <v>57789</v>
      </c>
      <c r="AB195" s="3">
        <f t="shared" si="96"/>
        <v>14906</v>
      </c>
      <c r="AC195" s="3">
        <f t="shared" si="118"/>
        <v>41.40555555555556</v>
      </c>
      <c r="AD195" s="3">
        <f t="shared" si="103"/>
        <v>41.416666666666664</v>
      </c>
      <c r="AE195" s="48">
        <f t="shared" si="98"/>
        <v>0</v>
      </c>
      <c r="AF195" s="3">
        <f t="shared" si="119"/>
        <v>0</v>
      </c>
      <c r="AH195" s="4"/>
      <c r="AI195" s="4"/>
      <c r="AN195" s="108">
        <f t="shared" si="100"/>
        <v>0</v>
      </c>
    </row>
    <row r="196" spans="1:40" ht="12.75">
      <c r="A196" s="33">
        <f t="shared" si="113"/>
        <v>166</v>
      </c>
      <c r="B196" s="30">
        <f t="shared" si="114"/>
        <v>6</v>
      </c>
      <c r="C196" s="30">
        <f t="shared" si="105"/>
        <v>20</v>
      </c>
      <c r="D196" s="30">
        <f t="shared" si="115"/>
        <v>2058</v>
      </c>
      <c r="E196" s="133">
        <f t="shared" si="116"/>
        <v>0</v>
      </c>
      <c r="F196" s="1"/>
      <c r="G196" s="133">
        <f t="shared" si="104"/>
        <v>0</v>
      </c>
      <c r="H196" s="133">
        <f t="shared" si="87"/>
        <v>0</v>
      </c>
      <c r="I196" s="30">
        <f t="shared" si="117"/>
        <v>14996</v>
      </c>
      <c r="J196" s="133">
        <f t="shared" si="101"/>
        <v>0</v>
      </c>
      <c r="K196" s="10">
        <f t="shared" si="88"/>
        <v>0</v>
      </c>
      <c r="L196" s="22">
        <f t="shared" si="89"/>
        <v>0</v>
      </c>
      <c r="M196" s="10">
        <f t="shared" si="90"/>
        <v>0</v>
      </c>
      <c r="O196" s="30" t="b">
        <f t="shared" si="91"/>
        <v>0</v>
      </c>
      <c r="P196" s="30" t="b">
        <f t="shared" si="92"/>
        <v>1</v>
      </c>
      <c r="Q196" s="30" t="b">
        <f t="shared" si="93"/>
        <v>0</v>
      </c>
      <c r="R196" s="30">
        <f t="shared" si="94"/>
        <v>0</v>
      </c>
      <c r="S196" s="32">
        <f t="shared" si="102"/>
        <v>57881</v>
      </c>
      <c r="Z196" s="10"/>
      <c r="AA196" s="45">
        <f t="shared" si="95"/>
        <v>57881</v>
      </c>
      <c r="AB196" s="3">
        <f t="shared" si="96"/>
        <v>14996</v>
      </c>
      <c r="AC196" s="3">
        <f t="shared" si="118"/>
        <v>41.65555555555556</v>
      </c>
      <c r="AD196" s="3">
        <f t="shared" si="103"/>
        <v>41.666666666666664</v>
      </c>
      <c r="AE196" s="48">
        <f t="shared" si="98"/>
        <v>0</v>
      </c>
      <c r="AF196" s="3">
        <f t="shared" si="119"/>
        <v>0</v>
      </c>
      <c r="AH196" s="4"/>
      <c r="AI196" s="4"/>
      <c r="AN196" s="108">
        <f t="shared" si="100"/>
        <v>0</v>
      </c>
    </row>
    <row r="197" spans="1:40" ht="12.75">
      <c r="A197" s="33">
        <f t="shared" si="113"/>
        <v>167</v>
      </c>
      <c r="B197" s="30">
        <f t="shared" si="114"/>
        <v>9</v>
      </c>
      <c r="C197" s="30">
        <f t="shared" si="105"/>
        <v>20</v>
      </c>
      <c r="D197" s="30">
        <f t="shared" si="115"/>
        <v>2058</v>
      </c>
      <c r="E197" s="133">
        <f t="shared" si="116"/>
        <v>0</v>
      </c>
      <c r="F197" s="1"/>
      <c r="G197" s="133">
        <f t="shared" si="104"/>
        <v>0</v>
      </c>
      <c r="H197" s="133">
        <f t="shared" si="87"/>
        <v>0</v>
      </c>
      <c r="I197" s="30">
        <f t="shared" si="117"/>
        <v>15086</v>
      </c>
      <c r="J197" s="133">
        <f t="shared" si="101"/>
        <v>0</v>
      </c>
      <c r="K197" s="10">
        <f t="shared" si="88"/>
        <v>0</v>
      </c>
      <c r="L197" s="22">
        <f t="shared" si="89"/>
        <v>0</v>
      </c>
      <c r="M197" s="10">
        <f t="shared" si="90"/>
        <v>0</v>
      </c>
      <c r="O197" s="30" t="b">
        <f t="shared" si="91"/>
        <v>0</v>
      </c>
      <c r="P197" s="30" t="b">
        <f t="shared" si="92"/>
        <v>1</v>
      </c>
      <c r="Q197" s="30" t="b">
        <f t="shared" si="93"/>
        <v>0</v>
      </c>
      <c r="R197" s="30">
        <f t="shared" si="94"/>
        <v>0</v>
      </c>
      <c r="S197" s="32">
        <f t="shared" si="102"/>
        <v>57973</v>
      </c>
      <c r="Z197" s="10"/>
      <c r="AA197" s="45">
        <f t="shared" si="95"/>
        <v>57973</v>
      </c>
      <c r="AB197" s="3">
        <f t="shared" si="96"/>
        <v>15086</v>
      </c>
      <c r="AC197" s="3">
        <f t="shared" si="118"/>
        <v>41.90555555555556</v>
      </c>
      <c r="AD197" s="3">
        <f t="shared" si="103"/>
        <v>41.916666666666664</v>
      </c>
      <c r="AE197" s="48">
        <f t="shared" si="98"/>
        <v>0</v>
      </c>
      <c r="AF197" s="3">
        <f t="shared" si="119"/>
        <v>0</v>
      </c>
      <c r="AH197" s="4"/>
      <c r="AI197" s="4"/>
      <c r="AN197" s="108">
        <f t="shared" si="100"/>
        <v>0</v>
      </c>
    </row>
    <row r="198" spans="1:40" ht="12.75">
      <c r="A198" s="33">
        <f t="shared" si="113"/>
        <v>168</v>
      </c>
      <c r="B198" s="30">
        <f t="shared" si="114"/>
        <v>12</v>
      </c>
      <c r="C198" s="30">
        <f t="shared" si="105"/>
        <v>20</v>
      </c>
      <c r="D198" s="30">
        <f t="shared" si="115"/>
        <v>2058</v>
      </c>
      <c r="E198" s="133">
        <f t="shared" si="116"/>
        <v>0</v>
      </c>
      <c r="F198" s="1"/>
      <c r="G198" s="133">
        <f t="shared" si="104"/>
        <v>0</v>
      </c>
      <c r="H198" s="133">
        <f t="shared" si="87"/>
        <v>0</v>
      </c>
      <c r="I198" s="30">
        <f t="shared" si="117"/>
        <v>15176</v>
      </c>
      <c r="J198" s="133">
        <f t="shared" si="101"/>
        <v>0</v>
      </c>
      <c r="K198" s="10">
        <f t="shared" si="88"/>
        <v>0</v>
      </c>
      <c r="L198" s="22">
        <f t="shared" si="89"/>
        <v>0</v>
      </c>
      <c r="M198" s="10">
        <f t="shared" si="90"/>
        <v>0</v>
      </c>
      <c r="O198" s="30" t="b">
        <f t="shared" si="91"/>
        <v>1</v>
      </c>
      <c r="P198" s="30" t="b">
        <f t="shared" si="92"/>
        <v>0</v>
      </c>
      <c r="Q198" s="30" t="b">
        <f t="shared" si="93"/>
        <v>0</v>
      </c>
      <c r="R198" s="30">
        <f t="shared" si="94"/>
        <v>0</v>
      </c>
      <c r="S198" s="32">
        <f t="shared" si="102"/>
        <v>58064</v>
      </c>
      <c r="Z198" s="10"/>
      <c r="AA198" s="45">
        <f t="shared" si="95"/>
        <v>58064</v>
      </c>
      <c r="AB198" s="3">
        <f t="shared" si="96"/>
        <v>15176</v>
      </c>
      <c r="AC198" s="3">
        <f t="shared" si="118"/>
        <v>42.15555555555556</v>
      </c>
      <c r="AD198" s="3">
        <f t="shared" si="103"/>
        <v>42.166666666666664</v>
      </c>
      <c r="AE198" s="48">
        <f t="shared" si="98"/>
        <v>0</v>
      </c>
      <c r="AF198" s="3">
        <f t="shared" si="119"/>
        <v>0</v>
      </c>
      <c r="AH198" s="4"/>
      <c r="AI198" s="4"/>
      <c r="AN198" s="108">
        <f t="shared" si="100"/>
        <v>0</v>
      </c>
    </row>
    <row r="199" spans="1:40" ht="12.75">
      <c r="A199" s="33">
        <f aca="true" t="shared" si="120" ref="A199:A214">A198+1</f>
        <v>169</v>
      </c>
      <c r="B199" s="30">
        <f aca="true" t="shared" si="121" ref="B199:B214">IF(F$14=12,MOD(B198,12)+1,IF(F$14=4,IF(AND(MOD(B198,12)+3&gt;12,B198=11),2,IF(MOD(B198,12)+3&gt;12,1,MOD(B198,12)+3)),IF(F$14=2,IF((B198+6)&gt;12,(B198+6)-12,MOD(B198,12)+6),+B198)))</f>
        <v>3</v>
      </c>
      <c r="C199" s="30">
        <f t="shared" si="105"/>
        <v>20</v>
      </c>
      <c r="D199" s="30">
        <f aca="true" t="shared" si="122" ref="D199:D214">IF(F$14=1,D198+1,IF(AND(F$14=2,B199&lt;B198),D198+1,IF(AND(F$14=4,B199&lt;B198),D198+1,IF(OR(B199=1,B198=12),D198+1,D198))))</f>
        <v>2059</v>
      </c>
      <c r="E199" s="133">
        <f aca="true" t="shared" si="123" ref="E199:E214">ROUND(IF((+E198-F199)&lt;=-1,#VALUE!,E198-F199),2)</f>
        <v>0</v>
      </c>
      <c r="F199" s="1"/>
      <c r="G199" s="133">
        <f t="shared" si="104"/>
        <v>0</v>
      </c>
      <c r="H199" s="133">
        <f t="shared" si="87"/>
        <v>0</v>
      </c>
      <c r="I199" s="30">
        <f aca="true" t="shared" si="124" ref="I199:I214">I198+(360/$F$14)</f>
        <v>15266</v>
      </c>
      <c r="J199" s="133">
        <f t="shared" si="101"/>
        <v>0</v>
      </c>
      <c r="K199" s="10">
        <f t="shared" si="88"/>
        <v>0</v>
      </c>
      <c r="L199" s="22">
        <f t="shared" si="89"/>
        <v>0</v>
      </c>
      <c r="M199" s="10">
        <f t="shared" si="90"/>
        <v>0</v>
      </c>
      <c r="O199" s="30" t="b">
        <f t="shared" si="91"/>
        <v>1</v>
      </c>
      <c r="P199" s="30" t="b">
        <f t="shared" si="92"/>
        <v>0</v>
      </c>
      <c r="Q199" s="30" t="b">
        <f t="shared" si="93"/>
        <v>0</v>
      </c>
      <c r="R199" s="30">
        <f t="shared" si="94"/>
        <v>0</v>
      </c>
      <c r="S199" s="32">
        <f t="shared" si="102"/>
        <v>58154</v>
      </c>
      <c r="Z199" s="10"/>
      <c r="AA199" s="45">
        <f t="shared" si="95"/>
        <v>58154</v>
      </c>
      <c r="AB199" s="3">
        <f t="shared" si="96"/>
        <v>15266</v>
      </c>
      <c r="AC199" s="3">
        <f t="shared" si="118"/>
        <v>42.40555555555556</v>
      </c>
      <c r="AD199" s="3">
        <f t="shared" si="103"/>
        <v>42.416666666666664</v>
      </c>
      <c r="AE199" s="48">
        <f t="shared" si="98"/>
        <v>0</v>
      </c>
      <c r="AF199" s="3">
        <f t="shared" si="119"/>
        <v>0</v>
      </c>
      <c r="AH199" s="4"/>
      <c r="AI199" s="4"/>
      <c r="AN199" s="108">
        <f t="shared" si="100"/>
        <v>0</v>
      </c>
    </row>
    <row r="200" spans="1:40" ht="12.75">
      <c r="A200" s="33">
        <f t="shared" si="120"/>
        <v>170</v>
      </c>
      <c r="B200" s="30">
        <f t="shared" si="121"/>
        <v>6</v>
      </c>
      <c r="C200" s="30">
        <f t="shared" si="105"/>
        <v>20</v>
      </c>
      <c r="D200" s="30">
        <f t="shared" si="122"/>
        <v>2059</v>
      </c>
      <c r="E200" s="133">
        <f t="shared" si="123"/>
        <v>0</v>
      </c>
      <c r="F200" s="1"/>
      <c r="G200" s="133">
        <f t="shared" si="104"/>
        <v>0</v>
      </c>
      <c r="H200" s="133">
        <f t="shared" si="87"/>
        <v>0</v>
      </c>
      <c r="I200" s="30">
        <f t="shared" si="124"/>
        <v>15356</v>
      </c>
      <c r="J200" s="133">
        <f t="shared" si="101"/>
        <v>0</v>
      </c>
      <c r="K200" s="10">
        <f t="shared" si="88"/>
        <v>0</v>
      </c>
      <c r="L200" s="22">
        <f t="shared" si="89"/>
        <v>0</v>
      </c>
      <c r="M200" s="10">
        <f t="shared" si="90"/>
        <v>0</v>
      </c>
      <c r="O200" s="30" t="b">
        <f t="shared" si="91"/>
        <v>0</v>
      </c>
      <c r="P200" s="30" t="b">
        <f t="shared" si="92"/>
        <v>1</v>
      </c>
      <c r="Q200" s="30" t="b">
        <f t="shared" si="93"/>
        <v>0</v>
      </c>
      <c r="R200" s="30">
        <f t="shared" si="94"/>
        <v>0</v>
      </c>
      <c r="S200" s="32">
        <f t="shared" si="102"/>
        <v>58246</v>
      </c>
      <c r="Z200" s="10"/>
      <c r="AA200" s="45">
        <f t="shared" si="95"/>
        <v>58246</v>
      </c>
      <c r="AB200" s="3">
        <f t="shared" si="96"/>
        <v>15356</v>
      </c>
      <c r="AC200" s="3">
        <f t="shared" si="118"/>
        <v>42.65555555555556</v>
      </c>
      <c r="AD200" s="3">
        <f t="shared" si="103"/>
        <v>42.666666666666664</v>
      </c>
      <c r="AE200" s="48">
        <f t="shared" si="98"/>
        <v>0</v>
      </c>
      <c r="AF200" s="3">
        <f t="shared" si="119"/>
        <v>0</v>
      </c>
      <c r="AH200" s="4"/>
      <c r="AI200" s="4"/>
      <c r="AN200" s="108">
        <f t="shared" si="100"/>
        <v>0</v>
      </c>
    </row>
    <row r="201" spans="1:40" ht="12.75">
      <c r="A201" s="33">
        <f t="shared" si="120"/>
        <v>171</v>
      </c>
      <c r="B201" s="30">
        <f t="shared" si="121"/>
        <v>9</v>
      </c>
      <c r="C201" s="30">
        <f t="shared" si="105"/>
        <v>20</v>
      </c>
      <c r="D201" s="30">
        <f t="shared" si="122"/>
        <v>2059</v>
      </c>
      <c r="E201" s="133">
        <f t="shared" si="123"/>
        <v>0</v>
      </c>
      <c r="F201" s="1"/>
      <c r="G201" s="133">
        <f t="shared" si="104"/>
        <v>0</v>
      </c>
      <c r="H201" s="133">
        <f t="shared" si="87"/>
        <v>0</v>
      </c>
      <c r="I201" s="30">
        <f t="shared" si="124"/>
        <v>15446</v>
      </c>
      <c r="J201" s="133">
        <f t="shared" si="101"/>
        <v>0</v>
      </c>
      <c r="K201" s="10">
        <f t="shared" si="88"/>
        <v>0</v>
      </c>
      <c r="L201" s="22">
        <f t="shared" si="89"/>
        <v>0</v>
      </c>
      <c r="M201" s="10">
        <f t="shared" si="90"/>
        <v>0</v>
      </c>
      <c r="O201" s="30" t="b">
        <f t="shared" si="91"/>
        <v>0</v>
      </c>
      <c r="P201" s="30" t="b">
        <f t="shared" si="92"/>
        <v>1</v>
      </c>
      <c r="Q201" s="30" t="b">
        <f t="shared" si="93"/>
        <v>0</v>
      </c>
      <c r="R201" s="30">
        <f t="shared" si="94"/>
        <v>0</v>
      </c>
      <c r="S201" s="32">
        <f t="shared" si="102"/>
        <v>58338</v>
      </c>
      <c r="Z201" s="10"/>
      <c r="AA201" s="45">
        <f t="shared" si="95"/>
        <v>58338</v>
      </c>
      <c r="AB201" s="3">
        <f t="shared" si="96"/>
        <v>15446</v>
      </c>
      <c r="AC201" s="3">
        <f t="shared" si="118"/>
        <v>42.90555555555556</v>
      </c>
      <c r="AD201" s="3">
        <f t="shared" si="103"/>
        <v>42.916666666666664</v>
      </c>
      <c r="AE201" s="48">
        <f t="shared" si="98"/>
        <v>0</v>
      </c>
      <c r="AF201" s="3">
        <f t="shared" si="119"/>
        <v>0</v>
      </c>
      <c r="AH201" s="4"/>
      <c r="AI201" s="4"/>
      <c r="AN201" s="108">
        <f t="shared" si="100"/>
        <v>0</v>
      </c>
    </row>
    <row r="202" spans="1:40" ht="12.75">
      <c r="A202" s="33">
        <f t="shared" si="120"/>
        <v>172</v>
      </c>
      <c r="B202" s="30">
        <f t="shared" si="121"/>
        <v>12</v>
      </c>
      <c r="C202" s="30">
        <f t="shared" si="105"/>
        <v>20</v>
      </c>
      <c r="D202" s="30">
        <f t="shared" si="122"/>
        <v>2059</v>
      </c>
      <c r="E202" s="133">
        <f t="shared" si="123"/>
        <v>0</v>
      </c>
      <c r="F202" s="1"/>
      <c r="G202" s="133">
        <f t="shared" si="104"/>
        <v>0</v>
      </c>
      <c r="H202" s="133">
        <f t="shared" si="87"/>
        <v>0</v>
      </c>
      <c r="I202" s="30">
        <f t="shared" si="124"/>
        <v>15536</v>
      </c>
      <c r="J202" s="133">
        <f t="shared" si="101"/>
        <v>0</v>
      </c>
      <c r="K202" s="10">
        <f t="shared" si="88"/>
        <v>0</v>
      </c>
      <c r="L202" s="22">
        <f t="shared" si="89"/>
        <v>0</v>
      </c>
      <c r="M202" s="10">
        <f t="shared" si="90"/>
        <v>0</v>
      </c>
      <c r="O202" s="30" t="b">
        <f t="shared" si="91"/>
        <v>1</v>
      </c>
      <c r="P202" s="30" t="b">
        <f t="shared" si="92"/>
        <v>0</v>
      </c>
      <c r="Q202" s="30" t="b">
        <f t="shared" si="93"/>
        <v>0</v>
      </c>
      <c r="R202" s="30">
        <f t="shared" si="94"/>
        <v>0</v>
      </c>
      <c r="S202" s="32">
        <f t="shared" si="102"/>
        <v>58429</v>
      </c>
      <c r="Z202" s="10"/>
      <c r="AA202" s="45">
        <f t="shared" si="95"/>
        <v>58429</v>
      </c>
      <c r="AB202" s="3">
        <f t="shared" si="96"/>
        <v>15536</v>
      </c>
      <c r="AC202" s="3">
        <f t="shared" si="118"/>
        <v>43.15555555555556</v>
      </c>
      <c r="AD202" s="3">
        <f t="shared" si="103"/>
        <v>43.166666666666664</v>
      </c>
      <c r="AE202" s="48">
        <f t="shared" si="98"/>
        <v>0</v>
      </c>
      <c r="AF202" s="3">
        <f t="shared" si="119"/>
        <v>0</v>
      </c>
      <c r="AH202" s="4"/>
      <c r="AI202" s="4"/>
      <c r="AN202" s="108">
        <f t="shared" si="100"/>
        <v>0</v>
      </c>
    </row>
    <row r="203" spans="1:40" ht="12.75">
      <c r="A203" s="33">
        <f t="shared" si="120"/>
        <v>173</v>
      </c>
      <c r="B203" s="30">
        <f t="shared" si="121"/>
        <v>3</v>
      </c>
      <c r="C203" s="30">
        <f t="shared" si="105"/>
        <v>20</v>
      </c>
      <c r="D203" s="30">
        <f t="shared" si="122"/>
        <v>2060</v>
      </c>
      <c r="E203" s="133">
        <f t="shared" si="123"/>
        <v>0</v>
      </c>
      <c r="F203" s="1"/>
      <c r="G203" s="133">
        <f t="shared" si="104"/>
        <v>0</v>
      </c>
      <c r="H203" s="133">
        <f t="shared" si="87"/>
        <v>0</v>
      </c>
      <c r="I203" s="30">
        <f t="shared" si="124"/>
        <v>15626</v>
      </c>
      <c r="J203" s="133">
        <f t="shared" si="101"/>
        <v>0</v>
      </c>
      <c r="K203" s="10">
        <f t="shared" si="88"/>
        <v>0</v>
      </c>
      <c r="L203" s="22">
        <f t="shared" si="89"/>
        <v>0</v>
      </c>
      <c r="M203" s="10">
        <f t="shared" si="90"/>
        <v>0</v>
      </c>
      <c r="O203" s="30" t="b">
        <f t="shared" si="91"/>
        <v>1</v>
      </c>
      <c r="P203" s="30" t="b">
        <f t="shared" si="92"/>
        <v>0</v>
      </c>
      <c r="Q203" s="30" t="b">
        <f t="shared" si="93"/>
        <v>0</v>
      </c>
      <c r="R203" s="30">
        <f t="shared" si="94"/>
        <v>0</v>
      </c>
      <c r="S203" s="32">
        <f t="shared" si="102"/>
        <v>58520</v>
      </c>
      <c r="Z203" s="10"/>
      <c r="AA203" s="45">
        <f t="shared" si="95"/>
        <v>58520</v>
      </c>
      <c r="AB203" s="3">
        <f t="shared" si="96"/>
        <v>15626</v>
      </c>
      <c r="AC203" s="3">
        <f t="shared" si="118"/>
        <v>43.40555555555556</v>
      </c>
      <c r="AD203" s="3">
        <f t="shared" si="103"/>
        <v>43.416666666666664</v>
      </c>
      <c r="AE203" s="48">
        <f t="shared" si="98"/>
        <v>0</v>
      </c>
      <c r="AF203" s="3">
        <f t="shared" si="119"/>
        <v>0</v>
      </c>
      <c r="AH203" s="4"/>
      <c r="AI203" s="4"/>
      <c r="AN203" s="108">
        <f t="shared" si="100"/>
        <v>0</v>
      </c>
    </row>
    <row r="204" spans="1:40" ht="12.75">
      <c r="A204" s="33">
        <f t="shared" si="120"/>
        <v>174</v>
      </c>
      <c r="B204" s="30">
        <f t="shared" si="121"/>
        <v>6</v>
      </c>
      <c r="C204" s="30">
        <f t="shared" si="105"/>
        <v>20</v>
      </c>
      <c r="D204" s="30">
        <f t="shared" si="122"/>
        <v>2060</v>
      </c>
      <c r="E204" s="133">
        <f t="shared" si="123"/>
        <v>0</v>
      </c>
      <c r="F204" s="1"/>
      <c r="G204" s="133">
        <f t="shared" si="104"/>
        <v>0</v>
      </c>
      <c r="H204" s="133">
        <f t="shared" si="87"/>
        <v>0</v>
      </c>
      <c r="I204" s="30">
        <f t="shared" si="124"/>
        <v>15716</v>
      </c>
      <c r="J204" s="133">
        <f t="shared" si="101"/>
        <v>0</v>
      </c>
      <c r="K204" s="10">
        <f t="shared" si="88"/>
        <v>0</v>
      </c>
      <c r="L204" s="22">
        <f t="shared" si="89"/>
        <v>0</v>
      </c>
      <c r="M204" s="10">
        <f t="shared" si="90"/>
        <v>0</v>
      </c>
      <c r="O204" s="30" t="b">
        <f t="shared" si="91"/>
        <v>0</v>
      </c>
      <c r="P204" s="30" t="b">
        <f t="shared" si="92"/>
        <v>1</v>
      </c>
      <c r="Q204" s="30" t="b">
        <f t="shared" si="93"/>
        <v>0</v>
      </c>
      <c r="R204" s="30">
        <f t="shared" si="94"/>
        <v>0</v>
      </c>
      <c r="S204" s="32">
        <f t="shared" si="102"/>
        <v>58612</v>
      </c>
      <c r="Z204" s="10"/>
      <c r="AA204" s="45">
        <f t="shared" si="95"/>
        <v>58612</v>
      </c>
      <c r="AB204" s="3">
        <f t="shared" si="96"/>
        <v>15716</v>
      </c>
      <c r="AC204" s="3">
        <f t="shared" si="118"/>
        <v>43.65555555555556</v>
      </c>
      <c r="AD204" s="3">
        <f t="shared" si="103"/>
        <v>43.666666666666664</v>
      </c>
      <c r="AE204" s="48">
        <f t="shared" si="98"/>
        <v>0</v>
      </c>
      <c r="AF204" s="3">
        <f t="shared" si="119"/>
        <v>0</v>
      </c>
      <c r="AH204" s="4"/>
      <c r="AI204" s="4"/>
      <c r="AN204" s="108">
        <f t="shared" si="100"/>
        <v>0</v>
      </c>
    </row>
    <row r="205" spans="1:40" ht="12.75">
      <c r="A205" s="33">
        <f t="shared" si="120"/>
        <v>175</v>
      </c>
      <c r="B205" s="30">
        <f t="shared" si="121"/>
        <v>9</v>
      </c>
      <c r="C205" s="30">
        <f t="shared" si="105"/>
        <v>20</v>
      </c>
      <c r="D205" s="30">
        <f t="shared" si="122"/>
        <v>2060</v>
      </c>
      <c r="E205" s="133">
        <f t="shared" si="123"/>
        <v>0</v>
      </c>
      <c r="F205" s="1"/>
      <c r="G205" s="133">
        <f t="shared" si="104"/>
        <v>0</v>
      </c>
      <c r="H205" s="133">
        <f t="shared" si="87"/>
        <v>0</v>
      </c>
      <c r="I205" s="30">
        <f t="shared" si="124"/>
        <v>15806</v>
      </c>
      <c r="J205" s="133">
        <f t="shared" si="101"/>
        <v>0</v>
      </c>
      <c r="K205" s="10">
        <f t="shared" si="88"/>
        <v>0</v>
      </c>
      <c r="L205" s="22">
        <f t="shared" si="89"/>
        <v>0</v>
      </c>
      <c r="M205" s="10">
        <f t="shared" si="90"/>
        <v>0</v>
      </c>
      <c r="O205" s="30" t="b">
        <f t="shared" si="91"/>
        <v>0</v>
      </c>
      <c r="P205" s="30" t="b">
        <f t="shared" si="92"/>
        <v>1</v>
      </c>
      <c r="Q205" s="30" t="b">
        <f t="shared" si="93"/>
        <v>0</v>
      </c>
      <c r="R205" s="30">
        <f t="shared" si="94"/>
        <v>0</v>
      </c>
      <c r="S205" s="32">
        <f t="shared" si="102"/>
        <v>58704</v>
      </c>
      <c r="Z205" s="10"/>
      <c r="AA205" s="45">
        <f t="shared" si="95"/>
        <v>58704</v>
      </c>
      <c r="AB205" s="3">
        <f t="shared" si="96"/>
        <v>15806</v>
      </c>
      <c r="AC205" s="3">
        <f t="shared" si="118"/>
        <v>43.90555555555556</v>
      </c>
      <c r="AD205" s="3">
        <f t="shared" si="103"/>
        <v>43.916666666666664</v>
      </c>
      <c r="AE205" s="48">
        <f t="shared" si="98"/>
        <v>0</v>
      </c>
      <c r="AF205" s="3">
        <f t="shared" si="119"/>
        <v>0</v>
      </c>
      <c r="AH205" s="4"/>
      <c r="AI205" s="4"/>
      <c r="AN205" s="108">
        <f t="shared" si="100"/>
        <v>0</v>
      </c>
    </row>
    <row r="206" spans="1:40" ht="12.75">
      <c r="A206" s="33">
        <f t="shared" si="120"/>
        <v>176</v>
      </c>
      <c r="B206" s="30">
        <f t="shared" si="121"/>
        <v>12</v>
      </c>
      <c r="C206" s="30">
        <f t="shared" si="105"/>
        <v>20</v>
      </c>
      <c r="D206" s="30">
        <f t="shared" si="122"/>
        <v>2060</v>
      </c>
      <c r="E206" s="133">
        <f t="shared" si="123"/>
        <v>0</v>
      </c>
      <c r="F206" s="1"/>
      <c r="G206" s="133">
        <f t="shared" si="104"/>
        <v>0</v>
      </c>
      <c r="H206" s="133">
        <f t="shared" si="87"/>
        <v>0</v>
      </c>
      <c r="I206" s="30">
        <f t="shared" si="124"/>
        <v>15896</v>
      </c>
      <c r="J206" s="133">
        <f t="shared" si="101"/>
        <v>0</v>
      </c>
      <c r="K206" s="10">
        <f t="shared" si="88"/>
        <v>0</v>
      </c>
      <c r="L206" s="22">
        <f t="shared" si="89"/>
        <v>0</v>
      </c>
      <c r="M206" s="10">
        <f t="shared" si="90"/>
        <v>0</v>
      </c>
      <c r="O206" s="30" t="b">
        <f t="shared" si="91"/>
        <v>1</v>
      </c>
      <c r="P206" s="30" t="b">
        <f t="shared" si="92"/>
        <v>0</v>
      </c>
      <c r="Q206" s="30" t="b">
        <f t="shared" si="93"/>
        <v>0</v>
      </c>
      <c r="R206" s="30">
        <f t="shared" si="94"/>
        <v>0</v>
      </c>
      <c r="S206" s="32">
        <f t="shared" si="102"/>
        <v>58795</v>
      </c>
      <c r="Z206" s="10"/>
      <c r="AA206" s="45">
        <f t="shared" si="95"/>
        <v>58795</v>
      </c>
      <c r="AB206" s="3">
        <f t="shared" si="96"/>
        <v>15896</v>
      </c>
      <c r="AC206" s="3">
        <f aca="true" t="shared" si="125" ref="AC206:AC221">AB206/360</f>
        <v>44.15555555555556</v>
      </c>
      <c r="AD206" s="3">
        <f t="shared" si="103"/>
        <v>44.166666666666664</v>
      </c>
      <c r="AE206" s="48">
        <f t="shared" si="98"/>
        <v>0</v>
      </c>
      <c r="AF206" s="3">
        <f aca="true" t="shared" si="126" ref="AF206:AF221">AE206*AD206</f>
        <v>0</v>
      </c>
      <c r="AH206" s="4"/>
      <c r="AI206" s="4"/>
      <c r="AN206" s="108">
        <f t="shared" si="100"/>
        <v>0</v>
      </c>
    </row>
    <row r="207" spans="1:40" ht="12.75">
      <c r="A207" s="33">
        <f t="shared" si="120"/>
        <v>177</v>
      </c>
      <c r="B207" s="30">
        <f t="shared" si="121"/>
        <v>3</v>
      </c>
      <c r="C207" s="30">
        <f t="shared" si="105"/>
        <v>20</v>
      </c>
      <c r="D207" s="30">
        <f t="shared" si="122"/>
        <v>2061</v>
      </c>
      <c r="E207" s="133">
        <f t="shared" si="123"/>
        <v>0</v>
      </c>
      <c r="F207" s="1"/>
      <c r="G207" s="133">
        <f t="shared" si="104"/>
        <v>0</v>
      </c>
      <c r="H207" s="133">
        <f t="shared" si="87"/>
        <v>0</v>
      </c>
      <c r="I207" s="30">
        <f t="shared" si="124"/>
        <v>15986</v>
      </c>
      <c r="J207" s="133">
        <f t="shared" si="101"/>
        <v>0</v>
      </c>
      <c r="K207" s="10">
        <f t="shared" si="88"/>
        <v>0</v>
      </c>
      <c r="L207" s="22">
        <f t="shared" si="89"/>
        <v>0</v>
      </c>
      <c r="M207" s="10">
        <f t="shared" si="90"/>
        <v>0</v>
      </c>
      <c r="O207" s="30" t="b">
        <f t="shared" si="91"/>
        <v>1</v>
      </c>
      <c r="P207" s="30" t="b">
        <f t="shared" si="92"/>
        <v>0</v>
      </c>
      <c r="Q207" s="30" t="b">
        <f t="shared" si="93"/>
        <v>0</v>
      </c>
      <c r="R207" s="30">
        <f t="shared" si="94"/>
        <v>0</v>
      </c>
      <c r="S207" s="32">
        <f t="shared" si="102"/>
        <v>58885</v>
      </c>
      <c r="Z207" s="10"/>
      <c r="AA207" s="45">
        <f t="shared" si="95"/>
        <v>58885</v>
      </c>
      <c r="AB207" s="3">
        <f t="shared" si="96"/>
        <v>15986</v>
      </c>
      <c r="AC207" s="3">
        <f t="shared" si="125"/>
        <v>44.40555555555556</v>
      </c>
      <c r="AD207" s="3">
        <f t="shared" si="103"/>
        <v>44.416666666666664</v>
      </c>
      <c r="AE207" s="48">
        <f t="shared" si="98"/>
        <v>0</v>
      </c>
      <c r="AF207" s="3">
        <f t="shared" si="126"/>
        <v>0</v>
      </c>
      <c r="AH207" s="4"/>
      <c r="AI207" s="4"/>
      <c r="AN207" s="108">
        <f t="shared" si="100"/>
        <v>0</v>
      </c>
    </row>
    <row r="208" spans="1:40" ht="12.75">
      <c r="A208" s="33">
        <f t="shared" si="120"/>
        <v>178</v>
      </c>
      <c r="B208" s="30">
        <f t="shared" si="121"/>
        <v>6</v>
      </c>
      <c r="C208" s="30">
        <f t="shared" si="105"/>
        <v>20</v>
      </c>
      <c r="D208" s="30">
        <f t="shared" si="122"/>
        <v>2061</v>
      </c>
      <c r="E208" s="133">
        <f t="shared" si="123"/>
        <v>0</v>
      </c>
      <c r="F208" s="1"/>
      <c r="G208" s="133">
        <f t="shared" si="104"/>
        <v>0</v>
      </c>
      <c r="H208" s="133">
        <f t="shared" si="87"/>
        <v>0</v>
      </c>
      <c r="I208" s="30">
        <f t="shared" si="124"/>
        <v>16076</v>
      </c>
      <c r="J208" s="133">
        <f t="shared" si="101"/>
        <v>0</v>
      </c>
      <c r="K208" s="10">
        <f t="shared" si="88"/>
        <v>0</v>
      </c>
      <c r="L208" s="22">
        <f t="shared" si="89"/>
        <v>0</v>
      </c>
      <c r="M208" s="10">
        <f t="shared" si="90"/>
        <v>0</v>
      </c>
      <c r="O208" s="30" t="b">
        <f t="shared" si="91"/>
        <v>0</v>
      </c>
      <c r="P208" s="30" t="b">
        <f t="shared" si="92"/>
        <v>1</v>
      </c>
      <c r="Q208" s="30" t="b">
        <f t="shared" si="93"/>
        <v>0</v>
      </c>
      <c r="R208" s="30">
        <f t="shared" si="94"/>
        <v>0</v>
      </c>
      <c r="S208" s="32">
        <f t="shared" si="102"/>
        <v>58977</v>
      </c>
      <c r="Z208" s="10"/>
      <c r="AA208" s="45">
        <f t="shared" si="95"/>
        <v>58977</v>
      </c>
      <c r="AB208" s="3">
        <f t="shared" si="96"/>
        <v>16076</v>
      </c>
      <c r="AC208" s="3">
        <f t="shared" si="125"/>
        <v>44.65555555555556</v>
      </c>
      <c r="AD208" s="3">
        <f t="shared" si="103"/>
        <v>44.666666666666664</v>
      </c>
      <c r="AE208" s="48">
        <f t="shared" si="98"/>
        <v>0</v>
      </c>
      <c r="AF208" s="3">
        <f t="shared" si="126"/>
        <v>0</v>
      </c>
      <c r="AH208" s="4"/>
      <c r="AI208" s="4"/>
      <c r="AN208" s="108">
        <f t="shared" si="100"/>
        <v>0</v>
      </c>
    </row>
    <row r="209" spans="1:40" ht="12.75">
      <c r="A209" s="33">
        <f t="shared" si="120"/>
        <v>179</v>
      </c>
      <c r="B209" s="30">
        <f t="shared" si="121"/>
        <v>9</v>
      </c>
      <c r="C209" s="30">
        <f t="shared" si="105"/>
        <v>20</v>
      </c>
      <c r="D209" s="30">
        <f t="shared" si="122"/>
        <v>2061</v>
      </c>
      <c r="E209" s="133">
        <f t="shared" si="123"/>
        <v>0</v>
      </c>
      <c r="F209" s="1"/>
      <c r="G209" s="133">
        <f t="shared" si="104"/>
        <v>0</v>
      </c>
      <c r="H209" s="133">
        <f t="shared" si="87"/>
        <v>0</v>
      </c>
      <c r="I209" s="30">
        <f t="shared" si="124"/>
        <v>16166</v>
      </c>
      <c r="J209" s="133">
        <f t="shared" si="101"/>
        <v>0</v>
      </c>
      <c r="K209" s="10">
        <f t="shared" si="88"/>
        <v>0</v>
      </c>
      <c r="L209" s="22">
        <f t="shared" si="89"/>
        <v>0</v>
      </c>
      <c r="M209" s="10">
        <f t="shared" si="90"/>
        <v>0</v>
      </c>
      <c r="O209" s="30" t="b">
        <f t="shared" si="91"/>
        <v>0</v>
      </c>
      <c r="P209" s="30" t="b">
        <f t="shared" si="92"/>
        <v>1</v>
      </c>
      <c r="Q209" s="30" t="b">
        <f t="shared" si="93"/>
        <v>0</v>
      </c>
      <c r="R209" s="30">
        <f t="shared" si="94"/>
        <v>0</v>
      </c>
      <c r="S209" s="32">
        <f t="shared" si="102"/>
        <v>59069</v>
      </c>
      <c r="Z209" s="10"/>
      <c r="AA209" s="45">
        <f t="shared" si="95"/>
        <v>59069</v>
      </c>
      <c r="AB209" s="3">
        <f t="shared" si="96"/>
        <v>16166</v>
      </c>
      <c r="AC209" s="3">
        <f t="shared" si="125"/>
        <v>44.90555555555556</v>
      </c>
      <c r="AD209" s="3">
        <f t="shared" si="103"/>
        <v>44.916666666666664</v>
      </c>
      <c r="AE209" s="48">
        <f t="shared" si="98"/>
        <v>0</v>
      </c>
      <c r="AF209" s="3">
        <f t="shared" si="126"/>
        <v>0</v>
      </c>
      <c r="AH209" s="4"/>
      <c r="AI209" s="4"/>
      <c r="AN209" s="108">
        <f t="shared" si="100"/>
        <v>0</v>
      </c>
    </row>
    <row r="210" spans="1:40" ht="12.75">
      <c r="A210" s="33">
        <f t="shared" si="120"/>
        <v>180</v>
      </c>
      <c r="B210" s="30">
        <f t="shared" si="121"/>
        <v>12</v>
      </c>
      <c r="C210" s="30">
        <f t="shared" si="105"/>
        <v>20</v>
      </c>
      <c r="D210" s="30">
        <f t="shared" si="122"/>
        <v>2061</v>
      </c>
      <c r="E210" s="133">
        <f t="shared" si="123"/>
        <v>0</v>
      </c>
      <c r="F210" s="1"/>
      <c r="G210" s="133">
        <f t="shared" si="104"/>
        <v>0</v>
      </c>
      <c r="H210" s="133">
        <f t="shared" si="87"/>
        <v>0</v>
      </c>
      <c r="I210" s="30">
        <f t="shared" si="124"/>
        <v>16256</v>
      </c>
      <c r="J210" s="133">
        <f t="shared" si="101"/>
        <v>0</v>
      </c>
      <c r="K210" s="10">
        <f t="shared" si="88"/>
        <v>0</v>
      </c>
      <c r="L210" s="22">
        <f t="shared" si="89"/>
        <v>0</v>
      </c>
      <c r="M210" s="10">
        <f t="shared" si="90"/>
        <v>0</v>
      </c>
      <c r="O210" s="30" t="b">
        <f t="shared" si="91"/>
        <v>1</v>
      </c>
      <c r="P210" s="30" t="b">
        <f t="shared" si="92"/>
        <v>0</v>
      </c>
      <c r="Q210" s="30" t="b">
        <f t="shared" si="93"/>
        <v>0</v>
      </c>
      <c r="R210" s="30">
        <f t="shared" si="94"/>
        <v>0</v>
      </c>
      <c r="S210" s="32">
        <f t="shared" si="102"/>
        <v>59160</v>
      </c>
      <c r="Z210" s="10"/>
      <c r="AA210" s="45">
        <f t="shared" si="95"/>
        <v>59160</v>
      </c>
      <c r="AB210" s="3">
        <f t="shared" si="96"/>
        <v>16256</v>
      </c>
      <c r="AC210" s="3">
        <f t="shared" si="125"/>
        <v>45.15555555555556</v>
      </c>
      <c r="AD210" s="3">
        <f t="shared" si="103"/>
        <v>45.166666666666664</v>
      </c>
      <c r="AE210" s="48">
        <f t="shared" si="98"/>
        <v>0</v>
      </c>
      <c r="AF210" s="3">
        <f t="shared" si="126"/>
        <v>0</v>
      </c>
      <c r="AH210" s="4"/>
      <c r="AI210" s="4"/>
      <c r="AN210" s="108">
        <f t="shared" si="100"/>
        <v>0</v>
      </c>
    </row>
    <row r="211" spans="1:40" ht="12.75">
      <c r="A211" s="33">
        <f t="shared" si="120"/>
        <v>181</v>
      </c>
      <c r="B211" s="30">
        <f t="shared" si="121"/>
        <v>3</v>
      </c>
      <c r="C211" s="30">
        <f t="shared" si="105"/>
        <v>20</v>
      </c>
      <c r="D211" s="30">
        <f t="shared" si="122"/>
        <v>2062</v>
      </c>
      <c r="E211" s="133">
        <f t="shared" si="123"/>
        <v>0</v>
      </c>
      <c r="F211" s="1"/>
      <c r="G211" s="133">
        <f t="shared" si="104"/>
        <v>0</v>
      </c>
      <c r="H211" s="133">
        <f t="shared" si="87"/>
        <v>0</v>
      </c>
      <c r="I211" s="30">
        <f t="shared" si="124"/>
        <v>16346</v>
      </c>
      <c r="J211" s="133">
        <f t="shared" si="101"/>
        <v>0</v>
      </c>
      <c r="K211" s="10">
        <f t="shared" si="88"/>
        <v>0</v>
      </c>
      <c r="L211" s="22">
        <f t="shared" si="89"/>
        <v>0</v>
      </c>
      <c r="M211" s="10">
        <f t="shared" si="90"/>
        <v>0</v>
      </c>
      <c r="O211" s="30" t="b">
        <f t="shared" si="91"/>
        <v>1</v>
      </c>
      <c r="P211" s="30" t="b">
        <f t="shared" si="92"/>
        <v>0</v>
      </c>
      <c r="Q211" s="30" t="b">
        <f t="shared" si="93"/>
        <v>0</v>
      </c>
      <c r="R211" s="30">
        <f t="shared" si="94"/>
        <v>0</v>
      </c>
      <c r="S211" s="32">
        <f t="shared" si="102"/>
        <v>59250</v>
      </c>
      <c r="Z211" s="10"/>
      <c r="AA211" s="45">
        <f t="shared" si="95"/>
        <v>59250</v>
      </c>
      <c r="AB211" s="3">
        <f t="shared" si="96"/>
        <v>16346</v>
      </c>
      <c r="AC211" s="3">
        <f t="shared" si="125"/>
        <v>45.40555555555556</v>
      </c>
      <c r="AD211" s="3">
        <f t="shared" si="103"/>
        <v>45.416666666666664</v>
      </c>
      <c r="AE211" s="48">
        <f t="shared" si="98"/>
        <v>0</v>
      </c>
      <c r="AF211" s="3">
        <f t="shared" si="126"/>
        <v>0</v>
      </c>
      <c r="AH211" s="4"/>
      <c r="AI211" s="4"/>
      <c r="AN211" s="108">
        <f t="shared" si="100"/>
        <v>0</v>
      </c>
    </row>
    <row r="212" spans="1:40" ht="12.75">
      <c r="A212" s="33">
        <f t="shared" si="120"/>
        <v>182</v>
      </c>
      <c r="B212" s="30">
        <f t="shared" si="121"/>
        <v>6</v>
      </c>
      <c r="C212" s="30">
        <f t="shared" si="105"/>
        <v>20</v>
      </c>
      <c r="D212" s="30">
        <f t="shared" si="122"/>
        <v>2062</v>
      </c>
      <c r="E212" s="133">
        <f t="shared" si="123"/>
        <v>0</v>
      </c>
      <c r="F212" s="1"/>
      <c r="G212" s="133">
        <f t="shared" si="104"/>
        <v>0</v>
      </c>
      <c r="H212" s="133">
        <f t="shared" si="87"/>
        <v>0</v>
      </c>
      <c r="I212" s="30">
        <f t="shared" si="124"/>
        <v>16436</v>
      </c>
      <c r="J212" s="133">
        <f t="shared" si="101"/>
        <v>0</v>
      </c>
      <c r="K212" s="10">
        <f t="shared" si="88"/>
        <v>0</v>
      </c>
      <c r="L212" s="22">
        <f t="shared" si="89"/>
        <v>0</v>
      </c>
      <c r="M212" s="10">
        <f t="shared" si="90"/>
        <v>0</v>
      </c>
      <c r="O212" s="30" t="b">
        <f t="shared" si="91"/>
        <v>0</v>
      </c>
      <c r="P212" s="30" t="b">
        <f t="shared" si="92"/>
        <v>1</v>
      </c>
      <c r="Q212" s="30" t="b">
        <f t="shared" si="93"/>
        <v>0</v>
      </c>
      <c r="R212" s="30">
        <f t="shared" si="94"/>
        <v>0</v>
      </c>
      <c r="S212" s="32">
        <f t="shared" si="102"/>
        <v>59342</v>
      </c>
      <c r="Z212" s="10"/>
      <c r="AA212" s="45">
        <f t="shared" si="95"/>
        <v>59342</v>
      </c>
      <c r="AB212" s="3">
        <f t="shared" si="96"/>
        <v>16436</v>
      </c>
      <c r="AC212" s="3">
        <f t="shared" si="125"/>
        <v>45.65555555555556</v>
      </c>
      <c r="AD212" s="3">
        <f t="shared" si="103"/>
        <v>45.666666666666664</v>
      </c>
      <c r="AE212" s="48">
        <f t="shared" si="98"/>
        <v>0</v>
      </c>
      <c r="AF212" s="3">
        <f t="shared" si="126"/>
        <v>0</v>
      </c>
      <c r="AH212" s="4"/>
      <c r="AI212" s="4"/>
      <c r="AN212" s="108">
        <f t="shared" si="100"/>
        <v>0</v>
      </c>
    </row>
    <row r="213" spans="1:40" ht="12.75">
      <c r="A213" s="33">
        <f t="shared" si="120"/>
        <v>183</v>
      </c>
      <c r="B213" s="30">
        <f t="shared" si="121"/>
        <v>9</v>
      </c>
      <c r="C213" s="30">
        <f t="shared" si="105"/>
        <v>20</v>
      </c>
      <c r="D213" s="30">
        <f t="shared" si="122"/>
        <v>2062</v>
      </c>
      <c r="E213" s="133">
        <f t="shared" si="123"/>
        <v>0</v>
      </c>
      <c r="F213" s="1"/>
      <c r="G213" s="133">
        <f t="shared" si="104"/>
        <v>0</v>
      </c>
      <c r="H213" s="133">
        <f t="shared" si="87"/>
        <v>0</v>
      </c>
      <c r="I213" s="30">
        <f t="shared" si="124"/>
        <v>16526</v>
      </c>
      <c r="J213" s="133">
        <f t="shared" si="101"/>
        <v>0</v>
      </c>
      <c r="K213" s="10">
        <f t="shared" si="88"/>
        <v>0</v>
      </c>
      <c r="L213" s="22">
        <f t="shared" si="89"/>
        <v>0</v>
      </c>
      <c r="M213" s="10">
        <f t="shared" si="90"/>
        <v>0</v>
      </c>
      <c r="O213" s="30" t="b">
        <f t="shared" si="91"/>
        <v>0</v>
      </c>
      <c r="P213" s="30" t="b">
        <f t="shared" si="92"/>
        <v>1</v>
      </c>
      <c r="Q213" s="30" t="b">
        <f t="shared" si="93"/>
        <v>0</v>
      </c>
      <c r="R213" s="30">
        <f t="shared" si="94"/>
        <v>0</v>
      </c>
      <c r="S213" s="32">
        <f t="shared" si="102"/>
        <v>59434</v>
      </c>
      <c r="Z213" s="10"/>
      <c r="AA213" s="45">
        <f t="shared" si="95"/>
        <v>59434</v>
      </c>
      <c r="AB213" s="3">
        <f t="shared" si="96"/>
        <v>16526</v>
      </c>
      <c r="AC213" s="3">
        <f t="shared" si="125"/>
        <v>45.90555555555556</v>
      </c>
      <c r="AD213" s="3">
        <f t="shared" si="103"/>
        <v>45.916666666666664</v>
      </c>
      <c r="AE213" s="48">
        <f t="shared" si="98"/>
        <v>0</v>
      </c>
      <c r="AF213" s="3">
        <f t="shared" si="126"/>
        <v>0</v>
      </c>
      <c r="AH213" s="4"/>
      <c r="AI213" s="4"/>
      <c r="AN213" s="108">
        <f t="shared" si="100"/>
        <v>0</v>
      </c>
    </row>
    <row r="214" spans="1:40" ht="12.75">
      <c r="A214" s="33">
        <f t="shared" si="120"/>
        <v>184</v>
      </c>
      <c r="B214" s="30">
        <f t="shared" si="121"/>
        <v>12</v>
      </c>
      <c r="C214" s="30">
        <f t="shared" si="105"/>
        <v>20</v>
      </c>
      <c r="D214" s="30">
        <f t="shared" si="122"/>
        <v>2062</v>
      </c>
      <c r="E214" s="133">
        <f t="shared" si="123"/>
        <v>0</v>
      </c>
      <c r="F214" s="1"/>
      <c r="G214" s="133">
        <f t="shared" si="104"/>
        <v>0</v>
      </c>
      <c r="H214" s="133">
        <f t="shared" si="87"/>
        <v>0</v>
      </c>
      <c r="I214" s="30">
        <f t="shared" si="124"/>
        <v>16616</v>
      </c>
      <c r="J214" s="133">
        <f t="shared" si="101"/>
        <v>0</v>
      </c>
      <c r="K214" s="10">
        <f t="shared" si="88"/>
        <v>0</v>
      </c>
      <c r="L214" s="22">
        <f t="shared" si="89"/>
        <v>0</v>
      </c>
      <c r="M214" s="10">
        <f t="shared" si="90"/>
        <v>0</v>
      </c>
      <c r="O214" s="30" t="b">
        <f t="shared" si="91"/>
        <v>1</v>
      </c>
      <c r="P214" s="30" t="b">
        <f t="shared" si="92"/>
        <v>0</v>
      </c>
      <c r="Q214" s="30" t="b">
        <f t="shared" si="93"/>
        <v>0</v>
      </c>
      <c r="R214" s="30">
        <f t="shared" si="94"/>
        <v>0</v>
      </c>
      <c r="S214" s="32">
        <f t="shared" si="102"/>
        <v>59525</v>
      </c>
      <c r="Z214" s="10"/>
      <c r="AA214" s="45">
        <f t="shared" si="95"/>
        <v>59525</v>
      </c>
      <c r="AB214" s="3">
        <f t="shared" si="96"/>
        <v>16616</v>
      </c>
      <c r="AC214" s="3">
        <f t="shared" si="125"/>
        <v>46.15555555555556</v>
      </c>
      <c r="AD214" s="3">
        <f t="shared" si="103"/>
        <v>46.166666666666664</v>
      </c>
      <c r="AE214" s="48">
        <f t="shared" si="98"/>
        <v>0</v>
      </c>
      <c r="AF214" s="3">
        <f t="shared" si="126"/>
        <v>0</v>
      </c>
      <c r="AH214" s="4"/>
      <c r="AI214" s="4"/>
      <c r="AN214" s="108">
        <f t="shared" si="100"/>
        <v>0</v>
      </c>
    </row>
    <row r="215" spans="1:40" ht="12.75">
      <c r="A215" s="33">
        <f aca="true" t="shared" si="127" ref="A215:A230">A214+1</f>
        <v>185</v>
      </c>
      <c r="B215" s="30">
        <f aca="true" t="shared" si="128" ref="B215:B230">IF(F$14=12,MOD(B214,12)+1,IF(F$14=4,IF(AND(MOD(B214,12)+3&gt;12,B214=11),2,IF(MOD(B214,12)+3&gt;12,1,MOD(B214,12)+3)),IF(F$14=2,IF((B214+6)&gt;12,(B214+6)-12,MOD(B214,12)+6),+B214)))</f>
        <v>3</v>
      </c>
      <c r="C215" s="30">
        <f t="shared" si="105"/>
        <v>20</v>
      </c>
      <c r="D215" s="30">
        <f aca="true" t="shared" si="129" ref="D215:D230">IF(F$14=1,D214+1,IF(AND(F$14=2,B215&lt;B214),D214+1,IF(AND(F$14=4,B215&lt;B214),D214+1,IF(OR(B215=1,B214=12),D214+1,D214))))</f>
        <v>2063</v>
      </c>
      <c r="E215" s="133">
        <f aca="true" t="shared" si="130" ref="E215:E230">ROUND(IF((+E214-F215)&lt;=-1,#VALUE!,E214-F215),2)</f>
        <v>0</v>
      </c>
      <c r="F215" s="1"/>
      <c r="G215" s="133">
        <f t="shared" si="104"/>
        <v>0</v>
      </c>
      <c r="H215" s="133">
        <f t="shared" si="87"/>
        <v>0</v>
      </c>
      <c r="I215" s="30">
        <f aca="true" t="shared" si="131" ref="I215:I230">I214+(360/$F$14)</f>
        <v>16706</v>
      </c>
      <c r="J215" s="133">
        <f t="shared" si="101"/>
        <v>0</v>
      </c>
      <c r="K215" s="10">
        <f t="shared" si="88"/>
        <v>0</v>
      </c>
      <c r="L215" s="22">
        <f t="shared" si="89"/>
        <v>0</v>
      </c>
      <c r="M215" s="10">
        <f t="shared" si="90"/>
        <v>0</v>
      </c>
      <c r="O215" s="30" t="b">
        <f t="shared" si="91"/>
        <v>1</v>
      </c>
      <c r="P215" s="30" t="b">
        <f t="shared" si="92"/>
        <v>0</v>
      </c>
      <c r="Q215" s="30" t="b">
        <f t="shared" si="93"/>
        <v>0</v>
      </c>
      <c r="R215" s="30">
        <f t="shared" si="94"/>
        <v>0</v>
      </c>
      <c r="S215" s="32">
        <f t="shared" si="102"/>
        <v>59615</v>
      </c>
      <c r="Z215" s="10"/>
      <c r="AA215" s="45">
        <f t="shared" si="95"/>
        <v>59615</v>
      </c>
      <c r="AB215" s="3">
        <f t="shared" si="96"/>
        <v>16706</v>
      </c>
      <c r="AC215" s="3">
        <f t="shared" si="125"/>
        <v>46.40555555555556</v>
      </c>
      <c r="AD215" s="3">
        <f t="shared" si="103"/>
        <v>46.416666666666664</v>
      </c>
      <c r="AE215" s="48">
        <f t="shared" si="98"/>
        <v>0</v>
      </c>
      <c r="AF215" s="3">
        <f t="shared" si="126"/>
        <v>0</v>
      </c>
      <c r="AH215" s="4"/>
      <c r="AI215" s="4"/>
      <c r="AN215" s="108">
        <f t="shared" si="100"/>
        <v>0</v>
      </c>
    </row>
    <row r="216" spans="1:40" ht="12.75">
      <c r="A216" s="33">
        <f t="shared" si="127"/>
        <v>186</v>
      </c>
      <c r="B216" s="30">
        <f t="shared" si="128"/>
        <v>6</v>
      </c>
      <c r="C216" s="30">
        <f t="shared" si="105"/>
        <v>20</v>
      </c>
      <c r="D216" s="30">
        <f t="shared" si="129"/>
        <v>2063</v>
      </c>
      <c r="E216" s="133">
        <f t="shared" si="130"/>
        <v>0</v>
      </c>
      <c r="F216" s="1"/>
      <c r="G216" s="133">
        <f t="shared" si="104"/>
        <v>0</v>
      </c>
      <c r="H216" s="133">
        <f t="shared" si="87"/>
        <v>0</v>
      </c>
      <c r="I216" s="30">
        <f t="shared" si="131"/>
        <v>16796</v>
      </c>
      <c r="J216" s="133">
        <f t="shared" si="101"/>
        <v>0</v>
      </c>
      <c r="K216" s="10">
        <f t="shared" si="88"/>
        <v>0</v>
      </c>
      <c r="L216" s="22">
        <f t="shared" si="89"/>
        <v>0</v>
      </c>
      <c r="M216" s="10">
        <f t="shared" si="90"/>
        <v>0</v>
      </c>
      <c r="O216" s="30" t="b">
        <f t="shared" si="91"/>
        <v>0</v>
      </c>
      <c r="P216" s="30" t="b">
        <f t="shared" si="92"/>
        <v>1</v>
      </c>
      <c r="Q216" s="30" t="b">
        <f t="shared" si="93"/>
        <v>0</v>
      </c>
      <c r="R216" s="30">
        <f t="shared" si="94"/>
        <v>0</v>
      </c>
      <c r="S216" s="32">
        <f t="shared" si="102"/>
        <v>59707</v>
      </c>
      <c r="Z216" s="10"/>
      <c r="AA216" s="45">
        <f t="shared" si="95"/>
        <v>59707</v>
      </c>
      <c r="AB216" s="3">
        <f t="shared" si="96"/>
        <v>16796</v>
      </c>
      <c r="AC216" s="3">
        <f t="shared" si="125"/>
        <v>46.65555555555556</v>
      </c>
      <c r="AD216" s="3">
        <f t="shared" si="103"/>
        <v>46.666666666666664</v>
      </c>
      <c r="AE216" s="48">
        <f t="shared" si="98"/>
        <v>0</v>
      </c>
      <c r="AF216" s="3">
        <f t="shared" si="126"/>
        <v>0</v>
      </c>
      <c r="AH216" s="4"/>
      <c r="AI216" s="4"/>
      <c r="AN216" s="108">
        <f t="shared" si="100"/>
        <v>0</v>
      </c>
    </row>
    <row r="217" spans="1:40" ht="12.75">
      <c r="A217" s="33">
        <f t="shared" si="127"/>
        <v>187</v>
      </c>
      <c r="B217" s="30">
        <f t="shared" si="128"/>
        <v>9</v>
      </c>
      <c r="C217" s="30">
        <f t="shared" si="105"/>
        <v>20</v>
      </c>
      <c r="D217" s="30">
        <f t="shared" si="129"/>
        <v>2063</v>
      </c>
      <c r="E217" s="133">
        <f t="shared" si="130"/>
        <v>0</v>
      </c>
      <c r="F217" s="1"/>
      <c r="G217" s="133">
        <f t="shared" si="104"/>
        <v>0</v>
      </c>
      <c r="H217" s="133">
        <f t="shared" si="87"/>
        <v>0</v>
      </c>
      <c r="I217" s="30">
        <f t="shared" si="131"/>
        <v>16886</v>
      </c>
      <c r="J217" s="133">
        <f t="shared" si="101"/>
        <v>0</v>
      </c>
      <c r="K217" s="10">
        <f t="shared" si="88"/>
        <v>0</v>
      </c>
      <c r="L217" s="22">
        <f t="shared" si="89"/>
        <v>0</v>
      </c>
      <c r="M217" s="10">
        <f t="shared" si="90"/>
        <v>0</v>
      </c>
      <c r="O217" s="30" t="b">
        <f t="shared" si="91"/>
        <v>0</v>
      </c>
      <c r="P217" s="30" t="b">
        <f t="shared" si="92"/>
        <v>1</v>
      </c>
      <c r="Q217" s="30" t="b">
        <f t="shared" si="93"/>
        <v>0</v>
      </c>
      <c r="R217" s="30">
        <f t="shared" si="94"/>
        <v>0</v>
      </c>
      <c r="S217" s="32">
        <f t="shared" si="102"/>
        <v>59799</v>
      </c>
      <c r="Z217" s="10"/>
      <c r="AA217" s="45">
        <f t="shared" si="95"/>
        <v>59799</v>
      </c>
      <c r="AB217" s="3">
        <f t="shared" si="96"/>
        <v>16886</v>
      </c>
      <c r="AC217" s="3">
        <f t="shared" si="125"/>
        <v>46.90555555555556</v>
      </c>
      <c r="AD217" s="3">
        <f t="shared" si="103"/>
        <v>46.916666666666664</v>
      </c>
      <c r="AE217" s="48">
        <f t="shared" si="98"/>
        <v>0</v>
      </c>
      <c r="AF217" s="3">
        <f t="shared" si="126"/>
        <v>0</v>
      </c>
      <c r="AH217" s="4"/>
      <c r="AI217" s="4"/>
      <c r="AN217" s="108">
        <f t="shared" si="100"/>
        <v>0</v>
      </c>
    </row>
    <row r="218" spans="1:40" ht="12.75">
      <c r="A218" s="33">
        <f t="shared" si="127"/>
        <v>188</v>
      </c>
      <c r="B218" s="30">
        <f t="shared" si="128"/>
        <v>12</v>
      </c>
      <c r="C218" s="30">
        <f t="shared" si="105"/>
        <v>20</v>
      </c>
      <c r="D218" s="30">
        <f t="shared" si="129"/>
        <v>2063</v>
      </c>
      <c r="E218" s="133">
        <f t="shared" si="130"/>
        <v>0</v>
      </c>
      <c r="F218" s="1"/>
      <c r="G218" s="133">
        <f t="shared" si="104"/>
        <v>0</v>
      </c>
      <c r="H218" s="133">
        <f t="shared" si="87"/>
        <v>0</v>
      </c>
      <c r="I218" s="30">
        <f t="shared" si="131"/>
        <v>16976</v>
      </c>
      <c r="J218" s="133">
        <f t="shared" si="101"/>
        <v>0</v>
      </c>
      <c r="K218" s="10">
        <f t="shared" si="88"/>
        <v>0</v>
      </c>
      <c r="L218" s="22">
        <f t="shared" si="89"/>
        <v>0</v>
      </c>
      <c r="M218" s="10">
        <f t="shared" si="90"/>
        <v>0</v>
      </c>
      <c r="O218" s="30" t="b">
        <f t="shared" si="91"/>
        <v>1</v>
      </c>
      <c r="P218" s="30" t="b">
        <f t="shared" si="92"/>
        <v>0</v>
      </c>
      <c r="Q218" s="30" t="b">
        <f t="shared" si="93"/>
        <v>0</v>
      </c>
      <c r="R218" s="30">
        <f t="shared" si="94"/>
        <v>0</v>
      </c>
      <c r="S218" s="32">
        <f t="shared" si="102"/>
        <v>59890</v>
      </c>
      <c r="Z218" s="10"/>
      <c r="AA218" s="45">
        <f t="shared" si="95"/>
        <v>59890</v>
      </c>
      <c r="AB218" s="3">
        <f t="shared" si="96"/>
        <v>16976</v>
      </c>
      <c r="AC218" s="3">
        <f t="shared" si="125"/>
        <v>47.15555555555556</v>
      </c>
      <c r="AD218" s="3">
        <f t="shared" si="103"/>
        <v>47.166666666666664</v>
      </c>
      <c r="AE218" s="48">
        <f t="shared" si="98"/>
        <v>0</v>
      </c>
      <c r="AF218" s="3">
        <f t="shared" si="126"/>
        <v>0</v>
      </c>
      <c r="AH218" s="4"/>
      <c r="AI218" s="4"/>
      <c r="AN218" s="108">
        <f t="shared" si="100"/>
        <v>0</v>
      </c>
    </row>
    <row r="219" spans="1:40" ht="12.75">
      <c r="A219" s="33">
        <f t="shared" si="127"/>
        <v>189</v>
      </c>
      <c r="B219" s="30">
        <f t="shared" si="128"/>
        <v>3</v>
      </c>
      <c r="C219" s="30">
        <f t="shared" si="105"/>
        <v>20</v>
      </c>
      <c r="D219" s="30">
        <f t="shared" si="129"/>
        <v>2064</v>
      </c>
      <c r="E219" s="133">
        <f t="shared" si="130"/>
        <v>0</v>
      </c>
      <c r="F219" s="1"/>
      <c r="G219" s="133">
        <f t="shared" si="104"/>
        <v>0</v>
      </c>
      <c r="H219" s="133">
        <f t="shared" si="87"/>
        <v>0</v>
      </c>
      <c r="I219" s="30">
        <f t="shared" si="131"/>
        <v>17066</v>
      </c>
      <c r="J219" s="133">
        <f t="shared" si="101"/>
        <v>0</v>
      </c>
      <c r="K219" s="10">
        <f t="shared" si="88"/>
        <v>0</v>
      </c>
      <c r="L219" s="22">
        <f t="shared" si="89"/>
        <v>0</v>
      </c>
      <c r="M219" s="10">
        <f t="shared" si="90"/>
        <v>0</v>
      </c>
      <c r="O219" s="30" t="b">
        <f t="shared" si="91"/>
        <v>1</v>
      </c>
      <c r="P219" s="30" t="b">
        <f t="shared" si="92"/>
        <v>0</v>
      </c>
      <c r="Q219" s="30" t="b">
        <f t="shared" si="93"/>
        <v>0</v>
      </c>
      <c r="R219" s="30">
        <f t="shared" si="94"/>
        <v>0</v>
      </c>
      <c r="S219" s="32">
        <f t="shared" si="102"/>
        <v>59981</v>
      </c>
      <c r="Z219" s="10"/>
      <c r="AA219" s="45">
        <f t="shared" si="95"/>
        <v>59981</v>
      </c>
      <c r="AB219" s="3">
        <f t="shared" si="96"/>
        <v>17066</v>
      </c>
      <c r="AC219" s="3">
        <f t="shared" si="125"/>
        <v>47.40555555555556</v>
      </c>
      <c r="AD219" s="3">
        <f t="shared" si="103"/>
        <v>47.416666666666664</v>
      </c>
      <c r="AE219" s="48">
        <f t="shared" si="98"/>
        <v>0</v>
      </c>
      <c r="AF219" s="3">
        <f t="shared" si="126"/>
        <v>0</v>
      </c>
      <c r="AH219" s="4"/>
      <c r="AI219" s="4"/>
      <c r="AN219" s="108">
        <f t="shared" si="100"/>
        <v>0</v>
      </c>
    </row>
    <row r="220" spans="1:40" ht="12.75">
      <c r="A220" s="33">
        <f t="shared" si="127"/>
        <v>190</v>
      </c>
      <c r="B220" s="30">
        <f t="shared" si="128"/>
        <v>6</v>
      </c>
      <c r="C220" s="30">
        <f t="shared" si="105"/>
        <v>20</v>
      </c>
      <c r="D220" s="30">
        <f t="shared" si="129"/>
        <v>2064</v>
      </c>
      <c r="E220" s="133">
        <f t="shared" si="130"/>
        <v>0</v>
      </c>
      <c r="F220" s="1"/>
      <c r="G220" s="133">
        <f t="shared" si="104"/>
        <v>0</v>
      </c>
      <c r="H220" s="133">
        <f t="shared" si="87"/>
        <v>0</v>
      </c>
      <c r="I220" s="30">
        <f t="shared" si="131"/>
        <v>17156</v>
      </c>
      <c r="J220" s="133">
        <f t="shared" si="101"/>
        <v>0</v>
      </c>
      <c r="K220" s="10">
        <f t="shared" si="88"/>
        <v>0</v>
      </c>
      <c r="L220" s="22">
        <f t="shared" si="89"/>
        <v>0</v>
      </c>
      <c r="M220" s="10">
        <f t="shared" si="90"/>
        <v>0</v>
      </c>
      <c r="O220" s="30" t="b">
        <f t="shared" si="91"/>
        <v>0</v>
      </c>
      <c r="P220" s="30" t="b">
        <f t="shared" si="92"/>
        <v>1</v>
      </c>
      <c r="Q220" s="30" t="b">
        <f t="shared" si="93"/>
        <v>0</v>
      </c>
      <c r="R220" s="30">
        <f t="shared" si="94"/>
        <v>0</v>
      </c>
      <c r="S220" s="32">
        <f t="shared" si="102"/>
        <v>60073</v>
      </c>
      <c r="Z220" s="10"/>
      <c r="AA220" s="45">
        <f t="shared" si="95"/>
        <v>60073</v>
      </c>
      <c r="AB220" s="3">
        <f t="shared" si="96"/>
        <v>17156</v>
      </c>
      <c r="AC220" s="3">
        <f t="shared" si="125"/>
        <v>47.65555555555556</v>
      </c>
      <c r="AD220" s="3">
        <f t="shared" si="103"/>
        <v>47.666666666666664</v>
      </c>
      <c r="AE220" s="48">
        <f t="shared" si="98"/>
        <v>0</v>
      </c>
      <c r="AF220" s="3">
        <f t="shared" si="126"/>
        <v>0</v>
      </c>
      <c r="AH220" s="4"/>
      <c r="AI220" s="4"/>
      <c r="AN220" s="108">
        <f t="shared" si="100"/>
        <v>0</v>
      </c>
    </row>
    <row r="221" spans="1:40" ht="12.75">
      <c r="A221" s="33">
        <f t="shared" si="127"/>
        <v>191</v>
      </c>
      <c r="B221" s="30">
        <f t="shared" si="128"/>
        <v>9</v>
      </c>
      <c r="C221" s="30">
        <f t="shared" si="105"/>
        <v>20</v>
      </c>
      <c r="D221" s="30">
        <f t="shared" si="129"/>
        <v>2064</v>
      </c>
      <c r="E221" s="133">
        <f t="shared" si="130"/>
        <v>0</v>
      </c>
      <c r="F221" s="1"/>
      <c r="G221" s="133">
        <f t="shared" si="104"/>
        <v>0</v>
      </c>
      <c r="H221" s="133">
        <f t="shared" si="87"/>
        <v>0</v>
      </c>
      <c r="I221" s="30">
        <f t="shared" si="131"/>
        <v>17246</v>
      </c>
      <c r="J221" s="133">
        <f t="shared" si="101"/>
        <v>0</v>
      </c>
      <c r="K221" s="10">
        <f t="shared" si="88"/>
        <v>0</v>
      </c>
      <c r="L221" s="22">
        <f t="shared" si="89"/>
        <v>0</v>
      </c>
      <c r="M221" s="10">
        <f t="shared" si="90"/>
        <v>0</v>
      </c>
      <c r="O221" s="30" t="b">
        <f t="shared" si="91"/>
        <v>0</v>
      </c>
      <c r="P221" s="30" t="b">
        <f t="shared" si="92"/>
        <v>1</v>
      </c>
      <c r="Q221" s="30" t="b">
        <f t="shared" si="93"/>
        <v>0</v>
      </c>
      <c r="R221" s="30">
        <f t="shared" si="94"/>
        <v>0</v>
      </c>
      <c r="S221" s="32">
        <f t="shared" si="102"/>
        <v>60165</v>
      </c>
      <c r="Z221" s="10"/>
      <c r="AA221" s="45">
        <f t="shared" si="95"/>
        <v>60165</v>
      </c>
      <c r="AB221" s="3">
        <f t="shared" si="96"/>
        <v>17246</v>
      </c>
      <c r="AC221" s="3">
        <f t="shared" si="125"/>
        <v>47.90555555555556</v>
      </c>
      <c r="AD221" s="3">
        <f t="shared" si="103"/>
        <v>47.916666666666664</v>
      </c>
      <c r="AE221" s="48">
        <f t="shared" si="98"/>
        <v>0</v>
      </c>
      <c r="AF221" s="3">
        <f t="shared" si="126"/>
        <v>0</v>
      </c>
      <c r="AH221" s="4"/>
      <c r="AI221" s="4"/>
      <c r="AN221" s="108">
        <f t="shared" si="100"/>
        <v>0</v>
      </c>
    </row>
    <row r="222" spans="1:40" ht="12.75">
      <c r="A222" s="33">
        <f t="shared" si="127"/>
        <v>192</v>
      </c>
      <c r="B222" s="30">
        <f t="shared" si="128"/>
        <v>12</v>
      </c>
      <c r="C222" s="30">
        <f t="shared" si="105"/>
        <v>20</v>
      </c>
      <c r="D222" s="30">
        <f t="shared" si="129"/>
        <v>2064</v>
      </c>
      <c r="E222" s="133">
        <f t="shared" si="130"/>
        <v>0</v>
      </c>
      <c r="F222" s="1"/>
      <c r="G222" s="133">
        <f t="shared" si="104"/>
        <v>0</v>
      </c>
      <c r="H222" s="133">
        <f aca="true" t="shared" si="132" ref="H222:H285">G222+F222</f>
        <v>0</v>
      </c>
      <c r="I222" s="30">
        <f t="shared" si="131"/>
        <v>17336</v>
      </c>
      <c r="J222" s="133">
        <f t="shared" si="101"/>
        <v>0</v>
      </c>
      <c r="K222" s="10">
        <f aca="true" t="shared" si="133" ref="K222:K285">F222*((A222/$F$14)+$E$9/IF($M$3,365,360))</f>
        <v>0</v>
      </c>
      <c r="L222" s="22">
        <f aca="true" t="shared" si="134" ref="L222:L285">(H222/((1+$F$15/$F$14)^(A222+($E$7-$E$8)/365*$F$14)))</f>
        <v>0</v>
      </c>
      <c r="M222" s="10">
        <f aca="true" t="shared" si="135" ref="M222:M285">L222*(A222+($E$7-$E$8)/365*$F$14)</f>
        <v>0</v>
      </c>
      <c r="O222" s="30" t="b">
        <f aca="true" t="shared" si="136" ref="O222:O285">(OR(OR(OR(OR(OR(OR(B222=1,B222=3),B222=5),B222=7),B222=8),B222=10),B222=12))</f>
        <v>1</v>
      </c>
      <c r="P222" s="30" t="b">
        <f aca="true" t="shared" si="137" ref="P222:P285">(OR(OR(OR(B222=4,B222=6),B222=9),B222=11))</f>
        <v>0</v>
      </c>
      <c r="Q222" s="30" t="b">
        <f aca="true" t="shared" si="138" ref="Q222:Q285">OR((AND(B222=2,C222=28)),(AND(B222=2,C222=29)))</f>
        <v>0</v>
      </c>
      <c r="R222" s="30">
        <f aca="true" t="shared" si="139" ref="R222:R285">IF(AND(D222/4=(ROUND(D222/4,0)),B222=2),1,0)</f>
        <v>0</v>
      </c>
      <c r="S222" s="32">
        <f t="shared" si="102"/>
        <v>60256</v>
      </c>
      <c r="Z222" s="10"/>
      <c r="AA222" s="45">
        <f aca="true" t="shared" si="140" ref="AA222:AA285">S222</f>
        <v>60256</v>
      </c>
      <c r="AB222" s="3">
        <f aca="true" t="shared" si="141" ref="AB222:AB285">DAYS360($Z$29,AA222)</f>
        <v>17336</v>
      </c>
      <c r="AC222" s="3">
        <f aca="true" t="shared" si="142" ref="AC222:AC237">AB222/360</f>
        <v>48.15555555555556</v>
      </c>
      <c r="AD222" s="3">
        <f t="shared" si="103"/>
        <v>48.166666666666664</v>
      </c>
      <c r="AE222" s="48">
        <f aca="true" t="shared" si="143" ref="AE222:AE285">F222</f>
        <v>0</v>
      </c>
      <c r="AF222" s="3">
        <f aca="true" t="shared" si="144" ref="AF222:AF237">AE222*AD222</f>
        <v>0</v>
      </c>
      <c r="AH222" s="4"/>
      <c r="AI222" s="4"/>
      <c r="AN222" s="108">
        <f aca="true" t="shared" si="145" ref="AN222:AN285">IF($H222=0,0,DATE($D222,$B222,$C222))</f>
        <v>0</v>
      </c>
    </row>
    <row r="223" spans="1:40" ht="12.75">
      <c r="A223" s="33">
        <f t="shared" si="127"/>
        <v>193</v>
      </c>
      <c r="B223" s="30">
        <f t="shared" si="128"/>
        <v>3</v>
      </c>
      <c r="C223" s="30">
        <f t="shared" si="105"/>
        <v>20</v>
      </c>
      <c r="D223" s="30">
        <f t="shared" si="129"/>
        <v>2065</v>
      </c>
      <c r="E223" s="133">
        <f t="shared" si="130"/>
        <v>0</v>
      </c>
      <c r="F223" s="1"/>
      <c r="G223" s="133">
        <f t="shared" si="104"/>
        <v>0</v>
      </c>
      <c r="H223" s="133">
        <f t="shared" si="132"/>
        <v>0</v>
      </c>
      <c r="I223" s="30">
        <f t="shared" si="131"/>
        <v>17426</v>
      </c>
      <c r="J223" s="133">
        <f aca="true" t="shared" si="146" ref="J223:J286">($H223/((1+$F$19/$F$14)^(I223/360*$F$14)))</f>
        <v>0</v>
      </c>
      <c r="K223" s="10">
        <f t="shared" si="133"/>
        <v>0</v>
      </c>
      <c r="L223" s="22">
        <f t="shared" si="134"/>
        <v>0</v>
      </c>
      <c r="M223" s="10">
        <f t="shared" si="135"/>
        <v>0</v>
      </c>
      <c r="O223" s="30" t="b">
        <f t="shared" si="136"/>
        <v>1</v>
      </c>
      <c r="P223" s="30" t="b">
        <f t="shared" si="137"/>
        <v>0</v>
      </c>
      <c r="Q223" s="30" t="b">
        <f t="shared" si="138"/>
        <v>0</v>
      </c>
      <c r="R223" s="30">
        <f t="shared" si="139"/>
        <v>0</v>
      </c>
      <c r="S223" s="32">
        <f aca="true" t="shared" si="147" ref="S223:S286">IF(D223&gt;2078,0,DATE(+D223-1900,+B223,+C223))</f>
        <v>60346</v>
      </c>
      <c r="Z223" s="10"/>
      <c r="AA223" s="45">
        <f t="shared" si="140"/>
        <v>60346</v>
      </c>
      <c r="AB223" s="3">
        <f t="shared" si="141"/>
        <v>17426</v>
      </c>
      <c r="AC223" s="3">
        <f t="shared" si="142"/>
        <v>48.40555555555556</v>
      </c>
      <c r="AD223" s="3">
        <f aca="true" t="shared" si="148" ref="AD223:AD286">AD222+(1/$AD$16)</f>
        <v>48.416666666666664</v>
      </c>
      <c r="AE223" s="48">
        <f t="shared" si="143"/>
        <v>0</v>
      </c>
      <c r="AF223" s="3">
        <f t="shared" si="144"/>
        <v>0</v>
      </c>
      <c r="AH223" s="4"/>
      <c r="AI223" s="4"/>
      <c r="AN223" s="108">
        <f t="shared" si="145"/>
        <v>0</v>
      </c>
    </row>
    <row r="224" spans="1:40" ht="12.75">
      <c r="A224" s="33">
        <f t="shared" si="127"/>
        <v>194</v>
      </c>
      <c r="B224" s="30">
        <f t="shared" si="128"/>
        <v>6</v>
      </c>
      <c r="C224" s="30">
        <f t="shared" si="105"/>
        <v>20</v>
      </c>
      <c r="D224" s="30">
        <f t="shared" si="129"/>
        <v>2065</v>
      </c>
      <c r="E224" s="133">
        <f t="shared" si="130"/>
        <v>0</v>
      </c>
      <c r="F224" s="1"/>
      <c r="G224" s="133">
        <f aca="true" t="shared" si="149" ref="G224:G287">ROUND(IF(D224&gt;2078,0,IF($M$3,E223*(S224-S223)*$F$15/360,IF(AND(Q224&gt;0,OR(F$12="N",F$12="No")),(E223*F$15/F$14),ROUND(E223*$F$15*DAYS360(S223,S224)/360,2)))),2)</f>
        <v>0</v>
      </c>
      <c r="H224" s="133">
        <f t="shared" si="132"/>
        <v>0</v>
      </c>
      <c r="I224" s="30">
        <f t="shared" si="131"/>
        <v>17516</v>
      </c>
      <c r="J224" s="133">
        <f t="shared" si="146"/>
        <v>0</v>
      </c>
      <c r="K224" s="10">
        <f t="shared" si="133"/>
        <v>0</v>
      </c>
      <c r="L224" s="22">
        <f t="shared" si="134"/>
        <v>0</v>
      </c>
      <c r="M224" s="10">
        <f t="shared" si="135"/>
        <v>0</v>
      </c>
      <c r="O224" s="30" t="b">
        <f t="shared" si="136"/>
        <v>0</v>
      </c>
      <c r="P224" s="30" t="b">
        <f t="shared" si="137"/>
        <v>1</v>
      </c>
      <c r="Q224" s="30" t="b">
        <f t="shared" si="138"/>
        <v>0</v>
      </c>
      <c r="R224" s="30">
        <f t="shared" si="139"/>
        <v>0</v>
      </c>
      <c r="S224" s="32">
        <f t="shared" si="147"/>
        <v>60438</v>
      </c>
      <c r="Z224" s="10"/>
      <c r="AA224" s="45">
        <f t="shared" si="140"/>
        <v>60438</v>
      </c>
      <c r="AB224" s="3">
        <f t="shared" si="141"/>
        <v>17516</v>
      </c>
      <c r="AC224" s="3">
        <f t="shared" si="142"/>
        <v>48.65555555555556</v>
      </c>
      <c r="AD224" s="3">
        <f t="shared" si="148"/>
        <v>48.666666666666664</v>
      </c>
      <c r="AE224" s="48">
        <f t="shared" si="143"/>
        <v>0</v>
      </c>
      <c r="AF224" s="3">
        <f t="shared" si="144"/>
        <v>0</v>
      </c>
      <c r="AH224" s="4"/>
      <c r="AI224" s="4"/>
      <c r="AN224" s="108">
        <f t="shared" si="145"/>
        <v>0</v>
      </c>
    </row>
    <row r="225" spans="1:40" ht="12.75">
      <c r="A225" s="33">
        <f t="shared" si="127"/>
        <v>195</v>
      </c>
      <c r="B225" s="30">
        <f t="shared" si="128"/>
        <v>9</v>
      </c>
      <c r="C225" s="30">
        <f t="shared" si="105"/>
        <v>20</v>
      </c>
      <c r="D225" s="30">
        <f t="shared" si="129"/>
        <v>2065</v>
      </c>
      <c r="E225" s="133">
        <f t="shared" si="130"/>
        <v>0</v>
      </c>
      <c r="F225" s="1"/>
      <c r="G225" s="133">
        <f t="shared" si="149"/>
        <v>0</v>
      </c>
      <c r="H225" s="133">
        <f t="shared" si="132"/>
        <v>0</v>
      </c>
      <c r="I225" s="30">
        <f t="shared" si="131"/>
        <v>17606</v>
      </c>
      <c r="J225" s="133">
        <f t="shared" si="146"/>
        <v>0</v>
      </c>
      <c r="K225" s="10">
        <f t="shared" si="133"/>
        <v>0</v>
      </c>
      <c r="L225" s="22">
        <f t="shared" si="134"/>
        <v>0</v>
      </c>
      <c r="M225" s="10">
        <f t="shared" si="135"/>
        <v>0</v>
      </c>
      <c r="O225" s="30" t="b">
        <f t="shared" si="136"/>
        <v>0</v>
      </c>
      <c r="P225" s="30" t="b">
        <f t="shared" si="137"/>
        <v>1</v>
      </c>
      <c r="Q225" s="30" t="b">
        <f t="shared" si="138"/>
        <v>0</v>
      </c>
      <c r="R225" s="30">
        <f t="shared" si="139"/>
        <v>0</v>
      </c>
      <c r="S225" s="32">
        <f t="shared" si="147"/>
        <v>60530</v>
      </c>
      <c r="Z225" s="10"/>
      <c r="AA225" s="45">
        <f t="shared" si="140"/>
        <v>60530</v>
      </c>
      <c r="AB225" s="3">
        <f t="shared" si="141"/>
        <v>17606</v>
      </c>
      <c r="AC225" s="3">
        <f t="shared" si="142"/>
        <v>48.90555555555556</v>
      </c>
      <c r="AD225" s="3">
        <f t="shared" si="148"/>
        <v>48.916666666666664</v>
      </c>
      <c r="AE225" s="48">
        <f t="shared" si="143"/>
        <v>0</v>
      </c>
      <c r="AF225" s="3">
        <f t="shared" si="144"/>
        <v>0</v>
      </c>
      <c r="AH225" s="4"/>
      <c r="AI225" s="4"/>
      <c r="AN225" s="108">
        <f t="shared" si="145"/>
        <v>0</v>
      </c>
    </row>
    <row r="226" spans="1:40" ht="12.75">
      <c r="A226" s="33">
        <f t="shared" si="127"/>
        <v>196</v>
      </c>
      <c r="B226" s="30">
        <f t="shared" si="128"/>
        <v>12</v>
      </c>
      <c r="C226" s="30">
        <f t="shared" si="105"/>
        <v>20</v>
      </c>
      <c r="D226" s="30">
        <f t="shared" si="129"/>
        <v>2065</v>
      </c>
      <c r="E226" s="133">
        <f t="shared" si="130"/>
        <v>0</v>
      </c>
      <c r="F226" s="1"/>
      <c r="G226" s="133">
        <f t="shared" si="149"/>
        <v>0</v>
      </c>
      <c r="H226" s="133">
        <f t="shared" si="132"/>
        <v>0</v>
      </c>
      <c r="I226" s="30">
        <f t="shared" si="131"/>
        <v>17696</v>
      </c>
      <c r="J226" s="133">
        <f t="shared" si="146"/>
        <v>0</v>
      </c>
      <c r="K226" s="10">
        <f t="shared" si="133"/>
        <v>0</v>
      </c>
      <c r="L226" s="22">
        <f t="shared" si="134"/>
        <v>0</v>
      </c>
      <c r="M226" s="10">
        <f t="shared" si="135"/>
        <v>0</v>
      </c>
      <c r="O226" s="30" t="b">
        <f t="shared" si="136"/>
        <v>1</v>
      </c>
      <c r="P226" s="30" t="b">
        <f t="shared" si="137"/>
        <v>0</v>
      </c>
      <c r="Q226" s="30" t="b">
        <f t="shared" si="138"/>
        <v>0</v>
      </c>
      <c r="R226" s="30">
        <f t="shared" si="139"/>
        <v>0</v>
      </c>
      <c r="S226" s="32">
        <f t="shared" si="147"/>
        <v>60621</v>
      </c>
      <c r="Z226" s="10"/>
      <c r="AA226" s="45">
        <f t="shared" si="140"/>
        <v>60621</v>
      </c>
      <c r="AB226" s="3">
        <f t="shared" si="141"/>
        <v>17696</v>
      </c>
      <c r="AC226" s="3">
        <f t="shared" si="142"/>
        <v>49.15555555555556</v>
      </c>
      <c r="AD226" s="3">
        <f t="shared" si="148"/>
        <v>49.166666666666664</v>
      </c>
      <c r="AE226" s="48">
        <f t="shared" si="143"/>
        <v>0</v>
      </c>
      <c r="AF226" s="3">
        <f t="shared" si="144"/>
        <v>0</v>
      </c>
      <c r="AH226" s="4"/>
      <c r="AI226" s="4"/>
      <c r="AN226" s="108">
        <f t="shared" si="145"/>
        <v>0</v>
      </c>
    </row>
    <row r="227" spans="1:40" ht="12.75">
      <c r="A227" s="33">
        <f t="shared" si="127"/>
        <v>197</v>
      </c>
      <c r="B227" s="30">
        <f t="shared" si="128"/>
        <v>3</v>
      </c>
      <c r="C227" s="30">
        <f t="shared" si="105"/>
        <v>20</v>
      </c>
      <c r="D227" s="30">
        <f t="shared" si="129"/>
        <v>2066</v>
      </c>
      <c r="E227" s="133">
        <f t="shared" si="130"/>
        <v>0</v>
      </c>
      <c r="F227" s="1"/>
      <c r="G227" s="133">
        <f t="shared" si="149"/>
        <v>0</v>
      </c>
      <c r="H227" s="133">
        <f t="shared" si="132"/>
        <v>0</v>
      </c>
      <c r="I227" s="30">
        <f t="shared" si="131"/>
        <v>17786</v>
      </c>
      <c r="J227" s="133">
        <f t="shared" si="146"/>
        <v>0</v>
      </c>
      <c r="K227" s="10">
        <f t="shared" si="133"/>
        <v>0</v>
      </c>
      <c r="L227" s="22">
        <f t="shared" si="134"/>
        <v>0</v>
      </c>
      <c r="M227" s="10">
        <f t="shared" si="135"/>
        <v>0</v>
      </c>
      <c r="O227" s="30" t="b">
        <f t="shared" si="136"/>
        <v>1</v>
      </c>
      <c r="P227" s="30" t="b">
        <f t="shared" si="137"/>
        <v>0</v>
      </c>
      <c r="Q227" s="30" t="b">
        <f t="shared" si="138"/>
        <v>0</v>
      </c>
      <c r="R227" s="30">
        <f t="shared" si="139"/>
        <v>0</v>
      </c>
      <c r="S227" s="32">
        <f t="shared" si="147"/>
        <v>60711</v>
      </c>
      <c r="Z227" s="10"/>
      <c r="AA227" s="45">
        <f t="shared" si="140"/>
        <v>60711</v>
      </c>
      <c r="AB227" s="3">
        <f t="shared" si="141"/>
        <v>17786</v>
      </c>
      <c r="AC227" s="3">
        <f t="shared" si="142"/>
        <v>49.40555555555556</v>
      </c>
      <c r="AD227" s="3">
        <f t="shared" si="148"/>
        <v>49.416666666666664</v>
      </c>
      <c r="AE227" s="48">
        <f t="shared" si="143"/>
        <v>0</v>
      </c>
      <c r="AF227" s="3">
        <f t="shared" si="144"/>
        <v>0</v>
      </c>
      <c r="AH227" s="4"/>
      <c r="AI227" s="4"/>
      <c r="AN227" s="108">
        <f t="shared" si="145"/>
        <v>0</v>
      </c>
    </row>
    <row r="228" spans="1:40" ht="12.75">
      <c r="A228" s="33">
        <f t="shared" si="127"/>
        <v>198</v>
      </c>
      <c r="B228" s="30">
        <f t="shared" si="128"/>
        <v>6</v>
      </c>
      <c r="C228" s="30">
        <f t="shared" si="105"/>
        <v>20</v>
      </c>
      <c r="D228" s="30">
        <f t="shared" si="129"/>
        <v>2066</v>
      </c>
      <c r="E228" s="133">
        <f t="shared" si="130"/>
        <v>0</v>
      </c>
      <c r="F228" s="1"/>
      <c r="G228" s="133">
        <f t="shared" si="149"/>
        <v>0</v>
      </c>
      <c r="H228" s="133">
        <f t="shared" si="132"/>
        <v>0</v>
      </c>
      <c r="I228" s="30">
        <f t="shared" si="131"/>
        <v>17876</v>
      </c>
      <c r="J228" s="133">
        <f t="shared" si="146"/>
        <v>0</v>
      </c>
      <c r="K228" s="10">
        <f t="shared" si="133"/>
        <v>0</v>
      </c>
      <c r="L228" s="22">
        <f t="shared" si="134"/>
        <v>0</v>
      </c>
      <c r="M228" s="10">
        <f t="shared" si="135"/>
        <v>0</v>
      </c>
      <c r="O228" s="30" t="b">
        <f t="shared" si="136"/>
        <v>0</v>
      </c>
      <c r="P228" s="30" t="b">
        <f t="shared" si="137"/>
        <v>1</v>
      </c>
      <c r="Q228" s="30" t="b">
        <f t="shared" si="138"/>
        <v>0</v>
      </c>
      <c r="R228" s="30">
        <f t="shared" si="139"/>
        <v>0</v>
      </c>
      <c r="S228" s="32">
        <f t="shared" si="147"/>
        <v>60803</v>
      </c>
      <c r="Z228" s="10"/>
      <c r="AA228" s="45">
        <f t="shared" si="140"/>
        <v>60803</v>
      </c>
      <c r="AB228" s="3">
        <f t="shared" si="141"/>
        <v>17876</v>
      </c>
      <c r="AC228" s="3">
        <f t="shared" si="142"/>
        <v>49.65555555555556</v>
      </c>
      <c r="AD228" s="3">
        <f t="shared" si="148"/>
        <v>49.666666666666664</v>
      </c>
      <c r="AE228" s="48">
        <f t="shared" si="143"/>
        <v>0</v>
      </c>
      <c r="AF228" s="3">
        <f t="shared" si="144"/>
        <v>0</v>
      </c>
      <c r="AH228" s="4"/>
      <c r="AI228" s="4"/>
      <c r="AN228" s="108">
        <f t="shared" si="145"/>
        <v>0</v>
      </c>
    </row>
    <row r="229" spans="1:40" ht="12.75">
      <c r="A229" s="33">
        <f t="shared" si="127"/>
        <v>199</v>
      </c>
      <c r="B229" s="30">
        <f t="shared" si="128"/>
        <v>9</v>
      </c>
      <c r="C229" s="30">
        <f aca="true" t="shared" si="150" ref="C229:C292">IF(AND((OR(C$30=31,Q$30=1)),P229=1),30,IF(AND((OR(C$30=30,Q$30=1)),O229=1),31,IF(AND(AND(C228&gt;29,B229=2),R229=1),29,IF(AND(AND(C228&gt;29,B229=2),R229=0),28,C$30))))</f>
        <v>20</v>
      </c>
      <c r="D229" s="30">
        <f t="shared" si="129"/>
        <v>2066</v>
      </c>
      <c r="E229" s="133">
        <f t="shared" si="130"/>
        <v>0</v>
      </c>
      <c r="F229" s="1"/>
      <c r="G229" s="133">
        <f t="shared" si="149"/>
        <v>0</v>
      </c>
      <c r="H229" s="133">
        <f t="shared" si="132"/>
        <v>0</v>
      </c>
      <c r="I229" s="30">
        <f t="shared" si="131"/>
        <v>17966</v>
      </c>
      <c r="J229" s="133">
        <f t="shared" si="146"/>
        <v>0</v>
      </c>
      <c r="K229" s="10">
        <f t="shared" si="133"/>
        <v>0</v>
      </c>
      <c r="L229" s="22">
        <f t="shared" si="134"/>
        <v>0</v>
      </c>
      <c r="M229" s="10">
        <f t="shared" si="135"/>
        <v>0</v>
      </c>
      <c r="O229" s="30" t="b">
        <f t="shared" si="136"/>
        <v>0</v>
      </c>
      <c r="P229" s="30" t="b">
        <f t="shared" si="137"/>
        <v>1</v>
      </c>
      <c r="Q229" s="30" t="b">
        <f t="shared" si="138"/>
        <v>0</v>
      </c>
      <c r="R229" s="30">
        <f t="shared" si="139"/>
        <v>0</v>
      </c>
      <c r="S229" s="32">
        <f t="shared" si="147"/>
        <v>60895</v>
      </c>
      <c r="Z229" s="10"/>
      <c r="AA229" s="45">
        <f t="shared" si="140"/>
        <v>60895</v>
      </c>
      <c r="AB229" s="3">
        <f t="shared" si="141"/>
        <v>17966</v>
      </c>
      <c r="AC229" s="3">
        <f t="shared" si="142"/>
        <v>49.90555555555556</v>
      </c>
      <c r="AD229" s="3">
        <f t="shared" si="148"/>
        <v>49.916666666666664</v>
      </c>
      <c r="AE229" s="48">
        <f t="shared" si="143"/>
        <v>0</v>
      </c>
      <c r="AF229" s="3">
        <f t="shared" si="144"/>
        <v>0</v>
      </c>
      <c r="AH229" s="4"/>
      <c r="AI229" s="4"/>
      <c r="AN229" s="108">
        <f t="shared" si="145"/>
        <v>0</v>
      </c>
    </row>
    <row r="230" spans="1:40" ht="12.75">
      <c r="A230" s="33">
        <f t="shared" si="127"/>
        <v>200</v>
      </c>
      <c r="B230" s="30">
        <f t="shared" si="128"/>
        <v>12</v>
      </c>
      <c r="C230" s="30">
        <f t="shared" si="150"/>
        <v>20</v>
      </c>
      <c r="D230" s="30">
        <f t="shared" si="129"/>
        <v>2066</v>
      </c>
      <c r="E230" s="133">
        <f t="shared" si="130"/>
        <v>0</v>
      </c>
      <c r="F230" s="1"/>
      <c r="G230" s="133">
        <f t="shared" si="149"/>
        <v>0</v>
      </c>
      <c r="H230" s="133">
        <f t="shared" si="132"/>
        <v>0</v>
      </c>
      <c r="I230" s="30">
        <f t="shared" si="131"/>
        <v>18056</v>
      </c>
      <c r="J230" s="133">
        <f t="shared" si="146"/>
        <v>0</v>
      </c>
      <c r="K230" s="10">
        <f t="shared" si="133"/>
        <v>0</v>
      </c>
      <c r="L230" s="22">
        <f t="shared" si="134"/>
        <v>0</v>
      </c>
      <c r="M230" s="10">
        <f t="shared" si="135"/>
        <v>0</v>
      </c>
      <c r="O230" s="30" t="b">
        <f t="shared" si="136"/>
        <v>1</v>
      </c>
      <c r="P230" s="30" t="b">
        <f t="shared" si="137"/>
        <v>0</v>
      </c>
      <c r="Q230" s="30" t="b">
        <f t="shared" si="138"/>
        <v>0</v>
      </c>
      <c r="R230" s="30">
        <f t="shared" si="139"/>
        <v>0</v>
      </c>
      <c r="S230" s="32">
        <f t="shared" si="147"/>
        <v>60986</v>
      </c>
      <c r="Z230" s="10"/>
      <c r="AA230" s="45">
        <f t="shared" si="140"/>
        <v>60986</v>
      </c>
      <c r="AB230" s="3">
        <f t="shared" si="141"/>
        <v>18056</v>
      </c>
      <c r="AC230" s="3">
        <f t="shared" si="142"/>
        <v>50.15555555555556</v>
      </c>
      <c r="AD230" s="3">
        <f t="shared" si="148"/>
        <v>50.166666666666664</v>
      </c>
      <c r="AE230" s="48">
        <f t="shared" si="143"/>
        <v>0</v>
      </c>
      <c r="AF230" s="3">
        <f t="shared" si="144"/>
        <v>0</v>
      </c>
      <c r="AH230" s="4"/>
      <c r="AI230" s="4"/>
      <c r="AN230" s="108">
        <f t="shared" si="145"/>
        <v>0</v>
      </c>
    </row>
    <row r="231" spans="1:40" ht="12.75">
      <c r="A231" s="33">
        <f aca="true" t="shared" si="151" ref="A231:A246">A230+1</f>
        <v>201</v>
      </c>
      <c r="B231" s="30">
        <f aca="true" t="shared" si="152" ref="B231:B246">IF(F$14=12,MOD(B230,12)+1,IF(F$14=4,IF(AND(MOD(B230,12)+3&gt;12,B230=11),2,IF(MOD(B230,12)+3&gt;12,1,MOD(B230,12)+3)),IF(F$14=2,IF((B230+6)&gt;12,(B230+6)-12,MOD(B230,12)+6),+B230)))</f>
        <v>3</v>
      </c>
      <c r="C231" s="30">
        <f t="shared" si="150"/>
        <v>20</v>
      </c>
      <c r="D231" s="30">
        <f aca="true" t="shared" si="153" ref="D231:D246">IF(F$14=1,D230+1,IF(AND(F$14=2,B231&lt;B230),D230+1,IF(AND(F$14=4,B231&lt;B230),D230+1,IF(OR(B231=1,B230=12),D230+1,D230))))</f>
        <v>2067</v>
      </c>
      <c r="E231" s="133">
        <f aca="true" t="shared" si="154" ref="E231:E246">ROUND(IF((+E230-F231)&lt;=-1,#VALUE!,E230-F231),2)</f>
        <v>0</v>
      </c>
      <c r="F231" s="1"/>
      <c r="G231" s="133">
        <f t="shared" si="149"/>
        <v>0</v>
      </c>
      <c r="H231" s="133">
        <f t="shared" si="132"/>
        <v>0</v>
      </c>
      <c r="I231" s="30">
        <f aca="true" t="shared" si="155" ref="I231:I246">I230+(360/$F$14)</f>
        <v>18146</v>
      </c>
      <c r="J231" s="133">
        <f t="shared" si="146"/>
        <v>0</v>
      </c>
      <c r="K231" s="10">
        <f t="shared" si="133"/>
        <v>0</v>
      </c>
      <c r="L231" s="22">
        <f t="shared" si="134"/>
        <v>0</v>
      </c>
      <c r="M231" s="10">
        <f t="shared" si="135"/>
        <v>0</v>
      </c>
      <c r="O231" s="30" t="b">
        <f t="shared" si="136"/>
        <v>1</v>
      </c>
      <c r="P231" s="30" t="b">
        <f t="shared" si="137"/>
        <v>0</v>
      </c>
      <c r="Q231" s="30" t="b">
        <f t="shared" si="138"/>
        <v>0</v>
      </c>
      <c r="R231" s="30">
        <f t="shared" si="139"/>
        <v>0</v>
      </c>
      <c r="S231" s="32">
        <f t="shared" si="147"/>
        <v>61076</v>
      </c>
      <c r="Z231" s="10"/>
      <c r="AA231" s="45">
        <f t="shared" si="140"/>
        <v>61076</v>
      </c>
      <c r="AB231" s="3">
        <f t="shared" si="141"/>
        <v>18146</v>
      </c>
      <c r="AC231" s="3">
        <f t="shared" si="142"/>
        <v>50.40555555555556</v>
      </c>
      <c r="AD231" s="3">
        <f t="shared" si="148"/>
        <v>50.416666666666664</v>
      </c>
      <c r="AE231" s="48">
        <f t="shared" si="143"/>
        <v>0</v>
      </c>
      <c r="AF231" s="3">
        <f t="shared" si="144"/>
        <v>0</v>
      </c>
      <c r="AH231" s="4"/>
      <c r="AI231" s="4"/>
      <c r="AN231" s="108">
        <f t="shared" si="145"/>
        <v>0</v>
      </c>
    </row>
    <row r="232" spans="1:40" ht="12.75">
      <c r="A232" s="33">
        <f t="shared" si="151"/>
        <v>202</v>
      </c>
      <c r="B232" s="30">
        <f t="shared" si="152"/>
        <v>6</v>
      </c>
      <c r="C232" s="30">
        <f t="shared" si="150"/>
        <v>20</v>
      </c>
      <c r="D232" s="30">
        <f t="shared" si="153"/>
        <v>2067</v>
      </c>
      <c r="E232" s="133">
        <f t="shared" si="154"/>
        <v>0</v>
      </c>
      <c r="F232" s="1"/>
      <c r="G232" s="133">
        <f t="shared" si="149"/>
        <v>0</v>
      </c>
      <c r="H232" s="133">
        <f t="shared" si="132"/>
        <v>0</v>
      </c>
      <c r="I232" s="30">
        <f t="shared" si="155"/>
        <v>18236</v>
      </c>
      <c r="J232" s="133">
        <f t="shared" si="146"/>
        <v>0</v>
      </c>
      <c r="K232" s="10">
        <f t="shared" si="133"/>
        <v>0</v>
      </c>
      <c r="L232" s="22">
        <f t="shared" si="134"/>
        <v>0</v>
      </c>
      <c r="M232" s="10">
        <f t="shared" si="135"/>
        <v>0</v>
      </c>
      <c r="O232" s="30" t="b">
        <f t="shared" si="136"/>
        <v>0</v>
      </c>
      <c r="P232" s="30" t="b">
        <f t="shared" si="137"/>
        <v>1</v>
      </c>
      <c r="Q232" s="30" t="b">
        <f t="shared" si="138"/>
        <v>0</v>
      </c>
      <c r="R232" s="30">
        <f t="shared" si="139"/>
        <v>0</v>
      </c>
      <c r="S232" s="32">
        <f t="shared" si="147"/>
        <v>61168</v>
      </c>
      <c r="Z232" s="10"/>
      <c r="AA232" s="45">
        <f t="shared" si="140"/>
        <v>61168</v>
      </c>
      <c r="AB232" s="3">
        <f t="shared" si="141"/>
        <v>18236</v>
      </c>
      <c r="AC232" s="3">
        <f t="shared" si="142"/>
        <v>50.65555555555556</v>
      </c>
      <c r="AD232" s="3">
        <f t="shared" si="148"/>
        <v>50.666666666666664</v>
      </c>
      <c r="AE232" s="48">
        <f t="shared" si="143"/>
        <v>0</v>
      </c>
      <c r="AF232" s="3">
        <f t="shared" si="144"/>
        <v>0</v>
      </c>
      <c r="AH232" s="4"/>
      <c r="AI232" s="4"/>
      <c r="AN232" s="108">
        <f t="shared" si="145"/>
        <v>0</v>
      </c>
    </row>
    <row r="233" spans="1:40" ht="12.75">
      <c r="A233" s="33">
        <f t="shared" si="151"/>
        <v>203</v>
      </c>
      <c r="B233" s="30">
        <f t="shared" si="152"/>
        <v>9</v>
      </c>
      <c r="C233" s="30">
        <f t="shared" si="150"/>
        <v>20</v>
      </c>
      <c r="D233" s="30">
        <f t="shared" si="153"/>
        <v>2067</v>
      </c>
      <c r="E233" s="133">
        <f t="shared" si="154"/>
        <v>0</v>
      </c>
      <c r="F233" s="1"/>
      <c r="G233" s="133">
        <f t="shared" si="149"/>
        <v>0</v>
      </c>
      <c r="H233" s="133">
        <f t="shared" si="132"/>
        <v>0</v>
      </c>
      <c r="I233" s="30">
        <f t="shared" si="155"/>
        <v>18326</v>
      </c>
      <c r="J233" s="133">
        <f t="shared" si="146"/>
        <v>0</v>
      </c>
      <c r="K233" s="10">
        <f t="shared" si="133"/>
        <v>0</v>
      </c>
      <c r="L233" s="22">
        <f t="shared" si="134"/>
        <v>0</v>
      </c>
      <c r="M233" s="10">
        <f t="shared" si="135"/>
        <v>0</v>
      </c>
      <c r="O233" s="30" t="b">
        <f t="shared" si="136"/>
        <v>0</v>
      </c>
      <c r="P233" s="30" t="b">
        <f t="shared" si="137"/>
        <v>1</v>
      </c>
      <c r="Q233" s="30" t="b">
        <f t="shared" si="138"/>
        <v>0</v>
      </c>
      <c r="R233" s="30">
        <f t="shared" si="139"/>
        <v>0</v>
      </c>
      <c r="S233" s="32">
        <f t="shared" si="147"/>
        <v>61260</v>
      </c>
      <c r="Z233" s="10"/>
      <c r="AA233" s="45">
        <f t="shared" si="140"/>
        <v>61260</v>
      </c>
      <c r="AB233" s="3">
        <f t="shared" si="141"/>
        <v>18326</v>
      </c>
      <c r="AC233" s="3">
        <f t="shared" si="142"/>
        <v>50.90555555555556</v>
      </c>
      <c r="AD233" s="3">
        <f t="shared" si="148"/>
        <v>50.916666666666664</v>
      </c>
      <c r="AE233" s="48">
        <f t="shared" si="143"/>
        <v>0</v>
      </c>
      <c r="AF233" s="3">
        <f t="shared" si="144"/>
        <v>0</v>
      </c>
      <c r="AH233" s="4"/>
      <c r="AI233" s="4"/>
      <c r="AN233" s="108">
        <f t="shared" si="145"/>
        <v>0</v>
      </c>
    </row>
    <row r="234" spans="1:40" ht="12.75">
      <c r="A234" s="33">
        <f t="shared" si="151"/>
        <v>204</v>
      </c>
      <c r="B234" s="30">
        <f t="shared" si="152"/>
        <v>12</v>
      </c>
      <c r="C234" s="30">
        <f t="shared" si="150"/>
        <v>20</v>
      </c>
      <c r="D234" s="30">
        <f t="shared" si="153"/>
        <v>2067</v>
      </c>
      <c r="E234" s="133">
        <f t="shared" si="154"/>
        <v>0</v>
      </c>
      <c r="F234" s="1"/>
      <c r="G234" s="133">
        <f t="shared" si="149"/>
        <v>0</v>
      </c>
      <c r="H234" s="133">
        <f t="shared" si="132"/>
        <v>0</v>
      </c>
      <c r="I234" s="30">
        <f t="shared" si="155"/>
        <v>18416</v>
      </c>
      <c r="J234" s="133">
        <f t="shared" si="146"/>
        <v>0</v>
      </c>
      <c r="K234" s="10">
        <f t="shared" si="133"/>
        <v>0</v>
      </c>
      <c r="L234" s="22">
        <f t="shared" si="134"/>
        <v>0</v>
      </c>
      <c r="M234" s="10">
        <f t="shared" si="135"/>
        <v>0</v>
      </c>
      <c r="O234" s="30" t="b">
        <f t="shared" si="136"/>
        <v>1</v>
      </c>
      <c r="P234" s="30" t="b">
        <f t="shared" si="137"/>
        <v>0</v>
      </c>
      <c r="Q234" s="30" t="b">
        <f t="shared" si="138"/>
        <v>0</v>
      </c>
      <c r="R234" s="30">
        <f t="shared" si="139"/>
        <v>0</v>
      </c>
      <c r="S234" s="32">
        <f t="shared" si="147"/>
        <v>61351</v>
      </c>
      <c r="Z234" s="10"/>
      <c r="AA234" s="45">
        <f t="shared" si="140"/>
        <v>61351</v>
      </c>
      <c r="AB234" s="3">
        <f t="shared" si="141"/>
        <v>18416</v>
      </c>
      <c r="AC234" s="3">
        <f t="shared" si="142"/>
        <v>51.15555555555556</v>
      </c>
      <c r="AD234" s="3">
        <f t="shared" si="148"/>
        <v>51.166666666666664</v>
      </c>
      <c r="AE234" s="48">
        <f t="shared" si="143"/>
        <v>0</v>
      </c>
      <c r="AF234" s="3">
        <f t="shared" si="144"/>
        <v>0</v>
      </c>
      <c r="AH234" s="4"/>
      <c r="AI234" s="4"/>
      <c r="AN234" s="108">
        <f t="shared" si="145"/>
        <v>0</v>
      </c>
    </row>
    <row r="235" spans="1:40" ht="12.75">
      <c r="A235" s="33">
        <f t="shared" si="151"/>
        <v>205</v>
      </c>
      <c r="B235" s="30">
        <f t="shared" si="152"/>
        <v>3</v>
      </c>
      <c r="C235" s="30">
        <f t="shared" si="150"/>
        <v>20</v>
      </c>
      <c r="D235" s="30">
        <f t="shared" si="153"/>
        <v>2068</v>
      </c>
      <c r="E235" s="133">
        <f t="shared" si="154"/>
        <v>0</v>
      </c>
      <c r="F235" s="1"/>
      <c r="G235" s="133">
        <f t="shared" si="149"/>
        <v>0</v>
      </c>
      <c r="H235" s="133">
        <f t="shared" si="132"/>
        <v>0</v>
      </c>
      <c r="I235" s="30">
        <f t="shared" si="155"/>
        <v>18506</v>
      </c>
      <c r="J235" s="133">
        <f t="shared" si="146"/>
        <v>0</v>
      </c>
      <c r="K235" s="10">
        <f t="shared" si="133"/>
        <v>0</v>
      </c>
      <c r="L235" s="22">
        <f t="shared" si="134"/>
        <v>0</v>
      </c>
      <c r="M235" s="10">
        <f t="shared" si="135"/>
        <v>0</v>
      </c>
      <c r="O235" s="30" t="b">
        <f t="shared" si="136"/>
        <v>1</v>
      </c>
      <c r="P235" s="30" t="b">
        <f t="shared" si="137"/>
        <v>0</v>
      </c>
      <c r="Q235" s="30" t="b">
        <f t="shared" si="138"/>
        <v>0</v>
      </c>
      <c r="R235" s="30">
        <f t="shared" si="139"/>
        <v>0</v>
      </c>
      <c r="S235" s="32">
        <f t="shared" si="147"/>
        <v>61442</v>
      </c>
      <c r="Z235" s="10"/>
      <c r="AA235" s="45">
        <f t="shared" si="140"/>
        <v>61442</v>
      </c>
      <c r="AB235" s="3">
        <f t="shared" si="141"/>
        <v>18506</v>
      </c>
      <c r="AC235" s="3">
        <f t="shared" si="142"/>
        <v>51.40555555555556</v>
      </c>
      <c r="AD235" s="3">
        <f t="shared" si="148"/>
        <v>51.416666666666664</v>
      </c>
      <c r="AE235" s="48">
        <f t="shared" si="143"/>
        <v>0</v>
      </c>
      <c r="AF235" s="3">
        <f t="shared" si="144"/>
        <v>0</v>
      </c>
      <c r="AH235" s="4"/>
      <c r="AI235" s="4"/>
      <c r="AN235" s="108">
        <f t="shared" si="145"/>
        <v>0</v>
      </c>
    </row>
    <row r="236" spans="1:40" ht="12.75">
      <c r="A236" s="33">
        <f t="shared" si="151"/>
        <v>206</v>
      </c>
      <c r="B236" s="30">
        <f t="shared" si="152"/>
        <v>6</v>
      </c>
      <c r="C236" s="30">
        <f t="shared" si="150"/>
        <v>20</v>
      </c>
      <c r="D236" s="30">
        <f t="shared" si="153"/>
        <v>2068</v>
      </c>
      <c r="E236" s="133">
        <f t="shared" si="154"/>
        <v>0</v>
      </c>
      <c r="F236" s="1"/>
      <c r="G236" s="133">
        <f t="shared" si="149"/>
        <v>0</v>
      </c>
      <c r="H236" s="133">
        <f t="shared" si="132"/>
        <v>0</v>
      </c>
      <c r="I236" s="30">
        <f t="shared" si="155"/>
        <v>18596</v>
      </c>
      <c r="J236" s="133">
        <f t="shared" si="146"/>
        <v>0</v>
      </c>
      <c r="K236" s="10">
        <f t="shared" si="133"/>
        <v>0</v>
      </c>
      <c r="L236" s="22">
        <f t="shared" si="134"/>
        <v>0</v>
      </c>
      <c r="M236" s="10">
        <f t="shared" si="135"/>
        <v>0</v>
      </c>
      <c r="O236" s="30" t="b">
        <f t="shared" si="136"/>
        <v>0</v>
      </c>
      <c r="P236" s="30" t="b">
        <f t="shared" si="137"/>
        <v>1</v>
      </c>
      <c r="Q236" s="30" t="b">
        <f t="shared" si="138"/>
        <v>0</v>
      </c>
      <c r="R236" s="30">
        <f t="shared" si="139"/>
        <v>0</v>
      </c>
      <c r="S236" s="32">
        <f t="shared" si="147"/>
        <v>61534</v>
      </c>
      <c r="Z236" s="10"/>
      <c r="AA236" s="45">
        <f t="shared" si="140"/>
        <v>61534</v>
      </c>
      <c r="AB236" s="3">
        <f t="shared" si="141"/>
        <v>18596</v>
      </c>
      <c r="AC236" s="3">
        <f t="shared" si="142"/>
        <v>51.65555555555556</v>
      </c>
      <c r="AD236" s="3">
        <f t="shared" si="148"/>
        <v>51.666666666666664</v>
      </c>
      <c r="AE236" s="48">
        <f t="shared" si="143"/>
        <v>0</v>
      </c>
      <c r="AF236" s="3">
        <f t="shared" si="144"/>
        <v>0</v>
      </c>
      <c r="AH236" s="4"/>
      <c r="AI236" s="4"/>
      <c r="AN236" s="108">
        <f t="shared" si="145"/>
        <v>0</v>
      </c>
    </row>
    <row r="237" spans="1:40" ht="12.75">
      <c r="A237" s="33">
        <f t="shared" si="151"/>
        <v>207</v>
      </c>
      <c r="B237" s="30">
        <f t="shared" si="152"/>
        <v>9</v>
      </c>
      <c r="C237" s="30">
        <f t="shared" si="150"/>
        <v>20</v>
      </c>
      <c r="D237" s="30">
        <f t="shared" si="153"/>
        <v>2068</v>
      </c>
      <c r="E237" s="133">
        <f t="shared" si="154"/>
        <v>0</v>
      </c>
      <c r="F237" s="1"/>
      <c r="G237" s="133">
        <f t="shared" si="149"/>
        <v>0</v>
      </c>
      <c r="H237" s="133">
        <f t="shared" si="132"/>
        <v>0</v>
      </c>
      <c r="I237" s="30">
        <f t="shared" si="155"/>
        <v>18686</v>
      </c>
      <c r="J237" s="133">
        <f t="shared" si="146"/>
        <v>0</v>
      </c>
      <c r="K237" s="10">
        <f t="shared" si="133"/>
        <v>0</v>
      </c>
      <c r="L237" s="22">
        <f t="shared" si="134"/>
        <v>0</v>
      </c>
      <c r="M237" s="10">
        <f t="shared" si="135"/>
        <v>0</v>
      </c>
      <c r="O237" s="30" t="b">
        <f t="shared" si="136"/>
        <v>0</v>
      </c>
      <c r="P237" s="30" t="b">
        <f t="shared" si="137"/>
        <v>1</v>
      </c>
      <c r="Q237" s="30" t="b">
        <f t="shared" si="138"/>
        <v>0</v>
      </c>
      <c r="R237" s="30">
        <f t="shared" si="139"/>
        <v>0</v>
      </c>
      <c r="S237" s="32">
        <f t="shared" si="147"/>
        <v>61626</v>
      </c>
      <c r="Z237" s="10"/>
      <c r="AA237" s="45">
        <f t="shared" si="140"/>
        <v>61626</v>
      </c>
      <c r="AB237" s="3">
        <f t="shared" si="141"/>
        <v>18686</v>
      </c>
      <c r="AC237" s="3">
        <f t="shared" si="142"/>
        <v>51.90555555555556</v>
      </c>
      <c r="AD237" s="3">
        <f t="shared" si="148"/>
        <v>51.916666666666664</v>
      </c>
      <c r="AE237" s="48">
        <f t="shared" si="143"/>
        <v>0</v>
      </c>
      <c r="AF237" s="3">
        <f t="shared" si="144"/>
        <v>0</v>
      </c>
      <c r="AH237" s="4"/>
      <c r="AI237" s="4"/>
      <c r="AN237" s="108">
        <f t="shared" si="145"/>
        <v>0</v>
      </c>
    </row>
    <row r="238" spans="1:40" ht="12.75">
      <c r="A238" s="33">
        <f t="shared" si="151"/>
        <v>208</v>
      </c>
      <c r="B238" s="30">
        <f t="shared" si="152"/>
        <v>12</v>
      </c>
      <c r="C238" s="30">
        <f t="shared" si="150"/>
        <v>20</v>
      </c>
      <c r="D238" s="30">
        <f t="shared" si="153"/>
        <v>2068</v>
      </c>
      <c r="E238" s="133">
        <f t="shared" si="154"/>
        <v>0</v>
      </c>
      <c r="F238" s="1"/>
      <c r="G238" s="133">
        <f t="shared" si="149"/>
        <v>0</v>
      </c>
      <c r="H238" s="133">
        <f t="shared" si="132"/>
        <v>0</v>
      </c>
      <c r="I238" s="30">
        <f t="shared" si="155"/>
        <v>18776</v>
      </c>
      <c r="J238" s="133">
        <f t="shared" si="146"/>
        <v>0</v>
      </c>
      <c r="K238" s="10">
        <f t="shared" si="133"/>
        <v>0</v>
      </c>
      <c r="L238" s="22">
        <f t="shared" si="134"/>
        <v>0</v>
      </c>
      <c r="M238" s="10">
        <f t="shared" si="135"/>
        <v>0</v>
      </c>
      <c r="O238" s="30" t="b">
        <f t="shared" si="136"/>
        <v>1</v>
      </c>
      <c r="P238" s="30" t="b">
        <f t="shared" si="137"/>
        <v>0</v>
      </c>
      <c r="Q238" s="30" t="b">
        <f t="shared" si="138"/>
        <v>0</v>
      </c>
      <c r="R238" s="30">
        <f t="shared" si="139"/>
        <v>0</v>
      </c>
      <c r="S238" s="32">
        <f t="shared" si="147"/>
        <v>61717</v>
      </c>
      <c r="Z238" s="10"/>
      <c r="AA238" s="45">
        <f t="shared" si="140"/>
        <v>61717</v>
      </c>
      <c r="AB238" s="3">
        <f t="shared" si="141"/>
        <v>18776</v>
      </c>
      <c r="AC238" s="3">
        <f aca="true" t="shared" si="156" ref="AC238:AC253">AB238/360</f>
        <v>52.15555555555556</v>
      </c>
      <c r="AD238" s="3">
        <f t="shared" si="148"/>
        <v>52.166666666666664</v>
      </c>
      <c r="AE238" s="48">
        <f t="shared" si="143"/>
        <v>0</v>
      </c>
      <c r="AF238" s="3">
        <f aca="true" t="shared" si="157" ref="AF238:AF253">AE238*AD238</f>
        <v>0</v>
      </c>
      <c r="AH238" s="4"/>
      <c r="AI238" s="4"/>
      <c r="AN238" s="108">
        <f t="shared" si="145"/>
        <v>0</v>
      </c>
    </row>
    <row r="239" spans="1:40" ht="12.75">
      <c r="A239" s="33">
        <f t="shared" si="151"/>
        <v>209</v>
      </c>
      <c r="B239" s="30">
        <f t="shared" si="152"/>
        <v>3</v>
      </c>
      <c r="C239" s="30">
        <f t="shared" si="150"/>
        <v>20</v>
      </c>
      <c r="D239" s="30">
        <f t="shared" si="153"/>
        <v>2069</v>
      </c>
      <c r="E239" s="133">
        <f t="shared" si="154"/>
        <v>0</v>
      </c>
      <c r="F239" s="1"/>
      <c r="G239" s="133">
        <f t="shared" si="149"/>
        <v>0</v>
      </c>
      <c r="H239" s="133">
        <f t="shared" si="132"/>
        <v>0</v>
      </c>
      <c r="I239" s="30">
        <f t="shared" si="155"/>
        <v>18866</v>
      </c>
      <c r="J239" s="133">
        <f t="shared" si="146"/>
        <v>0</v>
      </c>
      <c r="K239" s="10">
        <f t="shared" si="133"/>
        <v>0</v>
      </c>
      <c r="L239" s="22">
        <f t="shared" si="134"/>
        <v>0</v>
      </c>
      <c r="M239" s="10">
        <f t="shared" si="135"/>
        <v>0</v>
      </c>
      <c r="O239" s="30" t="b">
        <f t="shared" si="136"/>
        <v>1</v>
      </c>
      <c r="P239" s="30" t="b">
        <f t="shared" si="137"/>
        <v>0</v>
      </c>
      <c r="Q239" s="30" t="b">
        <f t="shared" si="138"/>
        <v>0</v>
      </c>
      <c r="R239" s="30">
        <f t="shared" si="139"/>
        <v>0</v>
      </c>
      <c r="S239" s="32">
        <f t="shared" si="147"/>
        <v>61807</v>
      </c>
      <c r="Z239" s="10"/>
      <c r="AA239" s="45">
        <f t="shared" si="140"/>
        <v>61807</v>
      </c>
      <c r="AB239" s="3">
        <f t="shared" si="141"/>
        <v>18866</v>
      </c>
      <c r="AC239" s="3">
        <f t="shared" si="156"/>
        <v>52.40555555555556</v>
      </c>
      <c r="AD239" s="3">
        <f t="shared" si="148"/>
        <v>52.416666666666664</v>
      </c>
      <c r="AE239" s="48">
        <f t="shared" si="143"/>
        <v>0</v>
      </c>
      <c r="AF239" s="3">
        <f t="shared" si="157"/>
        <v>0</v>
      </c>
      <c r="AH239" s="4"/>
      <c r="AI239" s="4"/>
      <c r="AN239" s="108">
        <f t="shared" si="145"/>
        <v>0</v>
      </c>
    </row>
    <row r="240" spans="1:40" ht="12.75">
      <c r="A240" s="33">
        <f t="shared" si="151"/>
        <v>210</v>
      </c>
      <c r="B240" s="30">
        <f t="shared" si="152"/>
        <v>6</v>
      </c>
      <c r="C240" s="30">
        <f t="shared" si="150"/>
        <v>20</v>
      </c>
      <c r="D240" s="30">
        <f t="shared" si="153"/>
        <v>2069</v>
      </c>
      <c r="E240" s="133">
        <f t="shared" si="154"/>
        <v>0</v>
      </c>
      <c r="F240" s="1"/>
      <c r="G240" s="133">
        <f t="shared" si="149"/>
        <v>0</v>
      </c>
      <c r="H240" s="133">
        <f t="shared" si="132"/>
        <v>0</v>
      </c>
      <c r="I240" s="30">
        <f t="shared" si="155"/>
        <v>18956</v>
      </c>
      <c r="J240" s="133">
        <f t="shared" si="146"/>
        <v>0</v>
      </c>
      <c r="K240" s="10">
        <f t="shared" si="133"/>
        <v>0</v>
      </c>
      <c r="L240" s="22">
        <f t="shared" si="134"/>
        <v>0</v>
      </c>
      <c r="M240" s="10">
        <f t="shared" si="135"/>
        <v>0</v>
      </c>
      <c r="O240" s="30" t="b">
        <f t="shared" si="136"/>
        <v>0</v>
      </c>
      <c r="P240" s="30" t="b">
        <f t="shared" si="137"/>
        <v>1</v>
      </c>
      <c r="Q240" s="30" t="b">
        <f t="shared" si="138"/>
        <v>0</v>
      </c>
      <c r="R240" s="30">
        <f t="shared" si="139"/>
        <v>0</v>
      </c>
      <c r="S240" s="32">
        <f t="shared" si="147"/>
        <v>61899</v>
      </c>
      <c r="Z240" s="10"/>
      <c r="AA240" s="45">
        <f t="shared" si="140"/>
        <v>61899</v>
      </c>
      <c r="AB240" s="3">
        <f t="shared" si="141"/>
        <v>18956</v>
      </c>
      <c r="AC240" s="3">
        <f t="shared" si="156"/>
        <v>52.65555555555556</v>
      </c>
      <c r="AD240" s="3">
        <f t="shared" si="148"/>
        <v>52.666666666666664</v>
      </c>
      <c r="AE240" s="48">
        <f t="shared" si="143"/>
        <v>0</v>
      </c>
      <c r="AF240" s="3">
        <f t="shared" si="157"/>
        <v>0</v>
      </c>
      <c r="AH240" s="4"/>
      <c r="AI240" s="4"/>
      <c r="AN240" s="108">
        <f t="shared" si="145"/>
        <v>0</v>
      </c>
    </row>
    <row r="241" spans="1:40" ht="12.75">
      <c r="A241" s="33">
        <f t="shared" si="151"/>
        <v>211</v>
      </c>
      <c r="B241" s="30">
        <f t="shared" si="152"/>
        <v>9</v>
      </c>
      <c r="C241" s="30">
        <f t="shared" si="150"/>
        <v>20</v>
      </c>
      <c r="D241" s="30">
        <f t="shared" si="153"/>
        <v>2069</v>
      </c>
      <c r="E241" s="133">
        <f t="shared" si="154"/>
        <v>0</v>
      </c>
      <c r="F241" s="1"/>
      <c r="G241" s="133">
        <f t="shared" si="149"/>
        <v>0</v>
      </c>
      <c r="H241" s="133">
        <f t="shared" si="132"/>
        <v>0</v>
      </c>
      <c r="I241" s="30">
        <f t="shared" si="155"/>
        <v>19046</v>
      </c>
      <c r="J241" s="133">
        <f t="shared" si="146"/>
        <v>0</v>
      </c>
      <c r="K241" s="10">
        <f t="shared" si="133"/>
        <v>0</v>
      </c>
      <c r="L241" s="22">
        <f t="shared" si="134"/>
        <v>0</v>
      </c>
      <c r="M241" s="10">
        <f t="shared" si="135"/>
        <v>0</v>
      </c>
      <c r="O241" s="30" t="b">
        <f t="shared" si="136"/>
        <v>0</v>
      </c>
      <c r="P241" s="30" t="b">
        <f t="shared" si="137"/>
        <v>1</v>
      </c>
      <c r="Q241" s="30" t="b">
        <f t="shared" si="138"/>
        <v>0</v>
      </c>
      <c r="R241" s="30">
        <f t="shared" si="139"/>
        <v>0</v>
      </c>
      <c r="S241" s="32">
        <f t="shared" si="147"/>
        <v>61991</v>
      </c>
      <c r="Z241" s="10"/>
      <c r="AA241" s="45">
        <f t="shared" si="140"/>
        <v>61991</v>
      </c>
      <c r="AB241" s="3">
        <f t="shared" si="141"/>
        <v>19046</v>
      </c>
      <c r="AC241" s="3">
        <f t="shared" si="156"/>
        <v>52.90555555555556</v>
      </c>
      <c r="AD241" s="3">
        <f t="shared" si="148"/>
        <v>52.916666666666664</v>
      </c>
      <c r="AE241" s="48">
        <f t="shared" si="143"/>
        <v>0</v>
      </c>
      <c r="AF241" s="3">
        <f t="shared" si="157"/>
        <v>0</v>
      </c>
      <c r="AH241" s="4"/>
      <c r="AI241" s="4"/>
      <c r="AN241" s="108">
        <f t="shared" si="145"/>
        <v>0</v>
      </c>
    </row>
    <row r="242" spans="1:40" ht="12.75">
      <c r="A242" s="33">
        <f t="shared" si="151"/>
        <v>212</v>
      </c>
      <c r="B242" s="30">
        <f t="shared" si="152"/>
        <v>12</v>
      </c>
      <c r="C242" s="30">
        <f t="shared" si="150"/>
        <v>20</v>
      </c>
      <c r="D242" s="30">
        <f t="shared" si="153"/>
        <v>2069</v>
      </c>
      <c r="E242" s="133">
        <f t="shared" si="154"/>
        <v>0</v>
      </c>
      <c r="F242" s="1"/>
      <c r="G242" s="133">
        <f t="shared" si="149"/>
        <v>0</v>
      </c>
      <c r="H242" s="133">
        <f t="shared" si="132"/>
        <v>0</v>
      </c>
      <c r="I242" s="30">
        <f t="shared" si="155"/>
        <v>19136</v>
      </c>
      <c r="J242" s="133">
        <f t="shared" si="146"/>
        <v>0</v>
      </c>
      <c r="K242" s="10">
        <f t="shared" si="133"/>
        <v>0</v>
      </c>
      <c r="L242" s="22">
        <f t="shared" si="134"/>
        <v>0</v>
      </c>
      <c r="M242" s="10">
        <f t="shared" si="135"/>
        <v>0</v>
      </c>
      <c r="O242" s="30" t="b">
        <f t="shared" si="136"/>
        <v>1</v>
      </c>
      <c r="P242" s="30" t="b">
        <f t="shared" si="137"/>
        <v>0</v>
      </c>
      <c r="Q242" s="30" t="b">
        <f t="shared" si="138"/>
        <v>0</v>
      </c>
      <c r="R242" s="30">
        <f t="shared" si="139"/>
        <v>0</v>
      </c>
      <c r="S242" s="32">
        <f t="shared" si="147"/>
        <v>62082</v>
      </c>
      <c r="Z242" s="10"/>
      <c r="AA242" s="45">
        <f t="shared" si="140"/>
        <v>62082</v>
      </c>
      <c r="AB242" s="3">
        <f t="shared" si="141"/>
        <v>19136</v>
      </c>
      <c r="AC242" s="3">
        <f t="shared" si="156"/>
        <v>53.15555555555556</v>
      </c>
      <c r="AD242" s="3">
        <f t="shared" si="148"/>
        <v>53.166666666666664</v>
      </c>
      <c r="AE242" s="48">
        <f t="shared" si="143"/>
        <v>0</v>
      </c>
      <c r="AF242" s="3">
        <f t="shared" si="157"/>
        <v>0</v>
      </c>
      <c r="AH242" s="4"/>
      <c r="AI242" s="4"/>
      <c r="AN242" s="108">
        <f t="shared" si="145"/>
        <v>0</v>
      </c>
    </row>
    <row r="243" spans="1:40" ht="12.75">
      <c r="A243" s="33">
        <f t="shared" si="151"/>
        <v>213</v>
      </c>
      <c r="B243" s="30">
        <f t="shared" si="152"/>
        <v>3</v>
      </c>
      <c r="C243" s="30">
        <f t="shared" si="150"/>
        <v>20</v>
      </c>
      <c r="D243" s="30">
        <f t="shared" si="153"/>
        <v>2070</v>
      </c>
      <c r="E243" s="133">
        <f t="shared" si="154"/>
        <v>0</v>
      </c>
      <c r="F243" s="1"/>
      <c r="G243" s="133">
        <f t="shared" si="149"/>
        <v>0</v>
      </c>
      <c r="H243" s="133">
        <f t="shared" si="132"/>
        <v>0</v>
      </c>
      <c r="I243" s="30">
        <f t="shared" si="155"/>
        <v>19226</v>
      </c>
      <c r="J243" s="133">
        <f t="shared" si="146"/>
        <v>0</v>
      </c>
      <c r="K243" s="10">
        <f t="shared" si="133"/>
        <v>0</v>
      </c>
      <c r="L243" s="22">
        <f t="shared" si="134"/>
        <v>0</v>
      </c>
      <c r="M243" s="10">
        <f t="shared" si="135"/>
        <v>0</v>
      </c>
      <c r="O243" s="30" t="b">
        <f t="shared" si="136"/>
        <v>1</v>
      </c>
      <c r="P243" s="30" t="b">
        <f t="shared" si="137"/>
        <v>0</v>
      </c>
      <c r="Q243" s="30" t="b">
        <f t="shared" si="138"/>
        <v>0</v>
      </c>
      <c r="R243" s="30">
        <f t="shared" si="139"/>
        <v>0</v>
      </c>
      <c r="S243" s="32">
        <f t="shared" si="147"/>
        <v>62172</v>
      </c>
      <c r="Z243" s="10"/>
      <c r="AA243" s="45">
        <f t="shared" si="140"/>
        <v>62172</v>
      </c>
      <c r="AB243" s="3">
        <f t="shared" si="141"/>
        <v>19226</v>
      </c>
      <c r="AC243" s="3">
        <f t="shared" si="156"/>
        <v>53.40555555555556</v>
      </c>
      <c r="AD243" s="3">
        <f t="shared" si="148"/>
        <v>53.416666666666664</v>
      </c>
      <c r="AE243" s="48">
        <f t="shared" si="143"/>
        <v>0</v>
      </c>
      <c r="AF243" s="3">
        <f t="shared" si="157"/>
        <v>0</v>
      </c>
      <c r="AH243" s="4"/>
      <c r="AI243" s="4"/>
      <c r="AN243" s="108">
        <f t="shared" si="145"/>
        <v>0</v>
      </c>
    </row>
    <row r="244" spans="1:40" ht="12.75">
      <c r="A244" s="33">
        <f t="shared" si="151"/>
        <v>214</v>
      </c>
      <c r="B244" s="30">
        <f t="shared" si="152"/>
        <v>6</v>
      </c>
      <c r="C244" s="30">
        <f t="shared" si="150"/>
        <v>20</v>
      </c>
      <c r="D244" s="30">
        <f t="shared" si="153"/>
        <v>2070</v>
      </c>
      <c r="E244" s="133">
        <f t="shared" si="154"/>
        <v>0</v>
      </c>
      <c r="F244" s="1"/>
      <c r="G244" s="133">
        <f t="shared" si="149"/>
        <v>0</v>
      </c>
      <c r="H244" s="133">
        <f t="shared" si="132"/>
        <v>0</v>
      </c>
      <c r="I244" s="30">
        <f t="shared" si="155"/>
        <v>19316</v>
      </c>
      <c r="J244" s="133">
        <f t="shared" si="146"/>
        <v>0</v>
      </c>
      <c r="K244" s="10">
        <f t="shared" si="133"/>
        <v>0</v>
      </c>
      <c r="L244" s="22">
        <f t="shared" si="134"/>
        <v>0</v>
      </c>
      <c r="M244" s="10">
        <f t="shared" si="135"/>
        <v>0</v>
      </c>
      <c r="O244" s="30" t="b">
        <f t="shared" si="136"/>
        <v>0</v>
      </c>
      <c r="P244" s="30" t="b">
        <f t="shared" si="137"/>
        <v>1</v>
      </c>
      <c r="Q244" s="30" t="b">
        <f t="shared" si="138"/>
        <v>0</v>
      </c>
      <c r="R244" s="30">
        <f t="shared" si="139"/>
        <v>0</v>
      </c>
      <c r="S244" s="32">
        <f t="shared" si="147"/>
        <v>62264</v>
      </c>
      <c r="Z244" s="10"/>
      <c r="AA244" s="45">
        <f t="shared" si="140"/>
        <v>62264</v>
      </c>
      <c r="AB244" s="3">
        <f t="shared" si="141"/>
        <v>19316</v>
      </c>
      <c r="AC244" s="3">
        <f t="shared" si="156"/>
        <v>53.65555555555556</v>
      </c>
      <c r="AD244" s="3">
        <f t="shared" si="148"/>
        <v>53.666666666666664</v>
      </c>
      <c r="AE244" s="48">
        <f t="shared" si="143"/>
        <v>0</v>
      </c>
      <c r="AF244" s="3">
        <f t="shared" si="157"/>
        <v>0</v>
      </c>
      <c r="AH244" s="4"/>
      <c r="AI244" s="4"/>
      <c r="AN244" s="108">
        <f t="shared" si="145"/>
        <v>0</v>
      </c>
    </row>
    <row r="245" spans="1:40" ht="12.75">
      <c r="A245" s="33">
        <f t="shared" si="151"/>
        <v>215</v>
      </c>
      <c r="B245" s="30">
        <f t="shared" si="152"/>
        <v>9</v>
      </c>
      <c r="C245" s="30">
        <f t="shared" si="150"/>
        <v>20</v>
      </c>
      <c r="D245" s="30">
        <f t="shared" si="153"/>
        <v>2070</v>
      </c>
      <c r="E245" s="133">
        <f t="shared" si="154"/>
        <v>0</v>
      </c>
      <c r="F245" s="1"/>
      <c r="G245" s="133">
        <f t="shared" si="149"/>
        <v>0</v>
      </c>
      <c r="H245" s="133">
        <f t="shared" si="132"/>
        <v>0</v>
      </c>
      <c r="I245" s="30">
        <f t="shared" si="155"/>
        <v>19406</v>
      </c>
      <c r="J245" s="133">
        <f t="shared" si="146"/>
        <v>0</v>
      </c>
      <c r="K245" s="10">
        <f t="shared" si="133"/>
        <v>0</v>
      </c>
      <c r="L245" s="22">
        <f t="shared" si="134"/>
        <v>0</v>
      </c>
      <c r="M245" s="10">
        <f t="shared" si="135"/>
        <v>0</v>
      </c>
      <c r="O245" s="30" t="b">
        <f t="shared" si="136"/>
        <v>0</v>
      </c>
      <c r="P245" s="30" t="b">
        <f t="shared" si="137"/>
        <v>1</v>
      </c>
      <c r="Q245" s="30" t="b">
        <f t="shared" si="138"/>
        <v>0</v>
      </c>
      <c r="R245" s="30">
        <f t="shared" si="139"/>
        <v>0</v>
      </c>
      <c r="S245" s="32">
        <f t="shared" si="147"/>
        <v>62356</v>
      </c>
      <c r="Z245" s="10"/>
      <c r="AA245" s="45">
        <f t="shared" si="140"/>
        <v>62356</v>
      </c>
      <c r="AB245" s="3">
        <f t="shared" si="141"/>
        <v>19406</v>
      </c>
      <c r="AC245" s="3">
        <f t="shared" si="156"/>
        <v>53.90555555555556</v>
      </c>
      <c r="AD245" s="3">
        <f t="shared" si="148"/>
        <v>53.916666666666664</v>
      </c>
      <c r="AE245" s="48">
        <f t="shared" si="143"/>
        <v>0</v>
      </c>
      <c r="AF245" s="3">
        <f t="shared" si="157"/>
        <v>0</v>
      </c>
      <c r="AH245" s="4"/>
      <c r="AI245" s="4"/>
      <c r="AN245" s="108">
        <f t="shared" si="145"/>
        <v>0</v>
      </c>
    </row>
    <row r="246" spans="1:40" ht="12.75">
      <c r="A246" s="33">
        <f t="shared" si="151"/>
        <v>216</v>
      </c>
      <c r="B246" s="30">
        <f t="shared" si="152"/>
        <v>12</v>
      </c>
      <c r="C246" s="30">
        <f t="shared" si="150"/>
        <v>20</v>
      </c>
      <c r="D246" s="30">
        <f t="shared" si="153"/>
        <v>2070</v>
      </c>
      <c r="E246" s="133">
        <f t="shared" si="154"/>
        <v>0</v>
      </c>
      <c r="F246" s="1"/>
      <c r="G246" s="133">
        <f t="shared" si="149"/>
        <v>0</v>
      </c>
      <c r="H246" s="133">
        <f t="shared" si="132"/>
        <v>0</v>
      </c>
      <c r="I246" s="30">
        <f t="shared" si="155"/>
        <v>19496</v>
      </c>
      <c r="J246" s="133">
        <f t="shared" si="146"/>
        <v>0</v>
      </c>
      <c r="K246" s="10">
        <f t="shared" si="133"/>
        <v>0</v>
      </c>
      <c r="L246" s="22">
        <f t="shared" si="134"/>
        <v>0</v>
      </c>
      <c r="M246" s="10">
        <f t="shared" si="135"/>
        <v>0</v>
      </c>
      <c r="O246" s="30" t="b">
        <f t="shared" si="136"/>
        <v>1</v>
      </c>
      <c r="P246" s="30" t="b">
        <f t="shared" si="137"/>
        <v>0</v>
      </c>
      <c r="Q246" s="30" t="b">
        <f t="shared" si="138"/>
        <v>0</v>
      </c>
      <c r="R246" s="30">
        <f t="shared" si="139"/>
        <v>0</v>
      </c>
      <c r="S246" s="32">
        <f t="shared" si="147"/>
        <v>62447</v>
      </c>
      <c r="Z246" s="10"/>
      <c r="AA246" s="45">
        <f t="shared" si="140"/>
        <v>62447</v>
      </c>
      <c r="AB246" s="3">
        <f t="shared" si="141"/>
        <v>19496</v>
      </c>
      <c r="AC246" s="3">
        <f t="shared" si="156"/>
        <v>54.15555555555556</v>
      </c>
      <c r="AD246" s="3">
        <f t="shared" si="148"/>
        <v>54.166666666666664</v>
      </c>
      <c r="AE246" s="48">
        <f t="shared" si="143"/>
        <v>0</v>
      </c>
      <c r="AF246" s="3">
        <f t="shared" si="157"/>
        <v>0</v>
      </c>
      <c r="AH246" s="4"/>
      <c r="AI246" s="4"/>
      <c r="AN246" s="108">
        <f t="shared" si="145"/>
        <v>0</v>
      </c>
    </row>
    <row r="247" spans="1:40" ht="12.75">
      <c r="A247" s="33">
        <f aca="true" t="shared" si="158" ref="A247:A262">A246+1</f>
        <v>217</v>
      </c>
      <c r="B247" s="30">
        <f aca="true" t="shared" si="159" ref="B247:B262">IF(F$14=12,MOD(B246,12)+1,IF(F$14=4,IF(AND(MOD(B246,12)+3&gt;12,B246=11),2,IF(MOD(B246,12)+3&gt;12,1,MOD(B246,12)+3)),IF(F$14=2,IF((B246+6)&gt;12,(B246+6)-12,MOD(B246,12)+6),+B246)))</f>
        <v>3</v>
      </c>
      <c r="C247" s="30">
        <f t="shared" si="150"/>
        <v>20</v>
      </c>
      <c r="D247" s="30">
        <f aca="true" t="shared" si="160" ref="D247:D262">IF(F$14=1,D246+1,IF(AND(F$14=2,B247&lt;B246),D246+1,IF(AND(F$14=4,B247&lt;B246),D246+1,IF(OR(B247=1,B246=12),D246+1,D246))))</f>
        <v>2071</v>
      </c>
      <c r="E247" s="133">
        <f aca="true" t="shared" si="161" ref="E247:E262">ROUND(IF((+E246-F247)&lt;=-1,#VALUE!,E246-F247),2)</f>
        <v>0</v>
      </c>
      <c r="F247" s="1"/>
      <c r="G247" s="133">
        <f t="shared" si="149"/>
        <v>0</v>
      </c>
      <c r="H247" s="133">
        <f t="shared" si="132"/>
        <v>0</v>
      </c>
      <c r="I247" s="30">
        <f aca="true" t="shared" si="162" ref="I247:I262">I246+(360/$F$14)</f>
        <v>19586</v>
      </c>
      <c r="J247" s="133">
        <f t="shared" si="146"/>
        <v>0</v>
      </c>
      <c r="K247" s="10">
        <f t="shared" si="133"/>
        <v>0</v>
      </c>
      <c r="L247" s="22">
        <f t="shared" si="134"/>
        <v>0</v>
      </c>
      <c r="M247" s="10">
        <f t="shared" si="135"/>
        <v>0</v>
      </c>
      <c r="O247" s="30" t="b">
        <f t="shared" si="136"/>
        <v>1</v>
      </c>
      <c r="P247" s="30" t="b">
        <f t="shared" si="137"/>
        <v>0</v>
      </c>
      <c r="Q247" s="30" t="b">
        <f t="shared" si="138"/>
        <v>0</v>
      </c>
      <c r="R247" s="30">
        <f t="shared" si="139"/>
        <v>0</v>
      </c>
      <c r="S247" s="32">
        <f t="shared" si="147"/>
        <v>62537</v>
      </c>
      <c r="Z247" s="10"/>
      <c r="AA247" s="45">
        <f t="shared" si="140"/>
        <v>62537</v>
      </c>
      <c r="AB247" s="3">
        <f t="shared" si="141"/>
        <v>19586</v>
      </c>
      <c r="AC247" s="3">
        <f t="shared" si="156"/>
        <v>54.40555555555556</v>
      </c>
      <c r="AD247" s="3">
        <f t="shared" si="148"/>
        <v>54.416666666666664</v>
      </c>
      <c r="AE247" s="48">
        <f t="shared" si="143"/>
        <v>0</v>
      </c>
      <c r="AF247" s="3">
        <f t="shared" si="157"/>
        <v>0</v>
      </c>
      <c r="AH247" s="4"/>
      <c r="AI247" s="4"/>
      <c r="AN247" s="108">
        <f t="shared" si="145"/>
        <v>0</v>
      </c>
    </row>
    <row r="248" spans="1:40" ht="12.75">
      <c r="A248" s="33">
        <f t="shared" si="158"/>
        <v>218</v>
      </c>
      <c r="B248" s="30">
        <f t="shared" si="159"/>
        <v>6</v>
      </c>
      <c r="C248" s="30">
        <f t="shared" si="150"/>
        <v>20</v>
      </c>
      <c r="D248" s="30">
        <f t="shared" si="160"/>
        <v>2071</v>
      </c>
      <c r="E248" s="133">
        <f t="shared" si="161"/>
        <v>0</v>
      </c>
      <c r="F248" s="1"/>
      <c r="G248" s="133">
        <f t="shared" si="149"/>
        <v>0</v>
      </c>
      <c r="H248" s="133">
        <f t="shared" si="132"/>
        <v>0</v>
      </c>
      <c r="I248" s="30">
        <f t="shared" si="162"/>
        <v>19676</v>
      </c>
      <c r="J248" s="133">
        <f t="shared" si="146"/>
        <v>0</v>
      </c>
      <c r="K248" s="10">
        <f t="shared" si="133"/>
        <v>0</v>
      </c>
      <c r="L248" s="22">
        <f t="shared" si="134"/>
        <v>0</v>
      </c>
      <c r="M248" s="10">
        <f t="shared" si="135"/>
        <v>0</v>
      </c>
      <c r="O248" s="30" t="b">
        <f t="shared" si="136"/>
        <v>0</v>
      </c>
      <c r="P248" s="30" t="b">
        <f t="shared" si="137"/>
        <v>1</v>
      </c>
      <c r="Q248" s="30" t="b">
        <f t="shared" si="138"/>
        <v>0</v>
      </c>
      <c r="R248" s="30">
        <f t="shared" si="139"/>
        <v>0</v>
      </c>
      <c r="S248" s="32">
        <f t="shared" si="147"/>
        <v>62629</v>
      </c>
      <c r="Z248" s="10"/>
      <c r="AA248" s="45">
        <f t="shared" si="140"/>
        <v>62629</v>
      </c>
      <c r="AB248" s="3">
        <f t="shared" si="141"/>
        <v>19676</v>
      </c>
      <c r="AC248" s="3">
        <f t="shared" si="156"/>
        <v>54.65555555555556</v>
      </c>
      <c r="AD248" s="3">
        <f t="shared" si="148"/>
        <v>54.666666666666664</v>
      </c>
      <c r="AE248" s="48">
        <f t="shared" si="143"/>
        <v>0</v>
      </c>
      <c r="AF248" s="3">
        <f t="shared" si="157"/>
        <v>0</v>
      </c>
      <c r="AH248" s="4"/>
      <c r="AI248" s="4"/>
      <c r="AN248" s="108">
        <f t="shared" si="145"/>
        <v>0</v>
      </c>
    </row>
    <row r="249" spans="1:40" ht="12.75">
      <c r="A249" s="33">
        <f t="shared" si="158"/>
        <v>219</v>
      </c>
      <c r="B249" s="30">
        <f t="shared" si="159"/>
        <v>9</v>
      </c>
      <c r="C249" s="30">
        <f t="shared" si="150"/>
        <v>20</v>
      </c>
      <c r="D249" s="30">
        <f t="shared" si="160"/>
        <v>2071</v>
      </c>
      <c r="E249" s="133">
        <f t="shared" si="161"/>
        <v>0</v>
      </c>
      <c r="F249" s="1"/>
      <c r="G249" s="133">
        <f t="shared" si="149"/>
        <v>0</v>
      </c>
      <c r="H249" s="133">
        <f t="shared" si="132"/>
        <v>0</v>
      </c>
      <c r="I249" s="30">
        <f t="shared" si="162"/>
        <v>19766</v>
      </c>
      <c r="J249" s="133">
        <f t="shared" si="146"/>
        <v>0</v>
      </c>
      <c r="K249" s="10">
        <f t="shared" si="133"/>
        <v>0</v>
      </c>
      <c r="L249" s="22">
        <f t="shared" si="134"/>
        <v>0</v>
      </c>
      <c r="M249" s="10">
        <f t="shared" si="135"/>
        <v>0</v>
      </c>
      <c r="O249" s="30" t="b">
        <f t="shared" si="136"/>
        <v>0</v>
      </c>
      <c r="P249" s="30" t="b">
        <f t="shared" si="137"/>
        <v>1</v>
      </c>
      <c r="Q249" s="30" t="b">
        <f t="shared" si="138"/>
        <v>0</v>
      </c>
      <c r="R249" s="30">
        <f t="shared" si="139"/>
        <v>0</v>
      </c>
      <c r="S249" s="32">
        <f t="shared" si="147"/>
        <v>62721</v>
      </c>
      <c r="Z249" s="10"/>
      <c r="AA249" s="45">
        <f t="shared" si="140"/>
        <v>62721</v>
      </c>
      <c r="AB249" s="3">
        <f t="shared" si="141"/>
        <v>19766</v>
      </c>
      <c r="AC249" s="3">
        <f t="shared" si="156"/>
        <v>54.90555555555556</v>
      </c>
      <c r="AD249" s="3">
        <f t="shared" si="148"/>
        <v>54.916666666666664</v>
      </c>
      <c r="AE249" s="48">
        <f t="shared" si="143"/>
        <v>0</v>
      </c>
      <c r="AF249" s="3">
        <f t="shared" si="157"/>
        <v>0</v>
      </c>
      <c r="AH249" s="4"/>
      <c r="AI249" s="4"/>
      <c r="AN249" s="108">
        <f t="shared" si="145"/>
        <v>0</v>
      </c>
    </row>
    <row r="250" spans="1:40" ht="12.75">
      <c r="A250" s="33">
        <f t="shared" si="158"/>
        <v>220</v>
      </c>
      <c r="B250" s="30">
        <f t="shared" si="159"/>
        <v>12</v>
      </c>
      <c r="C250" s="30">
        <f t="shared" si="150"/>
        <v>20</v>
      </c>
      <c r="D250" s="30">
        <f t="shared" si="160"/>
        <v>2071</v>
      </c>
      <c r="E250" s="133">
        <f t="shared" si="161"/>
        <v>0</v>
      </c>
      <c r="F250" s="1"/>
      <c r="G250" s="133">
        <f t="shared" si="149"/>
        <v>0</v>
      </c>
      <c r="H250" s="133">
        <f t="shared" si="132"/>
        <v>0</v>
      </c>
      <c r="I250" s="30">
        <f t="shared" si="162"/>
        <v>19856</v>
      </c>
      <c r="J250" s="133">
        <f t="shared" si="146"/>
        <v>0</v>
      </c>
      <c r="K250" s="10">
        <f t="shared" si="133"/>
        <v>0</v>
      </c>
      <c r="L250" s="22">
        <f t="shared" si="134"/>
        <v>0</v>
      </c>
      <c r="M250" s="10">
        <f t="shared" si="135"/>
        <v>0</v>
      </c>
      <c r="O250" s="30" t="b">
        <f t="shared" si="136"/>
        <v>1</v>
      </c>
      <c r="P250" s="30" t="b">
        <f t="shared" si="137"/>
        <v>0</v>
      </c>
      <c r="Q250" s="30" t="b">
        <f t="shared" si="138"/>
        <v>0</v>
      </c>
      <c r="R250" s="30">
        <f t="shared" si="139"/>
        <v>0</v>
      </c>
      <c r="S250" s="32">
        <f t="shared" si="147"/>
        <v>62812</v>
      </c>
      <c r="Z250" s="10"/>
      <c r="AA250" s="45">
        <f t="shared" si="140"/>
        <v>62812</v>
      </c>
      <c r="AB250" s="3">
        <f t="shared" si="141"/>
        <v>19856</v>
      </c>
      <c r="AC250" s="3">
        <f t="shared" si="156"/>
        <v>55.15555555555556</v>
      </c>
      <c r="AD250" s="3">
        <f t="shared" si="148"/>
        <v>55.166666666666664</v>
      </c>
      <c r="AE250" s="48">
        <f t="shared" si="143"/>
        <v>0</v>
      </c>
      <c r="AF250" s="3">
        <f t="shared" si="157"/>
        <v>0</v>
      </c>
      <c r="AH250" s="4"/>
      <c r="AI250" s="4"/>
      <c r="AN250" s="108">
        <f t="shared" si="145"/>
        <v>0</v>
      </c>
    </row>
    <row r="251" spans="1:40" ht="12.75">
      <c r="A251" s="33">
        <f t="shared" si="158"/>
        <v>221</v>
      </c>
      <c r="B251" s="30">
        <f t="shared" si="159"/>
        <v>3</v>
      </c>
      <c r="C251" s="30">
        <f t="shared" si="150"/>
        <v>20</v>
      </c>
      <c r="D251" s="30">
        <f t="shared" si="160"/>
        <v>2072</v>
      </c>
      <c r="E251" s="133">
        <f t="shared" si="161"/>
        <v>0</v>
      </c>
      <c r="F251" s="1"/>
      <c r="G251" s="133">
        <f t="shared" si="149"/>
        <v>0</v>
      </c>
      <c r="H251" s="133">
        <f t="shared" si="132"/>
        <v>0</v>
      </c>
      <c r="I251" s="30">
        <f t="shared" si="162"/>
        <v>19946</v>
      </c>
      <c r="J251" s="133">
        <f t="shared" si="146"/>
        <v>0</v>
      </c>
      <c r="K251" s="10">
        <f t="shared" si="133"/>
        <v>0</v>
      </c>
      <c r="L251" s="22">
        <f t="shared" si="134"/>
        <v>0</v>
      </c>
      <c r="M251" s="10">
        <f t="shared" si="135"/>
        <v>0</v>
      </c>
      <c r="O251" s="30" t="b">
        <f t="shared" si="136"/>
        <v>1</v>
      </c>
      <c r="P251" s="30" t="b">
        <f t="shared" si="137"/>
        <v>0</v>
      </c>
      <c r="Q251" s="30" t="b">
        <f t="shared" si="138"/>
        <v>0</v>
      </c>
      <c r="R251" s="30">
        <f t="shared" si="139"/>
        <v>0</v>
      </c>
      <c r="S251" s="32">
        <f t="shared" si="147"/>
        <v>62903</v>
      </c>
      <c r="Z251" s="10"/>
      <c r="AA251" s="45">
        <f t="shared" si="140"/>
        <v>62903</v>
      </c>
      <c r="AB251" s="3">
        <f t="shared" si="141"/>
        <v>19946</v>
      </c>
      <c r="AC251" s="3">
        <f t="shared" si="156"/>
        <v>55.40555555555556</v>
      </c>
      <c r="AD251" s="3">
        <f t="shared" si="148"/>
        <v>55.416666666666664</v>
      </c>
      <c r="AE251" s="48">
        <f t="shared" si="143"/>
        <v>0</v>
      </c>
      <c r="AF251" s="3">
        <f t="shared" si="157"/>
        <v>0</v>
      </c>
      <c r="AH251" s="4"/>
      <c r="AI251" s="4"/>
      <c r="AN251" s="108">
        <f t="shared" si="145"/>
        <v>0</v>
      </c>
    </row>
    <row r="252" spans="1:40" ht="12.75">
      <c r="A252" s="33">
        <f t="shared" si="158"/>
        <v>222</v>
      </c>
      <c r="B252" s="30">
        <f t="shared" si="159"/>
        <v>6</v>
      </c>
      <c r="C252" s="30">
        <f t="shared" si="150"/>
        <v>20</v>
      </c>
      <c r="D252" s="30">
        <f t="shared" si="160"/>
        <v>2072</v>
      </c>
      <c r="E252" s="133">
        <f t="shared" si="161"/>
        <v>0</v>
      </c>
      <c r="F252" s="1"/>
      <c r="G252" s="133">
        <f t="shared" si="149"/>
        <v>0</v>
      </c>
      <c r="H252" s="133">
        <f t="shared" si="132"/>
        <v>0</v>
      </c>
      <c r="I252" s="30">
        <f t="shared" si="162"/>
        <v>20036</v>
      </c>
      <c r="J252" s="133">
        <f t="shared" si="146"/>
        <v>0</v>
      </c>
      <c r="K252" s="10">
        <f t="shared" si="133"/>
        <v>0</v>
      </c>
      <c r="L252" s="22">
        <f t="shared" si="134"/>
        <v>0</v>
      </c>
      <c r="M252" s="10">
        <f t="shared" si="135"/>
        <v>0</v>
      </c>
      <c r="O252" s="30" t="b">
        <f t="shared" si="136"/>
        <v>0</v>
      </c>
      <c r="P252" s="30" t="b">
        <f t="shared" si="137"/>
        <v>1</v>
      </c>
      <c r="Q252" s="30" t="b">
        <f t="shared" si="138"/>
        <v>0</v>
      </c>
      <c r="R252" s="30">
        <f t="shared" si="139"/>
        <v>0</v>
      </c>
      <c r="S252" s="32">
        <f t="shared" si="147"/>
        <v>62995</v>
      </c>
      <c r="Z252" s="10"/>
      <c r="AA252" s="45">
        <f t="shared" si="140"/>
        <v>62995</v>
      </c>
      <c r="AB252" s="3">
        <f t="shared" si="141"/>
        <v>20036</v>
      </c>
      <c r="AC252" s="3">
        <f t="shared" si="156"/>
        <v>55.65555555555556</v>
      </c>
      <c r="AD252" s="3">
        <f t="shared" si="148"/>
        <v>55.666666666666664</v>
      </c>
      <c r="AE252" s="48">
        <f t="shared" si="143"/>
        <v>0</v>
      </c>
      <c r="AF252" s="3">
        <f t="shared" si="157"/>
        <v>0</v>
      </c>
      <c r="AH252" s="4"/>
      <c r="AI252" s="4"/>
      <c r="AN252" s="108">
        <f t="shared" si="145"/>
        <v>0</v>
      </c>
    </row>
    <row r="253" spans="1:40" ht="12.75">
      <c r="A253" s="33">
        <f t="shared" si="158"/>
        <v>223</v>
      </c>
      <c r="B253" s="30">
        <f t="shared" si="159"/>
        <v>9</v>
      </c>
      <c r="C253" s="30">
        <f t="shared" si="150"/>
        <v>20</v>
      </c>
      <c r="D253" s="30">
        <f t="shared" si="160"/>
        <v>2072</v>
      </c>
      <c r="E253" s="133">
        <f t="shared" si="161"/>
        <v>0</v>
      </c>
      <c r="F253" s="1"/>
      <c r="G253" s="133">
        <f t="shared" si="149"/>
        <v>0</v>
      </c>
      <c r="H253" s="133">
        <f t="shared" si="132"/>
        <v>0</v>
      </c>
      <c r="I253" s="30">
        <f t="shared" si="162"/>
        <v>20126</v>
      </c>
      <c r="J253" s="133">
        <f t="shared" si="146"/>
        <v>0</v>
      </c>
      <c r="K253" s="10">
        <f t="shared" si="133"/>
        <v>0</v>
      </c>
      <c r="L253" s="22">
        <f t="shared" si="134"/>
        <v>0</v>
      </c>
      <c r="M253" s="10">
        <f t="shared" si="135"/>
        <v>0</v>
      </c>
      <c r="O253" s="30" t="b">
        <f t="shared" si="136"/>
        <v>0</v>
      </c>
      <c r="P253" s="30" t="b">
        <f t="shared" si="137"/>
        <v>1</v>
      </c>
      <c r="Q253" s="30" t="b">
        <f t="shared" si="138"/>
        <v>0</v>
      </c>
      <c r="R253" s="30">
        <f t="shared" si="139"/>
        <v>0</v>
      </c>
      <c r="S253" s="32">
        <f t="shared" si="147"/>
        <v>63087</v>
      </c>
      <c r="Z253" s="10"/>
      <c r="AA253" s="45">
        <f t="shared" si="140"/>
        <v>63087</v>
      </c>
      <c r="AB253" s="3">
        <f t="shared" si="141"/>
        <v>20126</v>
      </c>
      <c r="AC253" s="3">
        <f t="shared" si="156"/>
        <v>55.90555555555556</v>
      </c>
      <c r="AD253" s="3">
        <f t="shared" si="148"/>
        <v>55.916666666666664</v>
      </c>
      <c r="AE253" s="48">
        <f t="shared" si="143"/>
        <v>0</v>
      </c>
      <c r="AF253" s="3">
        <f t="shared" si="157"/>
        <v>0</v>
      </c>
      <c r="AH253" s="4"/>
      <c r="AI253" s="4"/>
      <c r="AN253" s="108">
        <f t="shared" si="145"/>
        <v>0</v>
      </c>
    </row>
    <row r="254" spans="1:40" ht="12.75">
      <c r="A254" s="33">
        <f t="shared" si="158"/>
        <v>224</v>
      </c>
      <c r="B254" s="30">
        <f t="shared" si="159"/>
        <v>12</v>
      </c>
      <c r="C254" s="30">
        <f t="shared" si="150"/>
        <v>20</v>
      </c>
      <c r="D254" s="30">
        <f t="shared" si="160"/>
        <v>2072</v>
      </c>
      <c r="E254" s="133">
        <f t="shared" si="161"/>
        <v>0</v>
      </c>
      <c r="F254" s="1"/>
      <c r="G254" s="133">
        <f t="shared" si="149"/>
        <v>0</v>
      </c>
      <c r="H254" s="133">
        <f t="shared" si="132"/>
        <v>0</v>
      </c>
      <c r="I254" s="30">
        <f t="shared" si="162"/>
        <v>20216</v>
      </c>
      <c r="J254" s="133">
        <f t="shared" si="146"/>
        <v>0</v>
      </c>
      <c r="K254" s="10">
        <f t="shared" si="133"/>
        <v>0</v>
      </c>
      <c r="L254" s="22">
        <f t="shared" si="134"/>
        <v>0</v>
      </c>
      <c r="M254" s="10">
        <f t="shared" si="135"/>
        <v>0</v>
      </c>
      <c r="O254" s="30" t="b">
        <f t="shared" si="136"/>
        <v>1</v>
      </c>
      <c r="P254" s="30" t="b">
        <f t="shared" si="137"/>
        <v>0</v>
      </c>
      <c r="Q254" s="30" t="b">
        <f t="shared" si="138"/>
        <v>0</v>
      </c>
      <c r="R254" s="30">
        <f t="shared" si="139"/>
        <v>0</v>
      </c>
      <c r="S254" s="32">
        <f t="shared" si="147"/>
        <v>63178</v>
      </c>
      <c r="Z254" s="10"/>
      <c r="AA254" s="45">
        <f t="shared" si="140"/>
        <v>63178</v>
      </c>
      <c r="AB254" s="3">
        <f t="shared" si="141"/>
        <v>20216</v>
      </c>
      <c r="AC254" s="3">
        <f aca="true" t="shared" si="163" ref="AC254:AC269">AB254/360</f>
        <v>56.15555555555556</v>
      </c>
      <c r="AD254" s="3">
        <f t="shared" si="148"/>
        <v>56.166666666666664</v>
      </c>
      <c r="AE254" s="48">
        <f t="shared" si="143"/>
        <v>0</v>
      </c>
      <c r="AF254" s="3">
        <f aca="true" t="shared" si="164" ref="AF254:AF269">AE254*AD254</f>
        <v>0</v>
      </c>
      <c r="AH254" s="4"/>
      <c r="AI254" s="4"/>
      <c r="AN254" s="108">
        <f t="shared" si="145"/>
        <v>0</v>
      </c>
    </row>
    <row r="255" spans="1:40" ht="12.75">
      <c r="A255" s="33">
        <f t="shared" si="158"/>
        <v>225</v>
      </c>
      <c r="B255" s="30">
        <f t="shared" si="159"/>
        <v>3</v>
      </c>
      <c r="C255" s="30">
        <f t="shared" si="150"/>
        <v>20</v>
      </c>
      <c r="D255" s="30">
        <f t="shared" si="160"/>
        <v>2073</v>
      </c>
      <c r="E255" s="133">
        <f t="shared" si="161"/>
        <v>0</v>
      </c>
      <c r="F255" s="1"/>
      <c r="G255" s="133">
        <f t="shared" si="149"/>
        <v>0</v>
      </c>
      <c r="H255" s="133">
        <f t="shared" si="132"/>
        <v>0</v>
      </c>
      <c r="I255" s="30">
        <f t="shared" si="162"/>
        <v>20306</v>
      </c>
      <c r="J255" s="133">
        <f t="shared" si="146"/>
        <v>0</v>
      </c>
      <c r="K255" s="10">
        <f t="shared" si="133"/>
        <v>0</v>
      </c>
      <c r="L255" s="22">
        <f t="shared" si="134"/>
        <v>0</v>
      </c>
      <c r="M255" s="10">
        <f t="shared" si="135"/>
        <v>0</v>
      </c>
      <c r="O255" s="30" t="b">
        <f t="shared" si="136"/>
        <v>1</v>
      </c>
      <c r="P255" s="30" t="b">
        <f t="shared" si="137"/>
        <v>0</v>
      </c>
      <c r="Q255" s="30" t="b">
        <f t="shared" si="138"/>
        <v>0</v>
      </c>
      <c r="R255" s="30">
        <f t="shared" si="139"/>
        <v>0</v>
      </c>
      <c r="S255" s="32">
        <f t="shared" si="147"/>
        <v>63268</v>
      </c>
      <c r="Z255" s="10"/>
      <c r="AA255" s="45">
        <f t="shared" si="140"/>
        <v>63268</v>
      </c>
      <c r="AB255" s="3">
        <f t="shared" si="141"/>
        <v>20306</v>
      </c>
      <c r="AC255" s="3">
        <f t="shared" si="163"/>
        <v>56.40555555555556</v>
      </c>
      <c r="AD255" s="3">
        <f t="shared" si="148"/>
        <v>56.416666666666664</v>
      </c>
      <c r="AE255" s="48">
        <f t="shared" si="143"/>
        <v>0</v>
      </c>
      <c r="AF255" s="3">
        <f t="shared" si="164"/>
        <v>0</v>
      </c>
      <c r="AH255" s="4"/>
      <c r="AI255" s="4"/>
      <c r="AN255" s="108">
        <f t="shared" si="145"/>
        <v>0</v>
      </c>
    </row>
    <row r="256" spans="1:40" ht="12.75">
      <c r="A256" s="33">
        <f t="shared" si="158"/>
        <v>226</v>
      </c>
      <c r="B256" s="30">
        <f t="shared" si="159"/>
        <v>6</v>
      </c>
      <c r="C256" s="30">
        <f t="shared" si="150"/>
        <v>20</v>
      </c>
      <c r="D256" s="30">
        <f t="shared" si="160"/>
        <v>2073</v>
      </c>
      <c r="E256" s="133">
        <f t="shared" si="161"/>
        <v>0</v>
      </c>
      <c r="F256" s="1"/>
      <c r="G256" s="133">
        <f t="shared" si="149"/>
        <v>0</v>
      </c>
      <c r="H256" s="133">
        <f t="shared" si="132"/>
        <v>0</v>
      </c>
      <c r="I256" s="30">
        <f t="shared" si="162"/>
        <v>20396</v>
      </c>
      <c r="J256" s="133">
        <f t="shared" si="146"/>
        <v>0</v>
      </c>
      <c r="K256" s="10">
        <f t="shared" si="133"/>
        <v>0</v>
      </c>
      <c r="L256" s="22">
        <f t="shared" si="134"/>
        <v>0</v>
      </c>
      <c r="M256" s="10">
        <f t="shared" si="135"/>
        <v>0</v>
      </c>
      <c r="O256" s="30" t="b">
        <f t="shared" si="136"/>
        <v>0</v>
      </c>
      <c r="P256" s="30" t="b">
        <f t="shared" si="137"/>
        <v>1</v>
      </c>
      <c r="Q256" s="30" t="b">
        <f t="shared" si="138"/>
        <v>0</v>
      </c>
      <c r="R256" s="30">
        <f t="shared" si="139"/>
        <v>0</v>
      </c>
      <c r="S256" s="32">
        <f t="shared" si="147"/>
        <v>63360</v>
      </c>
      <c r="Z256" s="10"/>
      <c r="AA256" s="45">
        <f t="shared" si="140"/>
        <v>63360</v>
      </c>
      <c r="AB256" s="3">
        <f t="shared" si="141"/>
        <v>20396</v>
      </c>
      <c r="AC256" s="3">
        <f t="shared" si="163"/>
        <v>56.65555555555556</v>
      </c>
      <c r="AD256" s="3">
        <f t="shared" si="148"/>
        <v>56.666666666666664</v>
      </c>
      <c r="AE256" s="48">
        <f t="shared" si="143"/>
        <v>0</v>
      </c>
      <c r="AF256" s="3">
        <f t="shared" si="164"/>
        <v>0</v>
      </c>
      <c r="AH256" s="4"/>
      <c r="AI256" s="4"/>
      <c r="AN256" s="108">
        <f t="shared" si="145"/>
        <v>0</v>
      </c>
    </row>
    <row r="257" spans="1:40" ht="12.75">
      <c r="A257" s="33">
        <f t="shared" si="158"/>
        <v>227</v>
      </c>
      <c r="B257" s="30">
        <f t="shared" si="159"/>
        <v>9</v>
      </c>
      <c r="C257" s="30">
        <f t="shared" si="150"/>
        <v>20</v>
      </c>
      <c r="D257" s="30">
        <f t="shared" si="160"/>
        <v>2073</v>
      </c>
      <c r="E257" s="133">
        <f t="shared" si="161"/>
        <v>0</v>
      </c>
      <c r="F257" s="1"/>
      <c r="G257" s="133">
        <f t="shared" si="149"/>
        <v>0</v>
      </c>
      <c r="H257" s="133">
        <f t="shared" si="132"/>
        <v>0</v>
      </c>
      <c r="I257" s="30">
        <f t="shared" si="162"/>
        <v>20486</v>
      </c>
      <c r="J257" s="133">
        <f t="shared" si="146"/>
        <v>0</v>
      </c>
      <c r="K257" s="10">
        <f t="shared" si="133"/>
        <v>0</v>
      </c>
      <c r="L257" s="22">
        <f t="shared" si="134"/>
        <v>0</v>
      </c>
      <c r="M257" s="10">
        <f t="shared" si="135"/>
        <v>0</v>
      </c>
      <c r="O257" s="30" t="b">
        <f t="shared" si="136"/>
        <v>0</v>
      </c>
      <c r="P257" s="30" t="b">
        <f t="shared" si="137"/>
        <v>1</v>
      </c>
      <c r="Q257" s="30" t="b">
        <f t="shared" si="138"/>
        <v>0</v>
      </c>
      <c r="R257" s="30">
        <f t="shared" si="139"/>
        <v>0</v>
      </c>
      <c r="S257" s="32">
        <f t="shared" si="147"/>
        <v>63452</v>
      </c>
      <c r="Z257" s="10"/>
      <c r="AA257" s="45">
        <f t="shared" si="140"/>
        <v>63452</v>
      </c>
      <c r="AB257" s="3">
        <f t="shared" si="141"/>
        <v>20486</v>
      </c>
      <c r="AC257" s="3">
        <f t="shared" si="163"/>
        <v>56.90555555555556</v>
      </c>
      <c r="AD257" s="3">
        <f t="shared" si="148"/>
        <v>56.916666666666664</v>
      </c>
      <c r="AE257" s="48">
        <f t="shared" si="143"/>
        <v>0</v>
      </c>
      <c r="AF257" s="3">
        <f t="shared" si="164"/>
        <v>0</v>
      </c>
      <c r="AH257" s="4"/>
      <c r="AI257" s="4"/>
      <c r="AN257" s="108">
        <f t="shared" si="145"/>
        <v>0</v>
      </c>
    </row>
    <row r="258" spans="1:40" ht="12.75">
      <c r="A258" s="33">
        <f t="shared" si="158"/>
        <v>228</v>
      </c>
      <c r="B258" s="30">
        <f t="shared" si="159"/>
        <v>12</v>
      </c>
      <c r="C258" s="30">
        <f t="shared" si="150"/>
        <v>20</v>
      </c>
      <c r="D258" s="30">
        <f t="shared" si="160"/>
        <v>2073</v>
      </c>
      <c r="E258" s="133">
        <f t="shared" si="161"/>
        <v>0</v>
      </c>
      <c r="F258" s="1"/>
      <c r="G258" s="133">
        <f t="shared" si="149"/>
        <v>0</v>
      </c>
      <c r="H258" s="133">
        <f t="shared" si="132"/>
        <v>0</v>
      </c>
      <c r="I258" s="30">
        <f t="shared" si="162"/>
        <v>20576</v>
      </c>
      <c r="J258" s="133">
        <f t="shared" si="146"/>
        <v>0</v>
      </c>
      <c r="K258" s="10">
        <f t="shared" si="133"/>
        <v>0</v>
      </c>
      <c r="L258" s="22">
        <f t="shared" si="134"/>
        <v>0</v>
      </c>
      <c r="M258" s="10">
        <f t="shared" si="135"/>
        <v>0</v>
      </c>
      <c r="O258" s="30" t="b">
        <f t="shared" si="136"/>
        <v>1</v>
      </c>
      <c r="P258" s="30" t="b">
        <f t="shared" si="137"/>
        <v>0</v>
      </c>
      <c r="Q258" s="30" t="b">
        <f t="shared" si="138"/>
        <v>0</v>
      </c>
      <c r="R258" s="30">
        <f t="shared" si="139"/>
        <v>0</v>
      </c>
      <c r="S258" s="32">
        <f t="shared" si="147"/>
        <v>63543</v>
      </c>
      <c r="Z258" s="10"/>
      <c r="AA258" s="45">
        <f t="shared" si="140"/>
        <v>63543</v>
      </c>
      <c r="AB258" s="3">
        <f t="shared" si="141"/>
        <v>20576</v>
      </c>
      <c r="AC258" s="3">
        <f t="shared" si="163"/>
        <v>57.15555555555556</v>
      </c>
      <c r="AD258" s="3">
        <f t="shared" si="148"/>
        <v>57.166666666666664</v>
      </c>
      <c r="AE258" s="48">
        <f t="shared" si="143"/>
        <v>0</v>
      </c>
      <c r="AF258" s="3">
        <f t="shared" si="164"/>
        <v>0</v>
      </c>
      <c r="AH258" s="4"/>
      <c r="AI258" s="4"/>
      <c r="AN258" s="108">
        <f t="shared" si="145"/>
        <v>0</v>
      </c>
    </row>
    <row r="259" spans="1:40" ht="12.75">
      <c r="A259" s="33">
        <f t="shared" si="158"/>
        <v>229</v>
      </c>
      <c r="B259" s="30">
        <f t="shared" si="159"/>
        <v>3</v>
      </c>
      <c r="C259" s="30">
        <f t="shared" si="150"/>
        <v>20</v>
      </c>
      <c r="D259" s="30">
        <f t="shared" si="160"/>
        <v>2074</v>
      </c>
      <c r="E259" s="133">
        <f t="shared" si="161"/>
        <v>0</v>
      </c>
      <c r="F259" s="1"/>
      <c r="G259" s="133">
        <f t="shared" si="149"/>
        <v>0</v>
      </c>
      <c r="H259" s="133">
        <f t="shared" si="132"/>
        <v>0</v>
      </c>
      <c r="I259" s="30">
        <f t="shared" si="162"/>
        <v>20666</v>
      </c>
      <c r="J259" s="133">
        <f t="shared" si="146"/>
        <v>0</v>
      </c>
      <c r="K259" s="10">
        <f t="shared" si="133"/>
        <v>0</v>
      </c>
      <c r="L259" s="22">
        <f t="shared" si="134"/>
        <v>0</v>
      </c>
      <c r="M259" s="10">
        <f t="shared" si="135"/>
        <v>0</v>
      </c>
      <c r="O259" s="30" t="b">
        <f t="shared" si="136"/>
        <v>1</v>
      </c>
      <c r="P259" s="30" t="b">
        <f t="shared" si="137"/>
        <v>0</v>
      </c>
      <c r="Q259" s="30" t="b">
        <f t="shared" si="138"/>
        <v>0</v>
      </c>
      <c r="R259" s="30">
        <f t="shared" si="139"/>
        <v>0</v>
      </c>
      <c r="S259" s="32">
        <f t="shared" si="147"/>
        <v>63633</v>
      </c>
      <c r="Z259" s="10"/>
      <c r="AA259" s="45">
        <f t="shared" si="140"/>
        <v>63633</v>
      </c>
      <c r="AB259" s="3">
        <f t="shared" si="141"/>
        <v>20666</v>
      </c>
      <c r="AC259" s="3">
        <f t="shared" si="163"/>
        <v>57.40555555555556</v>
      </c>
      <c r="AD259" s="3">
        <f t="shared" si="148"/>
        <v>57.416666666666664</v>
      </c>
      <c r="AE259" s="48">
        <f t="shared" si="143"/>
        <v>0</v>
      </c>
      <c r="AF259" s="3">
        <f t="shared" si="164"/>
        <v>0</v>
      </c>
      <c r="AH259" s="4"/>
      <c r="AI259" s="4"/>
      <c r="AN259" s="108">
        <f t="shared" si="145"/>
        <v>0</v>
      </c>
    </row>
    <row r="260" spans="1:40" ht="12.75">
      <c r="A260" s="33">
        <f t="shared" si="158"/>
        <v>230</v>
      </c>
      <c r="B260" s="30">
        <f t="shared" si="159"/>
        <v>6</v>
      </c>
      <c r="C260" s="30">
        <f t="shared" si="150"/>
        <v>20</v>
      </c>
      <c r="D260" s="30">
        <f t="shared" si="160"/>
        <v>2074</v>
      </c>
      <c r="E260" s="133">
        <f t="shared" si="161"/>
        <v>0</v>
      </c>
      <c r="F260" s="1"/>
      <c r="G260" s="133">
        <f t="shared" si="149"/>
        <v>0</v>
      </c>
      <c r="H260" s="133">
        <f t="shared" si="132"/>
        <v>0</v>
      </c>
      <c r="I260" s="30">
        <f t="shared" si="162"/>
        <v>20756</v>
      </c>
      <c r="J260" s="133">
        <f t="shared" si="146"/>
        <v>0</v>
      </c>
      <c r="K260" s="10">
        <f t="shared" si="133"/>
        <v>0</v>
      </c>
      <c r="L260" s="22">
        <f t="shared" si="134"/>
        <v>0</v>
      </c>
      <c r="M260" s="10">
        <f t="shared" si="135"/>
        <v>0</v>
      </c>
      <c r="O260" s="30" t="b">
        <f t="shared" si="136"/>
        <v>0</v>
      </c>
      <c r="P260" s="30" t="b">
        <f t="shared" si="137"/>
        <v>1</v>
      </c>
      <c r="Q260" s="30" t="b">
        <f t="shared" si="138"/>
        <v>0</v>
      </c>
      <c r="R260" s="30">
        <f t="shared" si="139"/>
        <v>0</v>
      </c>
      <c r="S260" s="32">
        <f t="shared" si="147"/>
        <v>63725</v>
      </c>
      <c r="Z260" s="10"/>
      <c r="AA260" s="45">
        <f t="shared" si="140"/>
        <v>63725</v>
      </c>
      <c r="AB260" s="3">
        <f t="shared" si="141"/>
        <v>20756</v>
      </c>
      <c r="AC260" s="3">
        <f t="shared" si="163"/>
        <v>57.65555555555556</v>
      </c>
      <c r="AD260" s="3">
        <f t="shared" si="148"/>
        <v>57.666666666666664</v>
      </c>
      <c r="AE260" s="48">
        <f t="shared" si="143"/>
        <v>0</v>
      </c>
      <c r="AF260" s="3">
        <f t="shared" si="164"/>
        <v>0</v>
      </c>
      <c r="AH260" s="4"/>
      <c r="AI260" s="4"/>
      <c r="AN260" s="108">
        <f t="shared" si="145"/>
        <v>0</v>
      </c>
    </row>
    <row r="261" spans="1:40" ht="12.75">
      <c r="A261" s="33">
        <f t="shared" si="158"/>
        <v>231</v>
      </c>
      <c r="B261" s="30">
        <f t="shared" si="159"/>
        <v>9</v>
      </c>
      <c r="C261" s="30">
        <f t="shared" si="150"/>
        <v>20</v>
      </c>
      <c r="D261" s="30">
        <f t="shared" si="160"/>
        <v>2074</v>
      </c>
      <c r="E261" s="133">
        <f t="shared" si="161"/>
        <v>0</v>
      </c>
      <c r="F261" s="1"/>
      <c r="G261" s="133">
        <f t="shared" si="149"/>
        <v>0</v>
      </c>
      <c r="H261" s="133">
        <f t="shared" si="132"/>
        <v>0</v>
      </c>
      <c r="I261" s="30">
        <f t="shared" si="162"/>
        <v>20846</v>
      </c>
      <c r="J261" s="133">
        <f t="shared" si="146"/>
        <v>0</v>
      </c>
      <c r="K261" s="10">
        <f t="shared" si="133"/>
        <v>0</v>
      </c>
      <c r="L261" s="22">
        <f t="shared" si="134"/>
        <v>0</v>
      </c>
      <c r="M261" s="10">
        <f t="shared" si="135"/>
        <v>0</v>
      </c>
      <c r="O261" s="30" t="b">
        <f t="shared" si="136"/>
        <v>0</v>
      </c>
      <c r="P261" s="30" t="b">
        <f t="shared" si="137"/>
        <v>1</v>
      </c>
      <c r="Q261" s="30" t="b">
        <f t="shared" si="138"/>
        <v>0</v>
      </c>
      <c r="R261" s="30">
        <f t="shared" si="139"/>
        <v>0</v>
      </c>
      <c r="S261" s="32">
        <f t="shared" si="147"/>
        <v>63817</v>
      </c>
      <c r="Z261" s="10"/>
      <c r="AA261" s="45">
        <f t="shared" si="140"/>
        <v>63817</v>
      </c>
      <c r="AB261" s="3">
        <f t="shared" si="141"/>
        <v>20846</v>
      </c>
      <c r="AC261" s="3">
        <f t="shared" si="163"/>
        <v>57.90555555555556</v>
      </c>
      <c r="AD261" s="3">
        <f t="shared" si="148"/>
        <v>57.916666666666664</v>
      </c>
      <c r="AE261" s="48">
        <f t="shared" si="143"/>
        <v>0</v>
      </c>
      <c r="AF261" s="3">
        <f t="shared" si="164"/>
        <v>0</v>
      </c>
      <c r="AH261" s="4"/>
      <c r="AI261" s="4"/>
      <c r="AN261" s="108">
        <f t="shared" si="145"/>
        <v>0</v>
      </c>
    </row>
    <row r="262" spans="1:40" ht="12.75">
      <c r="A262" s="33">
        <f t="shared" si="158"/>
        <v>232</v>
      </c>
      <c r="B262" s="30">
        <f t="shared" si="159"/>
        <v>12</v>
      </c>
      <c r="C262" s="30">
        <f t="shared" si="150"/>
        <v>20</v>
      </c>
      <c r="D262" s="30">
        <f t="shared" si="160"/>
        <v>2074</v>
      </c>
      <c r="E262" s="133">
        <f t="shared" si="161"/>
        <v>0</v>
      </c>
      <c r="F262" s="1"/>
      <c r="G262" s="133">
        <f t="shared" si="149"/>
        <v>0</v>
      </c>
      <c r="H262" s="133">
        <f t="shared" si="132"/>
        <v>0</v>
      </c>
      <c r="I262" s="30">
        <f t="shared" si="162"/>
        <v>20936</v>
      </c>
      <c r="J262" s="133">
        <f t="shared" si="146"/>
        <v>0</v>
      </c>
      <c r="K262" s="10">
        <f t="shared" si="133"/>
        <v>0</v>
      </c>
      <c r="L262" s="22">
        <f t="shared" si="134"/>
        <v>0</v>
      </c>
      <c r="M262" s="10">
        <f t="shared" si="135"/>
        <v>0</v>
      </c>
      <c r="O262" s="30" t="b">
        <f t="shared" si="136"/>
        <v>1</v>
      </c>
      <c r="P262" s="30" t="b">
        <f t="shared" si="137"/>
        <v>0</v>
      </c>
      <c r="Q262" s="30" t="b">
        <f t="shared" si="138"/>
        <v>0</v>
      </c>
      <c r="R262" s="30">
        <f t="shared" si="139"/>
        <v>0</v>
      </c>
      <c r="S262" s="32">
        <f t="shared" si="147"/>
        <v>63908</v>
      </c>
      <c r="Z262" s="10"/>
      <c r="AA262" s="45">
        <f t="shared" si="140"/>
        <v>63908</v>
      </c>
      <c r="AB262" s="3">
        <f t="shared" si="141"/>
        <v>20936</v>
      </c>
      <c r="AC262" s="3">
        <f t="shared" si="163"/>
        <v>58.15555555555556</v>
      </c>
      <c r="AD262" s="3">
        <f t="shared" si="148"/>
        <v>58.166666666666664</v>
      </c>
      <c r="AE262" s="48">
        <f t="shared" si="143"/>
        <v>0</v>
      </c>
      <c r="AF262" s="3">
        <f t="shared" si="164"/>
        <v>0</v>
      </c>
      <c r="AH262" s="4"/>
      <c r="AI262" s="4"/>
      <c r="AN262" s="108">
        <f t="shared" si="145"/>
        <v>0</v>
      </c>
    </row>
    <row r="263" spans="1:40" ht="12.75">
      <c r="A263" s="33">
        <f aca="true" t="shared" si="165" ref="A263:A278">A262+1</f>
        <v>233</v>
      </c>
      <c r="B263" s="30">
        <f aca="true" t="shared" si="166" ref="B263:B278">IF(F$14=12,MOD(B262,12)+1,IF(F$14=4,IF(AND(MOD(B262,12)+3&gt;12,B262=11),2,IF(MOD(B262,12)+3&gt;12,1,MOD(B262,12)+3)),IF(F$14=2,IF((B262+6)&gt;12,(B262+6)-12,MOD(B262,12)+6),+B262)))</f>
        <v>3</v>
      </c>
      <c r="C263" s="30">
        <f t="shared" si="150"/>
        <v>20</v>
      </c>
      <c r="D263" s="30">
        <f aca="true" t="shared" si="167" ref="D263:D278">IF(F$14=1,D262+1,IF(AND(F$14=2,B263&lt;B262),D262+1,IF(AND(F$14=4,B263&lt;B262),D262+1,IF(OR(B263=1,B262=12),D262+1,D262))))</f>
        <v>2075</v>
      </c>
      <c r="E263" s="133">
        <f aca="true" t="shared" si="168" ref="E263:E278">ROUND(IF((+E262-F263)&lt;=-1,#VALUE!,E262-F263),2)</f>
        <v>0</v>
      </c>
      <c r="F263" s="1"/>
      <c r="G263" s="133">
        <f t="shared" si="149"/>
        <v>0</v>
      </c>
      <c r="H263" s="133">
        <f t="shared" si="132"/>
        <v>0</v>
      </c>
      <c r="I263" s="30">
        <f aca="true" t="shared" si="169" ref="I263:I278">I262+(360/$F$14)</f>
        <v>21026</v>
      </c>
      <c r="J263" s="133">
        <f t="shared" si="146"/>
        <v>0</v>
      </c>
      <c r="K263" s="10">
        <f t="shared" si="133"/>
        <v>0</v>
      </c>
      <c r="L263" s="22">
        <f t="shared" si="134"/>
        <v>0</v>
      </c>
      <c r="M263" s="10">
        <f t="shared" si="135"/>
        <v>0</v>
      </c>
      <c r="O263" s="30" t="b">
        <f t="shared" si="136"/>
        <v>1</v>
      </c>
      <c r="P263" s="30" t="b">
        <f t="shared" si="137"/>
        <v>0</v>
      </c>
      <c r="Q263" s="30" t="b">
        <f t="shared" si="138"/>
        <v>0</v>
      </c>
      <c r="R263" s="30">
        <f t="shared" si="139"/>
        <v>0</v>
      </c>
      <c r="S263" s="32">
        <f t="shared" si="147"/>
        <v>63998</v>
      </c>
      <c r="Z263" s="10"/>
      <c r="AA263" s="45">
        <f t="shared" si="140"/>
        <v>63998</v>
      </c>
      <c r="AB263" s="3">
        <f t="shared" si="141"/>
        <v>21026</v>
      </c>
      <c r="AC263" s="3">
        <f t="shared" si="163"/>
        <v>58.40555555555556</v>
      </c>
      <c r="AD263" s="3">
        <f t="shared" si="148"/>
        <v>58.416666666666664</v>
      </c>
      <c r="AE263" s="48">
        <f t="shared" si="143"/>
        <v>0</v>
      </c>
      <c r="AF263" s="3">
        <f t="shared" si="164"/>
        <v>0</v>
      </c>
      <c r="AH263" s="4"/>
      <c r="AI263" s="4"/>
      <c r="AN263" s="108">
        <f t="shared" si="145"/>
        <v>0</v>
      </c>
    </row>
    <row r="264" spans="1:40" ht="12.75">
      <c r="A264" s="33">
        <f t="shared" si="165"/>
        <v>234</v>
      </c>
      <c r="B264" s="30">
        <f t="shared" si="166"/>
        <v>6</v>
      </c>
      <c r="C264" s="30">
        <f t="shared" si="150"/>
        <v>20</v>
      </c>
      <c r="D264" s="30">
        <f t="shared" si="167"/>
        <v>2075</v>
      </c>
      <c r="E264" s="133">
        <f t="shared" si="168"/>
        <v>0</v>
      </c>
      <c r="F264" s="1"/>
      <c r="G264" s="133">
        <f t="shared" si="149"/>
        <v>0</v>
      </c>
      <c r="H264" s="133">
        <f t="shared" si="132"/>
        <v>0</v>
      </c>
      <c r="I264" s="30">
        <f t="shared" si="169"/>
        <v>21116</v>
      </c>
      <c r="J264" s="133">
        <f t="shared" si="146"/>
        <v>0</v>
      </c>
      <c r="K264" s="10">
        <f t="shared" si="133"/>
        <v>0</v>
      </c>
      <c r="L264" s="22">
        <f t="shared" si="134"/>
        <v>0</v>
      </c>
      <c r="M264" s="10">
        <f t="shared" si="135"/>
        <v>0</v>
      </c>
      <c r="O264" s="30" t="b">
        <f t="shared" si="136"/>
        <v>0</v>
      </c>
      <c r="P264" s="30" t="b">
        <f t="shared" si="137"/>
        <v>1</v>
      </c>
      <c r="Q264" s="30" t="b">
        <f t="shared" si="138"/>
        <v>0</v>
      </c>
      <c r="R264" s="30">
        <f t="shared" si="139"/>
        <v>0</v>
      </c>
      <c r="S264" s="32">
        <f t="shared" si="147"/>
        <v>64090</v>
      </c>
      <c r="Z264" s="10"/>
      <c r="AA264" s="45">
        <f t="shared" si="140"/>
        <v>64090</v>
      </c>
      <c r="AB264" s="3">
        <f t="shared" si="141"/>
        <v>21116</v>
      </c>
      <c r="AC264" s="3">
        <f t="shared" si="163"/>
        <v>58.65555555555556</v>
      </c>
      <c r="AD264" s="3">
        <f t="shared" si="148"/>
        <v>58.666666666666664</v>
      </c>
      <c r="AE264" s="48">
        <f t="shared" si="143"/>
        <v>0</v>
      </c>
      <c r="AF264" s="3">
        <f t="shared" si="164"/>
        <v>0</v>
      </c>
      <c r="AH264" s="4"/>
      <c r="AI264" s="4"/>
      <c r="AN264" s="108">
        <f t="shared" si="145"/>
        <v>0</v>
      </c>
    </row>
    <row r="265" spans="1:40" ht="12.75">
      <c r="A265" s="33">
        <f t="shared" si="165"/>
        <v>235</v>
      </c>
      <c r="B265" s="30">
        <f t="shared" si="166"/>
        <v>9</v>
      </c>
      <c r="C265" s="30">
        <f t="shared" si="150"/>
        <v>20</v>
      </c>
      <c r="D265" s="30">
        <f t="shared" si="167"/>
        <v>2075</v>
      </c>
      <c r="E265" s="133">
        <f t="shared" si="168"/>
        <v>0</v>
      </c>
      <c r="F265" s="1"/>
      <c r="G265" s="133">
        <f t="shared" si="149"/>
        <v>0</v>
      </c>
      <c r="H265" s="133">
        <f t="shared" si="132"/>
        <v>0</v>
      </c>
      <c r="I265" s="30">
        <f t="shared" si="169"/>
        <v>21206</v>
      </c>
      <c r="J265" s="133">
        <f t="shared" si="146"/>
        <v>0</v>
      </c>
      <c r="K265" s="10">
        <f t="shared" si="133"/>
        <v>0</v>
      </c>
      <c r="L265" s="22">
        <f t="shared" si="134"/>
        <v>0</v>
      </c>
      <c r="M265" s="10">
        <f t="shared" si="135"/>
        <v>0</v>
      </c>
      <c r="O265" s="30" t="b">
        <f t="shared" si="136"/>
        <v>0</v>
      </c>
      <c r="P265" s="30" t="b">
        <f t="shared" si="137"/>
        <v>1</v>
      </c>
      <c r="Q265" s="30" t="b">
        <f t="shared" si="138"/>
        <v>0</v>
      </c>
      <c r="R265" s="30">
        <f t="shared" si="139"/>
        <v>0</v>
      </c>
      <c r="S265" s="32">
        <f t="shared" si="147"/>
        <v>64182</v>
      </c>
      <c r="Z265" s="10"/>
      <c r="AA265" s="45">
        <f t="shared" si="140"/>
        <v>64182</v>
      </c>
      <c r="AB265" s="3">
        <f t="shared" si="141"/>
        <v>21206</v>
      </c>
      <c r="AC265" s="3">
        <f t="shared" si="163"/>
        <v>58.90555555555556</v>
      </c>
      <c r="AD265" s="3">
        <f t="shared" si="148"/>
        <v>58.916666666666664</v>
      </c>
      <c r="AE265" s="48">
        <f t="shared" si="143"/>
        <v>0</v>
      </c>
      <c r="AF265" s="3">
        <f t="shared" si="164"/>
        <v>0</v>
      </c>
      <c r="AH265" s="4"/>
      <c r="AI265" s="4"/>
      <c r="AN265" s="108">
        <f t="shared" si="145"/>
        <v>0</v>
      </c>
    </row>
    <row r="266" spans="1:40" ht="12.75">
      <c r="A266" s="33">
        <f t="shared" si="165"/>
        <v>236</v>
      </c>
      <c r="B266" s="30">
        <f t="shared" si="166"/>
        <v>12</v>
      </c>
      <c r="C266" s="30">
        <f t="shared" si="150"/>
        <v>20</v>
      </c>
      <c r="D266" s="30">
        <f t="shared" si="167"/>
        <v>2075</v>
      </c>
      <c r="E266" s="133">
        <f t="shared" si="168"/>
        <v>0</v>
      </c>
      <c r="F266" s="1"/>
      <c r="G266" s="133">
        <f t="shared" si="149"/>
        <v>0</v>
      </c>
      <c r="H266" s="133">
        <f t="shared" si="132"/>
        <v>0</v>
      </c>
      <c r="I266" s="30">
        <f t="shared" si="169"/>
        <v>21296</v>
      </c>
      <c r="J266" s="133">
        <f t="shared" si="146"/>
        <v>0</v>
      </c>
      <c r="K266" s="10">
        <f t="shared" si="133"/>
        <v>0</v>
      </c>
      <c r="L266" s="22">
        <f t="shared" si="134"/>
        <v>0</v>
      </c>
      <c r="M266" s="10">
        <f t="shared" si="135"/>
        <v>0</v>
      </c>
      <c r="O266" s="30" t="b">
        <f t="shared" si="136"/>
        <v>1</v>
      </c>
      <c r="P266" s="30" t="b">
        <f t="shared" si="137"/>
        <v>0</v>
      </c>
      <c r="Q266" s="30" t="b">
        <f t="shared" si="138"/>
        <v>0</v>
      </c>
      <c r="R266" s="30">
        <f t="shared" si="139"/>
        <v>0</v>
      </c>
      <c r="S266" s="32">
        <f t="shared" si="147"/>
        <v>64273</v>
      </c>
      <c r="Z266" s="10"/>
      <c r="AA266" s="45">
        <f t="shared" si="140"/>
        <v>64273</v>
      </c>
      <c r="AB266" s="3">
        <f t="shared" si="141"/>
        <v>21296</v>
      </c>
      <c r="AC266" s="3">
        <f t="shared" si="163"/>
        <v>59.15555555555556</v>
      </c>
      <c r="AD266" s="3">
        <f t="shared" si="148"/>
        <v>59.166666666666664</v>
      </c>
      <c r="AE266" s="48">
        <f t="shared" si="143"/>
        <v>0</v>
      </c>
      <c r="AF266" s="3">
        <f t="shared" si="164"/>
        <v>0</v>
      </c>
      <c r="AH266" s="4"/>
      <c r="AI266" s="4"/>
      <c r="AN266" s="108">
        <f t="shared" si="145"/>
        <v>0</v>
      </c>
    </row>
    <row r="267" spans="1:40" ht="12.75">
      <c r="A267" s="33">
        <f t="shared" si="165"/>
        <v>237</v>
      </c>
      <c r="B267" s="30">
        <f t="shared" si="166"/>
        <v>3</v>
      </c>
      <c r="C267" s="30">
        <f t="shared" si="150"/>
        <v>20</v>
      </c>
      <c r="D267" s="30">
        <f t="shared" si="167"/>
        <v>2076</v>
      </c>
      <c r="E267" s="133">
        <f t="shared" si="168"/>
        <v>0</v>
      </c>
      <c r="F267" s="1"/>
      <c r="G267" s="133">
        <f t="shared" si="149"/>
        <v>0</v>
      </c>
      <c r="H267" s="133">
        <f t="shared" si="132"/>
        <v>0</v>
      </c>
      <c r="I267" s="30">
        <f t="shared" si="169"/>
        <v>21386</v>
      </c>
      <c r="J267" s="133">
        <f t="shared" si="146"/>
        <v>0</v>
      </c>
      <c r="K267" s="10">
        <f t="shared" si="133"/>
        <v>0</v>
      </c>
      <c r="L267" s="22">
        <f t="shared" si="134"/>
        <v>0</v>
      </c>
      <c r="M267" s="10">
        <f t="shared" si="135"/>
        <v>0</v>
      </c>
      <c r="O267" s="30" t="b">
        <f t="shared" si="136"/>
        <v>1</v>
      </c>
      <c r="P267" s="30" t="b">
        <f t="shared" si="137"/>
        <v>0</v>
      </c>
      <c r="Q267" s="30" t="b">
        <f t="shared" si="138"/>
        <v>0</v>
      </c>
      <c r="R267" s="30">
        <f t="shared" si="139"/>
        <v>0</v>
      </c>
      <c r="S267" s="32">
        <f t="shared" si="147"/>
        <v>64364</v>
      </c>
      <c r="Z267" s="10"/>
      <c r="AA267" s="45">
        <f t="shared" si="140"/>
        <v>64364</v>
      </c>
      <c r="AB267" s="3">
        <f t="shared" si="141"/>
        <v>21386</v>
      </c>
      <c r="AC267" s="3">
        <f t="shared" si="163"/>
        <v>59.40555555555556</v>
      </c>
      <c r="AD267" s="3">
        <f t="shared" si="148"/>
        <v>59.416666666666664</v>
      </c>
      <c r="AE267" s="48">
        <f t="shared" si="143"/>
        <v>0</v>
      </c>
      <c r="AF267" s="3">
        <f t="shared" si="164"/>
        <v>0</v>
      </c>
      <c r="AH267" s="4"/>
      <c r="AI267" s="4"/>
      <c r="AN267" s="108">
        <f t="shared" si="145"/>
        <v>0</v>
      </c>
    </row>
    <row r="268" spans="1:40" ht="12.75">
      <c r="A268" s="33">
        <f t="shared" si="165"/>
        <v>238</v>
      </c>
      <c r="B268" s="30">
        <f t="shared" si="166"/>
        <v>6</v>
      </c>
      <c r="C268" s="30">
        <f t="shared" si="150"/>
        <v>20</v>
      </c>
      <c r="D268" s="30">
        <f t="shared" si="167"/>
        <v>2076</v>
      </c>
      <c r="E268" s="133">
        <f t="shared" si="168"/>
        <v>0</v>
      </c>
      <c r="F268" s="1"/>
      <c r="G268" s="133">
        <f t="shared" si="149"/>
        <v>0</v>
      </c>
      <c r="H268" s="133">
        <f t="shared" si="132"/>
        <v>0</v>
      </c>
      <c r="I268" s="30">
        <f t="shared" si="169"/>
        <v>21476</v>
      </c>
      <c r="J268" s="133">
        <f t="shared" si="146"/>
        <v>0</v>
      </c>
      <c r="K268" s="10">
        <f t="shared" si="133"/>
        <v>0</v>
      </c>
      <c r="L268" s="22">
        <f t="shared" si="134"/>
        <v>0</v>
      </c>
      <c r="M268" s="10">
        <f t="shared" si="135"/>
        <v>0</v>
      </c>
      <c r="O268" s="30" t="b">
        <f t="shared" si="136"/>
        <v>0</v>
      </c>
      <c r="P268" s="30" t="b">
        <f t="shared" si="137"/>
        <v>1</v>
      </c>
      <c r="Q268" s="30" t="b">
        <f t="shared" si="138"/>
        <v>0</v>
      </c>
      <c r="R268" s="30">
        <f t="shared" si="139"/>
        <v>0</v>
      </c>
      <c r="S268" s="32">
        <f t="shared" si="147"/>
        <v>64456</v>
      </c>
      <c r="Z268" s="10"/>
      <c r="AA268" s="45">
        <f t="shared" si="140"/>
        <v>64456</v>
      </c>
      <c r="AB268" s="3">
        <f t="shared" si="141"/>
        <v>21476</v>
      </c>
      <c r="AC268" s="3">
        <f t="shared" si="163"/>
        <v>59.65555555555556</v>
      </c>
      <c r="AD268" s="3">
        <f t="shared" si="148"/>
        <v>59.666666666666664</v>
      </c>
      <c r="AE268" s="48">
        <f t="shared" si="143"/>
        <v>0</v>
      </c>
      <c r="AF268" s="3">
        <f t="shared" si="164"/>
        <v>0</v>
      </c>
      <c r="AH268" s="4"/>
      <c r="AI268" s="4"/>
      <c r="AN268" s="108">
        <f t="shared" si="145"/>
        <v>0</v>
      </c>
    </row>
    <row r="269" spans="1:40" ht="12.75">
      <c r="A269" s="33">
        <f t="shared" si="165"/>
        <v>239</v>
      </c>
      <c r="B269" s="30">
        <f t="shared" si="166"/>
        <v>9</v>
      </c>
      <c r="C269" s="30">
        <f t="shared" si="150"/>
        <v>20</v>
      </c>
      <c r="D269" s="30">
        <f t="shared" si="167"/>
        <v>2076</v>
      </c>
      <c r="E269" s="133">
        <f t="shared" si="168"/>
        <v>0</v>
      </c>
      <c r="F269" s="1"/>
      <c r="G269" s="133">
        <f t="shared" si="149"/>
        <v>0</v>
      </c>
      <c r="H269" s="133">
        <f t="shared" si="132"/>
        <v>0</v>
      </c>
      <c r="I269" s="30">
        <f t="shared" si="169"/>
        <v>21566</v>
      </c>
      <c r="J269" s="133">
        <f t="shared" si="146"/>
        <v>0</v>
      </c>
      <c r="K269" s="10">
        <f t="shared" si="133"/>
        <v>0</v>
      </c>
      <c r="L269" s="22">
        <f t="shared" si="134"/>
        <v>0</v>
      </c>
      <c r="M269" s="10">
        <f t="shared" si="135"/>
        <v>0</v>
      </c>
      <c r="O269" s="30" t="b">
        <f t="shared" si="136"/>
        <v>0</v>
      </c>
      <c r="P269" s="30" t="b">
        <f t="shared" si="137"/>
        <v>1</v>
      </c>
      <c r="Q269" s="30" t="b">
        <f t="shared" si="138"/>
        <v>0</v>
      </c>
      <c r="R269" s="30">
        <f t="shared" si="139"/>
        <v>0</v>
      </c>
      <c r="S269" s="32">
        <f t="shared" si="147"/>
        <v>64548</v>
      </c>
      <c r="Z269" s="10"/>
      <c r="AA269" s="45">
        <f t="shared" si="140"/>
        <v>64548</v>
      </c>
      <c r="AB269" s="3">
        <f t="shared" si="141"/>
        <v>21566</v>
      </c>
      <c r="AC269" s="3">
        <f t="shared" si="163"/>
        <v>59.90555555555556</v>
      </c>
      <c r="AD269" s="3">
        <f t="shared" si="148"/>
        <v>59.916666666666664</v>
      </c>
      <c r="AE269" s="48">
        <f t="shared" si="143"/>
        <v>0</v>
      </c>
      <c r="AF269" s="3">
        <f t="shared" si="164"/>
        <v>0</v>
      </c>
      <c r="AH269" s="4"/>
      <c r="AI269" s="4"/>
      <c r="AN269" s="108">
        <f t="shared" si="145"/>
        <v>0</v>
      </c>
    </row>
    <row r="270" spans="1:40" ht="12.75">
      <c r="A270" s="33">
        <f t="shared" si="165"/>
        <v>240</v>
      </c>
      <c r="B270" s="30">
        <f t="shared" si="166"/>
        <v>12</v>
      </c>
      <c r="C270" s="30">
        <f t="shared" si="150"/>
        <v>20</v>
      </c>
      <c r="D270" s="30">
        <f t="shared" si="167"/>
        <v>2076</v>
      </c>
      <c r="E270" s="133">
        <f t="shared" si="168"/>
        <v>0</v>
      </c>
      <c r="F270" s="1"/>
      <c r="G270" s="133">
        <f t="shared" si="149"/>
        <v>0</v>
      </c>
      <c r="H270" s="133">
        <f t="shared" si="132"/>
        <v>0</v>
      </c>
      <c r="I270" s="30">
        <f t="shared" si="169"/>
        <v>21656</v>
      </c>
      <c r="J270" s="133">
        <f t="shared" si="146"/>
        <v>0</v>
      </c>
      <c r="K270" s="10">
        <f t="shared" si="133"/>
        <v>0</v>
      </c>
      <c r="L270" s="22">
        <f t="shared" si="134"/>
        <v>0</v>
      </c>
      <c r="M270" s="10">
        <f t="shared" si="135"/>
        <v>0</v>
      </c>
      <c r="O270" s="30" t="b">
        <f t="shared" si="136"/>
        <v>1</v>
      </c>
      <c r="P270" s="30" t="b">
        <f t="shared" si="137"/>
        <v>0</v>
      </c>
      <c r="Q270" s="30" t="b">
        <f t="shared" si="138"/>
        <v>0</v>
      </c>
      <c r="R270" s="30">
        <f t="shared" si="139"/>
        <v>0</v>
      </c>
      <c r="S270" s="32">
        <f t="shared" si="147"/>
        <v>64639</v>
      </c>
      <c r="Z270" s="10"/>
      <c r="AA270" s="45">
        <f t="shared" si="140"/>
        <v>64639</v>
      </c>
      <c r="AB270" s="3">
        <f t="shared" si="141"/>
        <v>21656</v>
      </c>
      <c r="AC270" s="3">
        <f aca="true" t="shared" si="170" ref="AC270:AC285">AB270/360</f>
        <v>60.15555555555556</v>
      </c>
      <c r="AD270" s="3">
        <f t="shared" si="148"/>
        <v>60.166666666666664</v>
      </c>
      <c r="AE270" s="48">
        <f t="shared" si="143"/>
        <v>0</v>
      </c>
      <c r="AF270" s="3">
        <f aca="true" t="shared" si="171" ref="AF270:AF285">AE270*AD270</f>
        <v>0</v>
      </c>
      <c r="AH270" s="4"/>
      <c r="AI270" s="4"/>
      <c r="AN270" s="108">
        <f t="shared" si="145"/>
        <v>0</v>
      </c>
    </row>
    <row r="271" spans="1:40" ht="12.75">
      <c r="A271" s="33">
        <f t="shared" si="165"/>
        <v>241</v>
      </c>
      <c r="B271" s="30">
        <f t="shared" si="166"/>
        <v>3</v>
      </c>
      <c r="C271" s="30">
        <f t="shared" si="150"/>
        <v>20</v>
      </c>
      <c r="D271" s="30">
        <f t="shared" si="167"/>
        <v>2077</v>
      </c>
      <c r="E271" s="133">
        <f t="shared" si="168"/>
        <v>0</v>
      </c>
      <c r="F271" s="1"/>
      <c r="G271" s="133">
        <f t="shared" si="149"/>
        <v>0</v>
      </c>
      <c r="H271" s="133">
        <f t="shared" si="132"/>
        <v>0</v>
      </c>
      <c r="I271" s="30">
        <f t="shared" si="169"/>
        <v>21746</v>
      </c>
      <c r="J271" s="133">
        <f t="shared" si="146"/>
        <v>0</v>
      </c>
      <c r="K271" s="10">
        <f t="shared" si="133"/>
        <v>0</v>
      </c>
      <c r="L271" s="22">
        <f t="shared" si="134"/>
        <v>0</v>
      </c>
      <c r="M271" s="10">
        <f t="shared" si="135"/>
        <v>0</v>
      </c>
      <c r="O271" s="30" t="b">
        <f t="shared" si="136"/>
        <v>1</v>
      </c>
      <c r="P271" s="30" t="b">
        <f t="shared" si="137"/>
        <v>0</v>
      </c>
      <c r="Q271" s="30" t="b">
        <f t="shared" si="138"/>
        <v>0</v>
      </c>
      <c r="R271" s="30">
        <f t="shared" si="139"/>
        <v>0</v>
      </c>
      <c r="S271" s="32">
        <f t="shared" si="147"/>
        <v>64729</v>
      </c>
      <c r="Z271" s="10"/>
      <c r="AA271" s="45">
        <f t="shared" si="140"/>
        <v>64729</v>
      </c>
      <c r="AB271" s="3">
        <f t="shared" si="141"/>
        <v>21746</v>
      </c>
      <c r="AC271" s="3">
        <f t="shared" si="170"/>
        <v>60.40555555555556</v>
      </c>
      <c r="AD271" s="3">
        <f t="shared" si="148"/>
        <v>60.416666666666664</v>
      </c>
      <c r="AE271" s="48">
        <f t="shared" si="143"/>
        <v>0</v>
      </c>
      <c r="AF271" s="3">
        <f t="shared" si="171"/>
        <v>0</v>
      </c>
      <c r="AH271" s="4"/>
      <c r="AI271" s="4"/>
      <c r="AN271" s="108">
        <f t="shared" si="145"/>
        <v>0</v>
      </c>
    </row>
    <row r="272" spans="1:40" ht="12.75">
      <c r="A272" s="33">
        <f t="shared" si="165"/>
        <v>242</v>
      </c>
      <c r="B272" s="30">
        <f t="shared" si="166"/>
        <v>6</v>
      </c>
      <c r="C272" s="30">
        <f t="shared" si="150"/>
        <v>20</v>
      </c>
      <c r="D272" s="30">
        <f t="shared" si="167"/>
        <v>2077</v>
      </c>
      <c r="E272" s="133">
        <f t="shared" si="168"/>
        <v>0</v>
      </c>
      <c r="F272" s="1"/>
      <c r="G272" s="133">
        <f t="shared" si="149"/>
        <v>0</v>
      </c>
      <c r="H272" s="133">
        <f t="shared" si="132"/>
        <v>0</v>
      </c>
      <c r="I272" s="30">
        <f t="shared" si="169"/>
        <v>21836</v>
      </c>
      <c r="J272" s="133">
        <f t="shared" si="146"/>
        <v>0</v>
      </c>
      <c r="K272" s="10">
        <f t="shared" si="133"/>
        <v>0</v>
      </c>
      <c r="L272" s="22">
        <f t="shared" si="134"/>
        <v>0</v>
      </c>
      <c r="M272" s="10">
        <f t="shared" si="135"/>
        <v>0</v>
      </c>
      <c r="O272" s="30" t="b">
        <f t="shared" si="136"/>
        <v>0</v>
      </c>
      <c r="P272" s="30" t="b">
        <f t="shared" si="137"/>
        <v>1</v>
      </c>
      <c r="Q272" s="30" t="b">
        <f t="shared" si="138"/>
        <v>0</v>
      </c>
      <c r="R272" s="30">
        <f t="shared" si="139"/>
        <v>0</v>
      </c>
      <c r="S272" s="32">
        <f t="shared" si="147"/>
        <v>64821</v>
      </c>
      <c r="Z272" s="10"/>
      <c r="AA272" s="45">
        <f t="shared" si="140"/>
        <v>64821</v>
      </c>
      <c r="AB272" s="3">
        <f t="shared" si="141"/>
        <v>21836</v>
      </c>
      <c r="AC272" s="3">
        <f t="shared" si="170"/>
        <v>60.65555555555556</v>
      </c>
      <c r="AD272" s="3">
        <f t="shared" si="148"/>
        <v>60.666666666666664</v>
      </c>
      <c r="AE272" s="48">
        <f t="shared" si="143"/>
        <v>0</v>
      </c>
      <c r="AF272" s="3">
        <f t="shared" si="171"/>
        <v>0</v>
      </c>
      <c r="AH272" s="4"/>
      <c r="AI272" s="4"/>
      <c r="AN272" s="108">
        <f t="shared" si="145"/>
        <v>0</v>
      </c>
    </row>
    <row r="273" spans="1:40" ht="12.75">
      <c r="A273" s="33">
        <f t="shared" si="165"/>
        <v>243</v>
      </c>
      <c r="B273" s="30">
        <f t="shared" si="166"/>
        <v>9</v>
      </c>
      <c r="C273" s="30">
        <f t="shared" si="150"/>
        <v>20</v>
      </c>
      <c r="D273" s="30">
        <f t="shared" si="167"/>
        <v>2077</v>
      </c>
      <c r="E273" s="133">
        <f t="shared" si="168"/>
        <v>0</v>
      </c>
      <c r="F273" s="1"/>
      <c r="G273" s="133">
        <f t="shared" si="149"/>
        <v>0</v>
      </c>
      <c r="H273" s="133">
        <f t="shared" si="132"/>
        <v>0</v>
      </c>
      <c r="I273" s="30">
        <f t="shared" si="169"/>
        <v>21926</v>
      </c>
      <c r="J273" s="133">
        <f t="shared" si="146"/>
        <v>0</v>
      </c>
      <c r="K273" s="10">
        <f t="shared" si="133"/>
        <v>0</v>
      </c>
      <c r="L273" s="22">
        <f t="shared" si="134"/>
        <v>0</v>
      </c>
      <c r="M273" s="10">
        <f t="shared" si="135"/>
        <v>0</v>
      </c>
      <c r="O273" s="30" t="b">
        <f t="shared" si="136"/>
        <v>0</v>
      </c>
      <c r="P273" s="30" t="b">
        <f t="shared" si="137"/>
        <v>1</v>
      </c>
      <c r="Q273" s="30" t="b">
        <f t="shared" si="138"/>
        <v>0</v>
      </c>
      <c r="R273" s="30">
        <f t="shared" si="139"/>
        <v>0</v>
      </c>
      <c r="S273" s="32">
        <f t="shared" si="147"/>
        <v>64913</v>
      </c>
      <c r="Z273" s="10"/>
      <c r="AA273" s="45">
        <f t="shared" si="140"/>
        <v>64913</v>
      </c>
      <c r="AB273" s="3">
        <f t="shared" si="141"/>
        <v>21926</v>
      </c>
      <c r="AC273" s="3">
        <f t="shared" si="170"/>
        <v>60.90555555555556</v>
      </c>
      <c r="AD273" s="3">
        <f t="shared" si="148"/>
        <v>60.916666666666664</v>
      </c>
      <c r="AE273" s="48">
        <f t="shared" si="143"/>
        <v>0</v>
      </c>
      <c r="AF273" s="3">
        <f t="shared" si="171"/>
        <v>0</v>
      </c>
      <c r="AH273" s="4"/>
      <c r="AI273" s="4"/>
      <c r="AN273" s="108">
        <f t="shared" si="145"/>
        <v>0</v>
      </c>
    </row>
    <row r="274" spans="1:40" ht="12.75">
      <c r="A274" s="33">
        <f t="shared" si="165"/>
        <v>244</v>
      </c>
      <c r="B274" s="30">
        <f t="shared" si="166"/>
        <v>12</v>
      </c>
      <c r="C274" s="30">
        <f t="shared" si="150"/>
        <v>20</v>
      </c>
      <c r="D274" s="30">
        <f t="shared" si="167"/>
        <v>2077</v>
      </c>
      <c r="E274" s="133">
        <f t="shared" si="168"/>
        <v>0</v>
      </c>
      <c r="F274" s="1"/>
      <c r="G274" s="133">
        <f t="shared" si="149"/>
        <v>0</v>
      </c>
      <c r="H274" s="133">
        <f t="shared" si="132"/>
        <v>0</v>
      </c>
      <c r="I274" s="30">
        <f t="shared" si="169"/>
        <v>22016</v>
      </c>
      <c r="J274" s="133">
        <f t="shared" si="146"/>
        <v>0</v>
      </c>
      <c r="K274" s="10">
        <f t="shared" si="133"/>
        <v>0</v>
      </c>
      <c r="L274" s="22">
        <f t="shared" si="134"/>
        <v>0</v>
      </c>
      <c r="M274" s="10">
        <f t="shared" si="135"/>
        <v>0</v>
      </c>
      <c r="O274" s="30" t="b">
        <f t="shared" si="136"/>
        <v>1</v>
      </c>
      <c r="P274" s="30" t="b">
        <f t="shared" si="137"/>
        <v>0</v>
      </c>
      <c r="Q274" s="30" t="b">
        <f t="shared" si="138"/>
        <v>0</v>
      </c>
      <c r="R274" s="30">
        <f t="shared" si="139"/>
        <v>0</v>
      </c>
      <c r="S274" s="32">
        <f t="shared" si="147"/>
        <v>65004</v>
      </c>
      <c r="Z274" s="10"/>
      <c r="AA274" s="45">
        <f t="shared" si="140"/>
        <v>65004</v>
      </c>
      <c r="AB274" s="3">
        <f t="shared" si="141"/>
        <v>22016</v>
      </c>
      <c r="AC274" s="3">
        <f t="shared" si="170"/>
        <v>61.15555555555556</v>
      </c>
      <c r="AD274" s="3">
        <f t="shared" si="148"/>
        <v>61.166666666666664</v>
      </c>
      <c r="AE274" s="48">
        <f t="shared" si="143"/>
        <v>0</v>
      </c>
      <c r="AF274" s="3">
        <f t="shared" si="171"/>
        <v>0</v>
      </c>
      <c r="AH274" s="4"/>
      <c r="AI274" s="4"/>
      <c r="AN274" s="108">
        <f t="shared" si="145"/>
        <v>0</v>
      </c>
    </row>
    <row r="275" spans="1:40" ht="12.75">
      <c r="A275" s="33">
        <f t="shared" si="165"/>
        <v>245</v>
      </c>
      <c r="B275" s="30">
        <f t="shared" si="166"/>
        <v>3</v>
      </c>
      <c r="C275" s="30">
        <f t="shared" si="150"/>
        <v>20</v>
      </c>
      <c r="D275" s="30">
        <f t="shared" si="167"/>
        <v>2078</v>
      </c>
      <c r="E275" s="133">
        <f t="shared" si="168"/>
        <v>0</v>
      </c>
      <c r="F275" s="1"/>
      <c r="G275" s="133">
        <f t="shared" si="149"/>
        <v>0</v>
      </c>
      <c r="H275" s="133">
        <f t="shared" si="132"/>
        <v>0</v>
      </c>
      <c r="I275" s="30">
        <f t="shared" si="169"/>
        <v>22106</v>
      </c>
      <c r="J275" s="133">
        <f t="shared" si="146"/>
        <v>0</v>
      </c>
      <c r="K275" s="10">
        <f t="shared" si="133"/>
        <v>0</v>
      </c>
      <c r="L275" s="22">
        <f t="shared" si="134"/>
        <v>0</v>
      </c>
      <c r="M275" s="10">
        <f t="shared" si="135"/>
        <v>0</v>
      </c>
      <c r="O275" s="30" t="b">
        <f t="shared" si="136"/>
        <v>1</v>
      </c>
      <c r="P275" s="30" t="b">
        <f t="shared" si="137"/>
        <v>0</v>
      </c>
      <c r="Q275" s="30" t="b">
        <f t="shared" si="138"/>
        <v>0</v>
      </c>
      <c r="R275" s="30">
        <f t="shared" si="139"/>
        <v>0</v>
      </c>
      <c r="S275" s="32">
        <f t="shared" si="147"/>
        <v>65094</v>
      </c>
      <c r="Z275" s="10"/>
      <c r="AA275" s="45">
        <f t="shared" si="140"/>
        <v>65094</v>
      </c>
      <c r="AB275" s="3">
        <f t="shared" si="141"/>
        <v>22106</v>
      </c>
      <c r="AC275" s="3">
        <f t="shared" si="170"/>
        <v>61.40555555555556</v>
      </c>
      <c r="AD275" s="3">
        <f t="shared" si="148"/>
        <v>61.416666666666664</v>
      </c>
      <c r="AE275" s="48">
        <f t="shared" si="143"/>
        <v>0</v>
      </c>
      <c r="AF275" s="3">
        <f t="shared" si="171"/>
        <v>0</v>
      </c>
      <c r="AH275" s="4"/>
      <c r="AI275" s="4"/>
      <c r="AN275" s="108">
        <f t="shared" si="145"/>
        <v>0</v>
      </c>
    </row>
    <row r="276" spans="1:40" ht="12.75">
      <c r="A276" s="33">
        <f t="shared" si="165"/>
        <v>246</v>
      </c>
      <c r="B276" s="30">
        <f t="shared" si="166"/>
        <v>6</v>
      </c>
      <c r="C276" s="30">
        <f t="shared" si="150"/>
        <v>20</v>
      </c>
      <c r="D276" s="30">
        <f t="shared" si="167"/>
        <v>2078</v>
      </c>
      <c r="E276" s="133">
        <f t="shared" si="168"/>
        <v>0</v>
      </c>
      <c r="F276" s="1"/>
      <c r="G276" s="133">
        <f t="shared" si="149"/>
        <v>0</v>
      </c>
      <c r="H276" s="133">
        <f t="shared" si="132"/>
        <v>0</v>
      </c>
      <c r="I276" s="30">
        <f t="shared" si="169"/>
        <v>22196</v>
      </c>
      <c r="J276" s="133">
        <f t="shared" si="146"/>
        <v>0</v>
      </c>
      <c r="K276" s="10">
        <f t="shared" si="133"/>
        <v>0</v>
      </c>
      <c r="L276" s="22">
        <f t="shared" si="134"/>
        <v>0</v>
      </c>
      <c r="M276" s="10">
        <f t="shared" si="135"/>
        <v>0</v>
      </c>
      <c r="O276" s="30" t="b">
        <f t="shared" si="136"/>
        <v>0</v>
      </c>
      <c r="P276" s="30" t="b">
        <f t="shared" si="137"/>
        <v>1</v>
      </c>
      <c r="Q276" s="30" t="b">
        <f t="shared" si="138"/>
        <v>0</v>
      </c>
      <c r="R276" s="30">
        <f t="shared" si="139"/>
        <v>0</v>
      </c>
      <c r="S276" s="32">
        <f t="shared" si="147"/>
        <v>65186</v>
      </c>
      <c r="Z276" s="10"/>
      <c r="AA276" s="45">
        <f t="shared" si="140"/>
        <v>65186</v>
      </c>
      <c r="AB276" s="3">
        <f t="shared" si="141"/>
        <v>22196</v>
      </c>
      <c r="AC276" s="3">
        <f t="shared" si="170"/>
        <v>61.65555555555556</v>
      </c>
      <c r="AD276" s="3">
        <f t="shared" si="148"/>
        <v>61.666666666666664</v>
      </c>
      <c r="AE276" s="48">
        <f t="shared" si="143"/>
        <v>0</v>
      </c>
      <c r="AF276" s="3">
        <f t="shared" si="171"/>
        <v>0</v>
      </c>
      <c r="AH276" s="4"/>
      <c r="AI276" s="4"/>
      <c r="AN276" s="108">
        <f t="shared" si="145"/>
        <v>0</v>
      </c>
    </row>
    <row r="277" spans="1:40" ht="12.75">
      <c r="A277" s="33">
        <f t="shared" si="165"/>
        <v>247</v>
      </c>
      <c r="B277" s="30">
        <f t="shared" si="166"/>
        <v>9</v>
      </c>
      <c r="C277" s="30">
        <f t="shared" si="150"/>
        <v>20</v>
      </c>
      <c r="D277" s="30">
        <f t="shared" si="167"/>
        <v>2078</v>
      </c>
      <c r="E277" s="133">
        <f t="shared" si="168"/>
        <v>0</v>
      </c>
      <c r="F277" s="1"/>
      <c r="G277" s="133">
        <f t="shared" si="149"/>
        <v>0</v>
      </c>
      <c r="H277" s="133">
        <f t="shared" si="132"/>
        <v>0</v>
      </c>
      <c r="I277" s="30">
        <f t="shared" si="169"/>
        <v>22286</v>
      </c>
      <c r="J277" s="133">
        <f t="shared" si="146"/>
        <v>0</v>
      </c>
      <c r="K277" s="10">
        <f t="shared" si="133"/>
        <v>0</v>
      </c>
      <c r="L277" s="22">
        <f t="shared" si="134"/>
        <v>0</v>
      </c>
      <c r="M277" s="10">
        <f t="shared" si="135"/>
        <v>0</v>
      </c>
      <c r="O277" s="30" t="b">
        <f t="shared" si="136"/>
        <v>0</v>
      </c>
      <c r="P277" s="30" t="b">
        <f t="shared" si="137"/>
        <v>1</v>
      </c>
      <c r="Q277" s="30" t="b">
        <f t="shared" si="138"/>
        <v>0</v>
      </c>
      <c r="R277" s="30">
        <f t="shared" si="139"/>
        <v>0</v>
      </c>
      <c r="S277" s="32">
        <f t="shared" si="147"/>
        <v>65278</v>
      </c>
      <c r="Z277" s="10"/>
      <c r="AA277" s="45">
        <f t="shared" si="140"/>
        <v>65278</v>
      </c>
      <c r="AB277" s="3">
        <f t="shared" si="141"/>
        <v>22286</v>
      </c>
      <c r="AC277" s="3">
        <f t="shared" si="170"/>
        <v>61.90555555555556</v>
      </c>
      <c r="AD277" s="3">
        <f t="shared" si="148"/>
        <v>61.916666666666664</v>
      </c>
      <c r="AE277" s="48">
        <f t="shared" si="143"/>
        <v>0</v>
      </c>
      <c r="AF277" s="3">
        <f t="shared" si="171"/>
        <v>0</v>
      </c>
      <c r="AH277" s="4"/>
      <c r="AI277" s="4"/>
      <c r="AN277" s="108">
        <f t="shared" si="145"/>
        <v>0</v>
      </c>
    </row>
    <row r="278" spans="1:40" ht="12.75">
      <c r="A278" s="33">
        <f t="shared" si="165"/>
        <v>248</v>
      </c>
      <c r="B278" s="30">
        <f t="shared" si="166"/>
        <v>12</v>
      </c>
      <c r="C278" s="30">
        <f t="shared" si="150"/>
        <v>20</v>
      </c>
      <c r="D278" s="30">
        <f t="shared" si="167"/>
        <v>2078</v>
      </c>
      <c r="E278" s="133">
        <f t="shared" si="168"/>
        <v>0</v>
      </c>
      <c r="F278" s="1"/>
      <c r="G278" s="133">
        <f t="shared" si="149"/>
        <v>0</v>
      </c>
      <c r="H278" s="133">
        <f t="shared" si="132"/>
        <v>0</v>
      </c>
      <c r="I278" s="30">
        <f t="shared" si="169"/>
        <v>22376</v>
      </c>
      <c r="J278" s="133">
        <f t="shared" si="146"/>
        <v>0</v>
      </c>
      <c r="K278" s="10">
        <f t="shared" si="133"/>
        <v>0</v>
      </c>
      <c r="L278" s="22">
        <f t="shared" si="134"/>
        <v>0</v>
      </c>
      <c r="M278" s="10">
        <f t="shared" si="135"/>
        <v>0</v>
      </c>
      <c r="O278" s="30" t="b">
        <f t="shared" si="136"/>
        <v>1</v>
      </c>
      <c r="P278" s="30" t="b">
        <f t="shared" si="137"/>
        <v>0</v>
      </c>
      <c r="Q278" s="30" t="b">
        <f t="shared" si="138"/>
        <v>0</v>
      </c>
      <c r="R278" s="30">
        <f t="shared" si="139"/>
        <v>0</v>
      </c>
      <c r="S278" s="32">
        <f t="shared" si="147"/>
        <v>65369</v>
      </c>
      <c r="Z278" s="10"/>
      <c r="AA278" s="45">
        <f t="shared" si="140"/>
        <v>65369</v>
      </c>
      <c r="AB278" s="3">
        <f t="shared" si="141"/>
        <v>22376</v>
      </c>
      <c r="AC278" s="3">
        <f t="shared" si="170"/>
        <v>62.15555555555556</v>
      </c>
      <c r="AD278" s="3">
        <f t="shared" si="148"/>
        <v>62.166666666666664</v>
      </c>
      <c r="AE278" s="48">
        <f t="shared" si="143"/>
        <v>0</v>
      </c>
      <c r="AF278" s="3">
        <f t="shared" si="171"/>
        <v>0</v>
      </c>
      <c r="AH278" s="4"/>
      <c r="AI278" s="4"/>
      <c r="AN278" s="108">
        <f t="shared" si="145"/>
        <v>0</v>
      </c>
    </row>
    <row r="279" spans="1:40" ht="12.75">
      <c r="A279" s="33">
        <f aca="true" t="shared" si="172" ref="A279:A294">A278+1</f>
        <v>249</v>
      </c>
      <c r="B279" s="30">
        <f aca="true" t="shared" si="173" ref="B279:B294">IF(F$14=12,MOD(B278,12)+1,IF(F$14=4,IF(AND(MOD(B278,12)+3&gt;12,B278=11),2,IF(MOD(B278,12)+3&gt;12,1,MOD(B278,12)+3)),IF(F$14=2,IF((B278+6)&gt;12,(B278+6)-12,MOD(B278,12)+6),+B278)))</f>
        <v>3</v>
      </c>
      <c r="C279" s="30">
        <f t="shared" si="150"/>
        <v>20</v>
      </c>
      <c r="D279" s="30">
        <f aca="true" t="shared" si="174" ref="D279:D294">IF(F$14=1,D278+1,IF(AND(F$14=2,B279&lt;B278),D278+1,IF(AND(F$14=4,B279&lt;B278),D278+1,IF(OR(B279=1,B278=12),D278+1,D278))))</f>
        <v>2079</v>
      </c>
      <c r="E279" s="133">
        <f aca="true" t="shared" si="175" ref="E279:E294">ROUND(IF((+E278-F279)&lt;=-1,#VALUE!,E278-F279),2)</f>
        <v>0</v>
      </c>
      <c r="F279" s="1"/>
      <c r="G279" s="133">
        <f t="shared" si="149"/>
        <v>0</v>
      </c>
      <c r="H279" s="133">
        <f t="shared" si="132"/>
        <v>0</v>
      </c>
      <c r="I279" s="30">
        <f aca="true" t="shared" si="176" ref="I279:I294">I278+(360/$F$14)</f>
        <v>22466</v>
      </c>
      <c r="J279" s="133">
        <f t="shared" si="146"/>
        <v>0</v>
      </c>
      <c r="K279" s="10">
        <f t="shared" si="133"/>
        <v>0</v>
      </c>
      <c r="L279" s="22">
        <f t="shared" si="134"/>
        <v>0</v>
      </c>
      <c r="M279" s="10">
        <f t="shared" si="135"/>
        <v>0</v>
      </c>
      <c r="O279" s="30" t="b">
        <f t="shared" si="136"/>
        <v>1</v>
      </c>
      <c r="P279" s="30" t="b">
        <f t="shared" si="137"/>
        <v>0</v>
      </c>
      <c r="Q279" s="30" t="b">
        <f t="shared" si="138"/>
        <v>0</v>
      </c>
      <c r="R279" s="30">
        <f t="shared" si="139"/>
        <v>0</v>
      </c>
      <c r="S279" s="32">
        <f t="shared" si="147"/>
        <v>0</v>
      </c>
      <c r="Z279" s="10"/>
      <c r="AA279" s="45">
        <f t="shared" si="140"/>
        <v>0</v>
      </c>
      <c r="AB279" s="3">
        <f t="shared" si="141"/>
        <v>-42054</v>
      </c>
      <c r="AC279" s="3">
        <f t="shared" si="170"/>
        <v>-116.81666666666666</v>
      </c>
      <c r="AD279" s="3">
        <f t="shared" si="148"/>
        <v>62.416666666666664</v>
      </c>
      <c r="AE279" s="48">
        <f t="shared" si="143"/>
        <v>0</v>
      </c>
      <c r="AF279" s="3">
        <f t="shared" si="171"/>
        <v>0</v>
      </c>
      <c r="AH279" s="4"/>
      <c r="AI279" s="4"/>
      <c r="AN279" s="108">
        <f t="shared" si="145"/>
        <v>0</v>
      </c>
    </row>
    <row r="280" spans="1:40" ht="12.75">
      <c r="A280" s="33">
        <f t="shared" si="172"/>
        <v>250</v>
      </c>
      <c r="B280" s="30">
        <f t="shared" si="173"/>
        <v>6</v>
      </c>
      <c r="C280" s="30">
        <f t="shared" si="150"/>
        <v>20</v>
      </c>
      <c r="D280" s="30">
        <f t="shared" si="174"/>
        <v>2079</v>
      </c>
      <c r="E280" s="133">
        <f t="shared" si="175"/>
        <v>0</v>
      </c>
      <c r="F280" s="1"/>
      <c r="G280" s="133">
        <f t="shared" si="149"/>
        <v>0</v>
      </c>
      <c r="H280" s="133">
        <f t="shared" si="132"/>
        <v>0</v>
      </c>
      <c r="I280" s="30">
        <f t="shared" si="176"/>
        <v>22556</v>
      </c>
      <c r="J280" s="133">
        <f t="shared" si="146"/>
        <v>0</v>
      </c>
      <c r="K280" s="10">
        <f t="shared" si="133"/>
        <v>0</v>
      </c>
      <c r="L280" s="22">
        <f t="shared" si="134"/>
        <v>0</v>
      </c>
      <c r="M280" s="10">
        <f t="shared" si="135"/>
        <v>0</v>
      </c>
      <c r="O280" s="30" t="b">
        <f t="shared" si="136"/>
        <v>0</v>
      </c>
      <c r="P280" s="30" t="b">
        <f t="shared" si="137"/>
        <v>1</v>
      </c>
      <c r="Q280" s="30" t="b">
        <f t="shared" si="138"/>
        <v>0</v>
      </c>
      <c r="R280" s="30">
        <f t="shared" si="139"/>
        <v>0</v>
      </c>
      <c r="S280" s="32">
        <f t="shared" si="147"/>
        <v>0</v>
      </c>
      <c r="Z280" s="10"/>
      <c r="AA280" s="45">
        <f t="shared" si="140"/>
        <v>0</v>
      </c>
      <c r="AB280" s="3">
        <f t="shared" si="141"/>
        <v>-42054</v>
      </c>
      <c r="AC280" s="3">
        <f t="shared" si="170"/>
        <v>-116.81666666666666</v>
      </c>
      <c r="AD280" s="3">
        <f t="shared" si="148"/>
        <v>62.666666666666664</v>
      </c>
      <c r="AE280" s="48">
        <f t="shared" si="143"/>
        <v>0</v>
      </c>
      <c r="AF280" s="3">
        <f t="shared" si="171"/>
        <v>0</v>
      </c>
      <c r="AH280" s="4"/>
      <c r="AI280" s="4"/>
      <c r="AN280" s="108">
        <f t="shared" si="145"/>
        <v>0</v>
      </c>
    </row>
    <row r="281" spans="1:40" ht="12.75">
      <c r="A281" s="33">
        <f t="shared" si="172"/>
        <v>251</v>
      </c>
      <c r="B281" s="30">
        <f t="shared" si="173"/>
        <v>9</v>
      </c>
      <c r="C281" s="30">
        <f t="shared" si="150"/>
        <v>20</v>
      </c>
      <c r="D281" s="30">
        <f t="shared" si="174"/>
        <v>2079</v>
      </c>
      <c r="E281" s="133">
        <f t="shared" si="175"/>
        <v>0</v>
      </c>
      <c r="F281" s="1"/>
      <c r="G281" s="133">
        <f t="shared" si="149"/>
        <v>0</v>
      </c>
      <c r="H281" s="133">
        <f t="shared" si="132"/>
        <v>0</v>
      </c>
      <c r="I281" s="30">
        <f t="shared" si="176"/>
        <v>22646</v>
      </c>
      <c r="J281" s="133">
        <f t="shared" si="146"/>
        <v>0</v>
      </c>
      <c r="K281" s="10">
        <f t="shared" si="133"/>
        <v>0</v>
      </c>
      <c r="L281" s="22">
        <f t="shared" si="134"/>
        <v>0</v>
      </c>
      <c r="M281" s="10">
        <f t="shared" si="135"/>
        <v>0</v>
      </c>
      <c r="O281" s="30" t="b">
        <f t="shared" si="136"/>
        <v>0</v>
      </c>
      <c r="P281" s="30" t="b">
        <f t="shared" si="137"/>
        <v>1</v>
      </c>
      <c r="Q281" s="30" t="b">
        <f t="shared" si="138"/>
        <v>0</v>
      </c>
      <c r="R281" s="30">
        <f t="shared" si="139"/>
        <v>0</v>
      </c>
      <c r="S281" s="32">
        <f t="shared" si="147"/>
        <v>0</v>
      </c>
      <c r="Z281" s="10"/>
      <c r="AA281" s="45">
        <f t="shared" si="140"/>
        <v>0</v>
      </c>
      <c r="AB281" s="3">
        <f t="shared" si="141"/>
        <v>-42054</v>
      </c>
      <c r="AC281" s="3">
        <f t="shared" si="170"/>
        <v>-116.81666666666666</v>
      </c>
      <c r="AD281" s="3">
        <f t="shared" si="148"/>
        <v>62.916666666666664</v>
      </c>
      <c r="AE281" s="48">
        <f t="shared" si="143"/>
        <v>0</v>
      </c>
      <c r="AF281" s="3">
        <f t="shared" si="171"/>
        <v>0</v>
      </c>
      <c r="AH281" s="4"/>
      <c r="AI281" s="4"/>
      <c r="AN281" s="108">
        <f t="shared" si="145"/>
        <v>0</v>
      </c>
    </row>
    <row r="282" spans="1:40" ht="12.75">
      <c r="A282" s="33">
        <f t="shared" si="172"/>
        <v>252</v>
      </c>
      <c r="B282" s="30">
        <f t="shared" si="173"/>
        <v>12</v>
      </c>
      <c r="C282" s="30">
        <f t="shared" si="150"/>
        <v>20</v>
      </c>
      <c r="D282" s="30">
        <f t="shared" si="174"/>
        <v>2079</v>
      </c>
      <c r="E282" s="133">
        <f t="shared" si="175"/>
        <v>0</v>
      </c>
      <c r="F282" s="1"/>
      <c r="G282" s="133">
        <f t="shared" si="149"/>
        <v>0</v>
      </c>
      <c r="H282" s="133">
        <f t="shared" si="132"/>
        <v>0</v>
      </c>
      <c r="I282" s="30">
        <f t="shared" si="176"/>
        <v>22736</v>
      </c>
      <c r="J282" s="133">
        <f t="shared" si="146"/>
        <v>0</v>
      </c>
      <c r="K282" s="10">
        <f t="shared" si="133"/>
        <v>0</v>
      </c>
      <c r="L282" s="22">
        <f t="shared" si="134"/>
        <v>0</v>
      </c>
      <c r="M282" s="10">
        <f t="shared" si="135"/>
        <v>0</v>
      </c>
      <c r="O282" s="30" t="b">
        <f t="shared" si="136"/>
        <v>1</v>
      </c>
      <c r="P282" s="30" t="b">
        <f t="shared" si="137"/>
        <v>0</v>
      </c>
      <c r="Q282" s="30" t="b">
        <f t="shared" si="138"/>
        <v>0</v>
      </c>
      <c r="R282" s="30">
        <f t="shared" si="139"/>
        <v>0</v>
      </c>
      <c r="S282" s="32">
        <f t="shared" si="147"/>
        <v>0</v>
      </c>
      <c r="Z282" s="10"/>
      <c r="AA282" s="45">
        <f t="shared" si="140"/>
        <v>0</v>
      </c>
      <c r="AB282" s="3">
        <f t="shared" si="141"/>
        <v>-42054</v>
      </c>
      <c r="AC282" s="3">
        <f t="shared" si="170"/>
        <v>-116.81666666666666</v>
      </c>
      <c r="AD282" s="3">
        <f t="shared" si="148"/>
        <v>63.166666666666664</v>
      </c>
      <c r="AE282" s="48">
        <f t="shared" si="143"/>
        <v>0</v>
      </c>
      <c r="AF282" s="3">
        <f t="shared" si="171"/>
        <v>0</v>
      </c>
      <c r="AH282" s="4"/>
      <c r="AI282" s="4"/>
      <c r="AN282" s="108">
        <f t="shared" si="145"/>
        <v>0</v>
      </c>
    </row>
    <row r="283" spans="1:40" ht="12.75">
      <c r="A283" s="33">
        <f t="shared" si="172"/>
        <v>253</v>
      </c>
      <c r="B283" s="30">
        <f t="shared" si="173"/>
        <v>3</v>
      </c>
      <c r="C283" s="30">
        <f t="shared" si="150"/>
        <v>20</v>
      </c>
      <c r="D283" s="30">
        <f t="shared" si="174"/>
        <v>2080</v>
      </c>
      <c r="E283" s="133">
        <f t="shared" si="175"/>
        <v>0</v>
      </c>
      <c r="F283" s="1"/>
      <c r="G283" s="133">
        <f t="shared" si="149"/>
        <v>0</v>
      </c>
      <c r="H283" s="133">
        <f t="shared" si="132"/>
        <v>0</v>
      </c>
      <c r="I283" s="30">
        <f t="shared" si="176"/>
        <v>22826</v>
      </c>
      <c r="J283" s="133">
        <f t="shared" si="146"/>
        <v>0</v>
      </c>
      <c r="K283" s="10">
        <f t="shared" si="133"/>
        <v>0</v>
      </c>
      <c r="L283" s="22">
        <f t="shared" si="134"/>
        <v>0</v>
      </c>
      <c r="M283" s="10">
        <f t="shared" si="135"/>
        <v>0</v>
      </c>
      <c r="O283" s="30" t="b">
        <f t="shared" si="136"/>
        <v>1</v>
      </c>
      <c r="P283" s="30" t="b">
        <f t="shared" si="137"/>
        <v>0</v>
      </c>
      <c r="Q283" s="30" t="b">
        <f t="shared" si="138"/>
        <v>0</v>
      </c>
      <c r="R283" s="30">
        <f t="shared" si="139"/>
        <v>0</v>
      </c>
      <c r="S283" s="32">
        <f t="shared" si="147"/>
        <v>0</v>
      </c>
      <c r="Z283" s="10"/>
      <c r="AA283" s="45">
        <f t="shared" si="140"/>
        <v>0</v>
      </c>
      <c r="AB283" s="3">
        <f t="shared" si="141"/>
        <v>-42054</v>
      </c>
      <c r="AC283" s="3">
        <f t="shared" si="170"/>
        <v>-116.81666666666666</v>
      </c>
      <c r="AD283" s="3">
        <f t="shared" si="148"/>
        <v>63.416666666666664</v>
      </c>
      <c r="AE283" s="48">
        <f t="shared" si="143"/>
        <v>0</v>
      </c>
      <c r="AF283" s="3">
        <f t="shared" si="171"/>
        <v>0</v>
      </c>
      <c r="AH283" s="4"/>
      <c r="AI283" s="4"/>
      <c r="AN283" s="108">
        <f t="shared" si="145"/>
        <v>0</v>
      </c>
    </row>
    <row r="284" spans="1:40" ht="12.75">
      <c r="A284" s="33">
        <f t="shared" si="172"/>
        <v>254</v>
      </c>
      <c r="B284" s="30">
        <f t="shared" si="173"/>
        <v>6</v>
      </c>
      <c r="C284" s="30">
        <f t="shared" si="150"/>
        <v>20</v>
      </c>
      <c r="D284" s="30">
        <f t="shared" si="174"/>
        <v>2080</v>
      </c>
      <c r="E284" s="133">
        <f t="shared" si="175"/>
        <v>0</v>
      </c>
      <c r="F284" s="1"/>
      <c r="G284" s="133">
        <f t="shared" si="149"/>
        <v>0</v>
      </c>
      <c r="H284" s="133">
        <f t="shared" si="132"/>
        <v>0</v>
      </c>
      <c r="I284" s="30">
        <f t="shared" si="176"/>
        <v>22916</v>
      </c>
      <c r="J284" s="133">
        <f t="shared" si="146"/>
        <v>0</v>
      </c>
      <c r="K284" s="10">
        <f t="shared" si="133"/>
        <v>0</v>
      </c>
      <c r="L284" s="22">
        <f t="shared" si="134"/>
        <v>0</v>
      </c>
      <c r="M284" s="10">
        <f t="shared" si="135"/>
        <v>0</v>
      </c>
      <c r="O284" s="30" t="b">
        <f t="shared" si="136"/>
        <v>0</v>
      </c>
      <c r="P284" s="30" t="b">
        <f t="shared" si="137"/>
        <v>1</v>
      </c>
      <c r="Q284" s="30" t="b">
        <f t="shared" si="138"/>
        <v>0</v>
      </c>
      <c r="R284" s="30">
        <f t="shared" si="139"/>
        <v>0</v>
      </c>
      <c r="S284" s="32">
        <f t="shared" si="147"/>
        <v>0</v>
      </c>
      <c r="Z284" s="10"/>
      <c r="AA284" s="45">
        <f t="shared" si="140"/>
        <v>0</v>
      </c>
      <c r="AB284" s="3">
        <f t="shared" si="141"/>
        <v>-42054</v>
      </c>
      <c r="AC284" s="3">
        <f t="shared" si="170"/>
        <v>-116.81666666666666</v>
      </c>
      <c r="AD284" s="3">
        <f t="shared" si="148"/>
        <v>63.666666666666664</v>
      </c>
      <c r="AE284" s="48">
        <f t="shared" si="143"/>
        <v>0</v>
      </c>
      <c r="AF284" s="3">
        <f t="shared" si="171"/>
        <v>0</v>
      </c>
      <c r="AH284" s="4"/>
      <c r="AI284" s="4"/>
      <c r="AN284" s="108">
        <f t="shared" si="145"/>
        <v>0</v>
      </c>
    </row>
    <row r="285" spans="1:40" ht="12.75">
      <c r="A285" s="33">
        <f t="shared" si="172"/>
        <v>255</v>
      </c>
      <c r="B285" s="30">
        <f t="shared" si="173"/>
        <v>9</v>
      </c>
      <c r="C285" s="30">
        <f t="shared" si="150"/>
        <v>20</v>
      </c>
      <c r="D285" s="30">
        <f t="shared" si="174"/>
        <v>2080</v>
      </c>
      <c r="E285" s="133">
        <f t="shared" si="175"/>
        <v>0</v>
      </c>
      <c r="F285" s="1"/>
      <c r="G285" s="133">
        <f t="shared" si="149"/>
        <v>0</v>
      </c>
      <c r="H285" s="133">
        <f t="shared" si="132"/>
        <v>0</v>
      </c>
      <c r="I285" s="30">
        <f t="shared" si="176"/>
        <v>23006</v>
      </c>
      <c r="J285" s="133">
        <f t="shared" si="146"/>
        <v>0</v>
      </c>
      <c r="K285" s="10">
        <f t="shared" si="133"/>
        <v>0</v>
      </c>
      <c r="L285" s="22">
        <f t="shared" si="134"/>
        <v>0</v>
      </c>
      <c r="M285" s="10">
        <f t="shared" si="135"/>
        <v>0</v>
      </c>
      <c r="O285" s="30" t="b">
        <f t="shared" si="136"/>
        <v>0</v>
      </c>
      <c r="P285" s="30" t="b">
        <f t="shared" si="137"/>
        <v>1</v>
      </c>
      <c r="Q285" s="30" t="b">
        <f t="shared" si="138"/>
        <v>0</v>
      </c>
      <c r="R285" s="30">
        <f t="shared" si="139"/>
        <v>0</v>
      </c>
      <c r="S285" s="32">
        <f t="shared" si="147"/>
        <v>0</v>
      </c>
      <c r="Z285" s="10"/>
      <c r="AA285" s="45">
        <f t="shared" si="140"/>
        <v>0</v>
      </c>
      <c r="AB285" s="3">
        <f t="shared" si="141"/>
        <v>-42054</v>
      </c>
      <c r="AC285" s="3">
        <f t="shared" si="170"/>
        <v>-116.81666666666666</v>
      </c>
      <c r="AD285" s="3">
        <f t="shared" si="148"/>
        <v>63.916666666666664</v>
      </c>
      <c r="AE285" s="48">
        <f t="shared" si="143"/>
        <v>0</v>
      </c>
      <c r="AF285" s="3">
        <f t="shared" si="171"/>
        <v>0</v>
      </c>
      <c r="AH285" s="4"/>
      <c r="AI285" s="4"/>
      <c r="AN285" s="108">
        <f t="shared" si="145"/>
        <v>0</v>
      </c>
    </row>
    <row r="286" spans="1:40" ht="12.75">
      <c r="A286" s="33">
        <f t="shared" si="172"/>
        <v>256</v>
      </c>
      <c r="B286" s="30">
        <f t="shared" si="173"/>
        <v>12</v>
      </c>
      <c r="C286" s="30">
        <f t="shared" si="150"/>
        <v>20</v>
      </c>
      <c r="D286" s="30">
        <f t="shared" si="174"/>
        <v>2080</v>
      </c>
      <c r="E286" s="133">
        <f t="shared" si="175"/>
        <v>0</v>
      </c>
      <c r="F286" s="1"/>
      <c r="G286" s="133">
        <f t="shared" si="149"/>
        <v>0</v>
      </c>
      <c r="H286" s="133">
        <f aca="true" t="shared" si="177" ref="H286:H349">G286+F286</f>
        <v>0</v>
      </c>
      <c r="I286" s="30">
        <f t="shared" si="176"/>
        <v>23096</v>
      </c>
      <c r="J286" s="133">
        <f t="shared" si="146"/>
        <v>0</v>
      </c>
      <c r="K286" s="10">
        <f aca="true" t="shared" si="178" ref="K286:K323">F286*((A286/$F$14)+$E$9/IF($M$3,365,360))</f>
        <v>0</v>
      </c>
      <c r="L286" s="22">
        <f aca="true" t="shared" si="179" ref="L286:L349">(H286/((1+$F$15/$F$14)^(A286+($E$7-$E$8)/365*$F$14)))</f>
        <v>0</v>
      </c>
      <c r="M286" s="10">
        <f aca="true" t="shared" si="180" ref="M286:M349">L286*(A286+($E$7-$E$8)/365*$F$14)</f>
        <v>0</v>
      </c>
      <c r="O286" s="30" t="b">
        <f aca="true" t="shared" si="181" ref="O286:O323">(OR(OR(OR(OR(OR(OR(B286=1,B286=3),B286=5),B286=7),B286=8),B286=10),B286=12))</f>
        <v>1</v>
      </c>
      <c r="P286" s="30" t="b">
        <f aca="true" t="shared" si="182" ref="P286:P323">(OR(OR(OR(B286=4,B286=6),B286=9),B286=11))</f>
        <v>0</v>
      </c>
      <c r="Q286" s="30" t="b">
        <f aca="true" t="shared" si="183" ref="Q286:Q323">OR((AND(B286=2,C286=28)),(AND(B286=2,C286=29)))</f>
        <v>0</v>
      </c>
      <c r="R286" s="30">
        <f aca="true" t="shared" si="184" ref="R286:R323">IF(AND(D286/4=(ROUND(D286/4,0)),B286=2),1,0)</f>
        <v>0</v>
      </c>
      <c r="S286" s="32">
        <f t="shared" si="147"/>
        <v>0</v>
      </c>
      <c r="Z286" s="10"/>
      <c r="AA286" s="45">
        <f aca="true" t="shared" si="185" ref="AA286:AA323">S286</f>
        <v>0</v>
      </c>
      <c r="AB286" s="3">
        <f aca="true" t="shared" si="186" ref="AB286:AB323">DAYS360($Z$29,AA286)</f>
        <v>-42054</v>
      </c>
      <c r="AC286" s="3">
        <f aca="true" t="shared" si="187" ref="AC286:AC301">AB286/360</f>
        <v>-116.81666666666666</v>
      </c>
      <c r="AD286" s="3">
        <f t="shared" si="148"/>
        <v>64.16666666666666</v>
      </c>
      <c r="AE286" s="48">
        <f aca="true" t="shared" si="188" ref="AE286:AE323">F286</f>
        <v>0</v>
      </c>
      <c r="AF286" s="3">
        <f aca="true" t="shared" si="189" ref="AF286:AF301">AE286*AD286</f>
        <v>0</v>
      </c>
      <c r="AH286" s="4"/>
      <c r="AI286" s="4"/>
      <c r="AN286" s="108">
        <f aca="true" t="shared" si="190" ref="AN286:AN349">IF($H286=0,0,DATE($D286,$B286,$C286))</f>
        <v>0</v>
      </c>
    </row>
    <row r="287" spans="1:40" ht="12.75">
      <c r="A287" s="33">
        <f t="shared" si="172"/>
        <v>257</v>
      </c>
      <c r="B287" s="30">
        <f t="shared" si="173"/>
        <v>3</v>
      </c>
      <c r="C287" s="30">
        <f t="shared" si="150"/>
        <v>20</v>
      </c>
      <c r="D287" s="30">
        <f t="shared" si="174"/>
        <v>2081</v>
      </c>
      <c r="E287" s="133">
        <f t="shared" si="175"/>
        <v>0</v>
      </c>
      <c r="F287" s="1"/>
      <c r="G287" s="133">
        <f t="shared" si="149"/>
        <v>0</v>
      </c>
      <c r="H287" s="133">
        <f t="shared" si="177"/>
        <v>0</v>
      </c>
      <c r="I287" s="30">
        <f t="shared" si="176"/>
        <v>23186</v>
      </c>
      <c r="J287" s="133">
        <f aca="true" t="shared" si="191" ref="J287:J350">($H287/((1+$F$19/$F$14)^(I287/360*$F$14)))</f>
        <v>0</v>
      </c>
      <c r="K287" s="10">
        <f t="shared" si="178"/>
        <v>0</v>
      </c>
      <c r="L287" s="22">
        <f t="shared" si="179"/>
        <v>0</v>
      </c>
      <c r="M287" s="10">
        <f t="shared" si="180"/>
        <v>0</v>
      </c>
      <c r="O287" s="30" t="b">
        <f t="shared" si="181"/>
        <v>1</v>
      </c>
      <c r="P287" s="30" t="b">
        <f t="shared" si="182"/>
        <v>0</v>
      </c>
      <c r="Q287" s="30" t="b">
        <f t="shared" si="183"/>
        <v>0</v>
      </c>
      <c r="R287" s="30">
        <f t="shared" si="184"/>
        <v>0</v>
      </c>
      <c r="S287" s="32">
        <f aca="true" t="shared" si="192" ref="S287:S323">IF(D287&gt;2078,0,DATE(+D287-1900,+B287,+C287))</f>
        <v>0</v>
      </c>
      <c r="Z287" s="10"/>
      <c r="AA287" s="45">
        <f t="shared" si="185"/>
        <v>0</v>
      </c>
      <c r="AB287" s="3">
        <f t="shared" si="186"/>
        <v>-42054</v>
      </c>
      <c r="AC287" s="3">
        <f t="shared" si="187"/>
        <v>-116.81666666666666</v>
      </c>
      <c r="AD287" s="3">
        <f aca="true" t="shared" si="193" ref="AD287:AD350">AD286+(1/$AD$16)</f>
        <v>64.41666666666666</v>
      </c>
      <c r="AE287" s="48">
        <f t="shared" si="188"/>
        <v>0</v>
      </c>
      <c r="AF287" s="3">
        <f t="shared" si="189"/>
        <v>0</v>
      </c>
      <c r="AH287" s="4"/>
      <c r="AI287" s="4"/>
      <c r="AN287" s="108">
        <f t="shared" si="190"/>
        <v>0</v>
      </c>
    </row>
    <row r="288" spans="1:40" ht="12.75">
      <c r="A288" s="33">
        <f t="shared" si="172"/>
        <v>258</v>
      </c>
      <c r="B288" s="30">
        <f t="shared" si="173"/>
        <v>6</v>
      </c>
      <c r="C288" s="30">
        <f t="shared" si="150"/>
        <v>20</v>
      </c>
      <c r="D288" s="30">
        <f t="shared" si="174"/>
        <v>2081</v>
      </c>
      <c r="E288" s="133">
        <f t="shared" si="175"/>
        <v>0</v>
      </c>
      <c r="F288" s="1"/>
      <c r="G288" s="133">
        <f aca="true" t="shared" si="194" ref="G288:G351">ROUND(IF(D288&gt;2078,0,IF($M$3,E287*(S288-S287)*$F$15/360,IF(AND(Q288&gt;0,OR(F$12="N",F$12="No")),(E287*F$15/F$14),ROUND(E287*$F$15*DAYS360(S287,S288)/360,2)))),2)</f>
        <v>0</v>
      </c>
      <c r="H288" s="133">
        <f t="shared" si="177"/>
        <v>0</v>
      </c>
      <c r="I288" s="30">
        <f t="shared" si="176"/>
        <v>23276</v>
      </c>
      <c r="J288" s="133">
        <f t="shared" si="191"/>
        <v>0</v>
      </c>
      <c r="K288" s="10">
        <f t="shared" si="178"/>
        <v>0</v>
      </c>
      <c r="L288" s="22">
        <f t="shared" si="179"/>
        <v>0</v>
      </c>
      <c r="M288" s="10">
        <f t="shared" si="180"/>
        <v>0</v>
      </c>
      <c r="O288" s="30" t="b">
        <f t="shared" si="181"/>
        <v>0</v>
      </c>
      <c r="P288" s="30" t="b">
        <f t="shared" si="182"/>
        <v>1</v>
      </c>
      <c r="Q288" s="30" t="b">
        <f t="shared" si="183"/>
        <v>0</v>
      </c>
      <c r="R288" s="30">
        <f t="shared" si="184"/>
        <v>0</v>
      </c>
      <c r="S288" s="32">
        <f t="shared" si="192"/>
        <v>0</v>
      </c>
      <c r="Z288" s="10"/>
      <c r="AA288" s="45">
        <f t="shared" si="185"/>
        <v>0</v>
      </c>
      <c r="AB288" s="3">
        <f t="shared" si="186"/>
        <v>-42054</v>
      </c>
      <c r="AC288" s="3">
        <f t="shared" si="187"/>
        <v>-116.81666666666666</v>
      </c>
      <c r="AD288" s="3">
        <f t="shared" si="193"/>
        <v>64.66666666666666</v>
      </c>
      <c r="AE288" s="48">
        <f t="shared" si="188"/>
        <v>0</v>
      </c>
      <c r="AF288" s="3">
        <f t="shared" si="189"/>
        <v>0</v>
      </c>
      <c r="AH288" s="4"/>
      <c r="AI288" s="4"/>
      <c r="AN288" s="108">
        <f t="shared" si="190"/>
        <v>0</v>
      </c>
    </row>
    <row r="289" spans="1:40" ht="12.75">
      <c r="A289" s="33">
        <f t="shared" si="172"/>
        <v>259</v>
      </c>
      <c r="B289" s="30">
        <f t="shared" si="173"/>
        <v>9</v>
      </c>
      <c r="C289" s="30">
        <f t="shared" si="150"/>
        <v>20</v>
      </c>
      <c r="D289" s="30">
        <f t="shared" si="174"/>
        <v>2081</v>
      </c>
      <c r="E289" s="133">
        <f t="shared" si="175"/>
        <v>0</v>
      </c>
      <c r="F289" s="1"/>
      <c r="G289" s="133">
        <f t="shared" si="194"/>
        <v>0</v>
      </c>
      <c r="H289" s="133">
        <f t="shared" si="177"/>
        <v>0</v>
      </c>
      <c r="I289" s="30">
        <f t="shared" si="176"/>
        <v>23366</v>
      </c>
      <c r="J289" s="133">
        <f t="shared" si="191"/>
        <v>0</v>
      </c>
      <c r="K289" s="10">
        <f t="shared" si="178"/>
        <v>0</v>
      </c>
      <c r="L289" s="22">
        <f t="shared" si="179"/>
        <v>0</v>
      </c>
      <c r="M289" s="10">
        <f t="shared" si="180"/>
        <v>0</v>
      </c>
      <c r="O289" s="30" t="b">
        <f t="shared" si="181"/>
        <v>0</v>
      </c>
      <c r="P289" s="30" t="b">
        <f t="shared" si="182"/>
        <v>1</v>
      </c>
      <c r="Q289" s="30" t="b">
        <f t="shared" si="183"/>
        <v>0</v>
      </c>
      <c r="R289" s="30">
        <f t="shared" si="184"/>
        <v>0</v>
      </c>
      <c r="S289" s="32">
        <f t="shared" si="192"/>
        <v>0</v>
      </c>
      <c r="Z289" s="10"/>
      <c r="AA289" s="45">
        <f t="shared" si="185"/>
        <v>0</v>
      </c>
      <c r="AB289" s="3">
        <f t="shared" si="186"/>
        <v>-42054</v>
      </c>
      <c r="AC289" s="3">
        <f t="shared" si="187"/>
        <v>-116.81666666666666</v>
      </c>
      <c r="AD289" s="3">
        <f t="shared" si="193"/>
        <v>64.91666666666666</v>
      </c>
      <c r="AE289" s="48">
        <f t="shared" si="188"/>
        <v>0</v>
      </c>
      <c r="AF289" s="3">
        <f t="shared" si="189"/>
        <v>0</v>
      </c>
      <c r="AH289" s="4"/>
      <c r="AI289" s="4"/>
      <c r="AN289" s="108">
        <f t="shared" si="190"/>
        <v>0</v>
      </c>
    </row>
    <row r="290" spans="1:40" ht="12.75">
      <c r="A290" s="33">
        <f t="shared" si="172"/>
        <v>260</v>
      </c>
      <c r="B290" s="30">
        <f t="shared" si="173"/>
        <v>12</v>
      </c>
      <c r="C290" s="30">
        <f t="shared" si="150"/>
        <v>20</v>
      </c>
      <c r="D290" s="30">
        <f t="shared" si="174"/>
        <v>2081</v>
      </c>
      <c r="E290" s="133">
        <f t="shared" si="175"/>
        <v>0</v>
      </c>
      <c r="F290" s="1"/>
      <c r="G290" s="133">
        <f t="shared" si="194"/>
        <v>0</v>
      </c>
      <c r="H290" s="133">
        <f t="shared" si="177"/>
        <v>0</v>
      </c>
      <c r="I290" s="30">
        <f t="shared" si="176"/>
        <v>23456</v>
      </c>
      <c r="J290" s="133">
        <f t="shared" si="191"/>
        <v>0</v>
      </c>
      <c r="K290" s="10">
        <f t="shared" si="178"/>
        <v>0</v>
      </c>
      <c r="L290" s="22">
        <f t="shared" si="179"/>
        <v>0</v>
      </c>
      <c r="M290" s="10">
        <f t="shared" si="180"/>
        <v>0</v>
      </c>
      <c r="O290" s="30" t="b">
        <f t="shared" si="181"/>
        <v>1</v>
      </c>
      <c r="P290" s="30" t="b">
        <f t="shared" si="182"/>
        <v>0</v>
      </c>
      <c r="Q290" s="30" t="b">
        <f t="shared" si="183"/>
        <v>0</v>
      </c>
      <c r="R290" s="30">
        <f t="shared" si="184"/>
        <v>0</v>
      </c>
      <c r="S290" s="32">
        <f t="shared" si="192"/>
        <v>0</v>
      </c>
      <c r="Z290" s="10"/>
      <c r="AA290" s="45">
        <f t="shared" si="185"/>
        <v>0</v>
      </c>
      <c r="AB290" s="3">
        <f t="shared" si="186"/>
        <v>-42054</v>
      </c>
      <c r="AC290" s="3">
        <f t="shared" si="187"/>
        <v>-116.81666666666666</v>
      </c>
      <c r="AD290" s="3">
        <f t="shared" si="193"/>
        <v>65.16666666666666</v>
      </c>
      <c r="AE290" s="48">
        <f t="shared" si="188"/>
        <v>0</v>
      </c>
      <c r="AF290" s="3">
        <f t="shared" si="189"/>
        <v>0</v>
      </c>
      <c r="AH290" s="4"/>
      <c r="AI290" s="4"/>
      <c r="AN290" s="108">
        <f t="shared" si="190"/>
        <v>0</v>
      </c>
    </row>
    <row r="291" spans="1:40" ht="12.75">
      <c r="A291" s="33">
        <f t="shared" si="172"/>
        <v>261</v>
      </c>
      <c r="B291" s="30">
        <f t="shared" si="173"/>
        <v>3</v>
      </c>
      <c r="C291" s="30">
        <f t="shared" si="150"/>
        <v>20</v>
      </c>
      <c r="D291" s="30">
        <f t="shared" si="174"/>
        <v>2082</v>
      </c>
      <c r="E291" s="133">
        <f t="shared" si="175"/>
        <v>0</v>
      </c>
      <c r="F291" s="1"/>
      <c r="G291" s="133">
        <f t="shared" si="194"/>
        <v>0</v>
      </c>
      <c r="H291" s="133">
        <f t="shared" si="177"/>
        <v>0</v>
      </c>
      <c r="I291" s="30">
        <f t="shared" si="176"/>
        <v>23546</v>
      </c>
      <c r="J291" s="133">
        <f t="shared" si="191"/>
        <v>0</v>
      </c>
      <c r="K291" s="10">
        <f t="shared" si="178"/>
        <v>0</v>
      </c>
      <c r="L291" s="22">
        <f t="shared" si="179"/>
        <v>0</v>
      </c>
      <c r="M291" s="10">
        <f t="shared" si="180"/>
        <v>0</v>
      </c>
      <c r="O291" s="30" t="b">
        <f t="shared" si="181"/>
        <v>1</v>
      </c>
      <c r="P291" s="30" t="b">
        <f t="shared" si="182"/>
        <v>0</v>
      </c>
      <c r="Q291" s="30" t="b">
        <f t="shared" si="183"/>
        <v>0</v>
      </c>
      <c r="R291" s="30">
        <f t="shared" si="184"/>
        <v>0</v>
      </c>
      <c r="S291" s="32">
        <f t="shared" si="192"/>
        <v>0</v>
      </c>
      <c r="Z291" s="10"/>
      <c r="AA291" s="45">
        <f t="shared" si="185"/>
        <v>0</v>
      </c>
      <c r="AB291" s="3">
        <f t="shared" si="186"/>
        <v>-42054</v>
      </c>
      <c r="AC291" s="3">
        <f t="shared" si="187"/>
        <v>-116.81666666666666</v>
      </c>
      <c r="AD291" s="3">
        <f t="shared" si="193"/>
        <v>65.41666666666666</v>
      </c>
      <c r="AE291" s="48">
        <f t="shared" si="188"/>
        <v>0</v>
      </c>
      <c r="AF291" s="3">
        <f t="shared" si="189"/>
        <v>0</v>
      </c>
      <c r="AH291" s="4"/>
      <c r="AI291" s="4"/>
      <c r="AN291" s="108">
        <f t="shared" si="190"/>
        <v>0</v>
      </c>
    </row>
    <row r="292" spans="1:40" ht="12.75">
      <c r="A292" s="33">
        <f t="shared" si="172"/>
        <v>262</v>
      </c>
      <c r="B292" s="30">
        <f t="shared" si="173"/>
        <v>6</v>
      </c>
      <c r="C292" s="30">
        <f t="shared" si="150"/>
        <v>20</v>
      </c>
      <c r="D292" s="30">
        <f t="shared" si="174"/>
        <v>2082</v>
      </c>
      <c r="E292" s="133">
        <f t="shared" si="175"/>
        <v>0</v>
      </c>
      <c r="F292" s="1"/>
      <c r="G292" s="133">
        <f t="shared" si="194"/>
        <v>0</v>
      </c>
      <c r="H292" s="133">
        <f t="shared" si="177"/>
        <v>0</v>
      </c>
      <c r="I292" s="30">
        <f t="shared" si="176"/>
        <v>23636</v>
      </c>
      <c r="J292" s="133">
        <f t="shared" si="191"/>
        <v>0</v>
      </c>
      <c r="K292" s="10">
        <f t="shared" si="178"/>
        <v>0</v>
      </c>
      <c r="L292" s="22">
        <f t="shared" si="179"/>
        <v>0</v>
      </c>
      <c r="M292" s="10">
        <f t="shared" si="180"/>
        <v>0</v>
      </c>
      <c r="O292" s="30" t="b">
        <f t="shared" si="181"/>
        <v>0</v>
      </c>
      <c r="P292" s="30" t="b">
        <f t="shared" si="182"/>
        <v>1</v>
      </c>
      <c r="Q292" s="30" t="b">
        <f t="shared" si="183"/>
        <v>0</v>
      </c>
      <c r="R292" s="30">
        <f t="shared" si="184"/>
        <v>0</v>
      </c>
      <c r="S292" s="32">
        <f t="shared" si="192"/>
        <v>0</v>
      </c>
      <c r="Z292" s="10"/>
      <c r="AA292" s="45">
        <f t="shared" si="185"/>
        <v>0</v>
      </c>
      <c r="AB292" s="3">
        <f t="shared" si="186"/>
        <v>-42054</v>
      </c>
      <c r="AC292" s="3">
        <f t="shared" si="187"/>
        <v>-116.81666666666666</v>
      </c>
      <c r="AD292" s="3">
        <f t="shared" si="193"/>
        <v>65.66666666666666</v>
      </c>
      <c r="AE292" s="48">
        <f t="shared" si="188"/>
        <v>0</v>
      </c>
      <c r="AF292" s="3">
        <f t="shared" si="189"/>
        <v>0</v>
      </c>
      <c r="AH292" s="4"/>
      <c r="AI292" s="4"/>
      <c r="AN292" s="108">
        <f t="shared" si="190"/>
        <v>0</v>
      </c>
    </row>
    <row r="293" spans="1:40" ht="12.75">
      <c r="A293" s="33">
        <f t="shared" si="172"/>
        <v>263</v>
      </c>
      <c r="B293" s="30">
        <f t="shared" si="173"/>
        <v>9</v>
      </c>
      <c r="C293" s="30">
        <f aca="true" t="shared" si="195" ref="C293:C356">IF(AND((OR(C$30=31,Q$30=1)),P293=1),30,IF(AND((OR(C$30=30,Q$30=1)),O293=1),31,IF(AND(AND(C292&gt;29,B293=2),R293=1),29,IF(AND(AND(C292&gt;29,B293=2),R293=0),28,C$30))))</f>
        <v>20</v>
      </c>
      <c r="D293" s="30">
        <f t="shared" si="174"/>
        <v>2082</v>
      </c>
      <c r="E293" s="133">
        <f t="shared" si="175"/>
        <v>0</v>
      </c>
      <c r="F293" s="1"/>
      <c r="G293" s="133">
        <f t="shared" si="194"/>
        <v>0</v>
      </c>
      <c r="H293" s="133">
        <f t="shared" si="177"/>
        <v>0</v>
      </c>
      <c r="I293" s="30">
        <f t="shared" si="176"/>
        <v>23726</v>
      </c>
      <c r="J293" s="133">
        <f t="shared" si="191"/>
        <v>0</v>
      </c>
      <c r="K293" s="10">
        <f t="shared" si="178"/>
        <v>0</v>
      </c>
      <c r="L293" s="22">
        <f t="shared" si="179"/>
        <v>0</v>
      </c>
      <c r="M293" s="10">
        <f t="shared" si="180"/>
        <v>0</v>
      </c>
      <c r="O293" s="30" t="b">
        <f t="shared" si="181"/>
        <v>0</v>
      </c>
      <c r="P293" s="30" t="b">
        <f t="shared" si="182"/>
        <v>1</v>
      </c>
      <c r="Q293" s="30" t="b">
        <f t="shared" si="183"/>
        <v>0</v>
      </c>
      <c r="R293" s="30">
        <f t="shared" si="184"/>
        <v>0</v>
      </c>
      <c r="S293" s="32">
        <f t="shared" si="192"/>
        <v>0</v>
      </c>
      <c r="Z293" s="10"/>
      <c r="AA293" s="45">
        <f t="shared" si="185"/>
        <v>0</v>
      </c>
      <c r="AB293" s="3">
        <f t="shared" si="186"/>
        <v>-42054</v>
      </c>
      <c r="AC293" s="3">
        <f t="shared" si="187"/>
        <v>-116.81666666666666</v>
      </c>
      <c r="AD293" s="3">
        <f t="shared" si="193"/>
        <v>65.91666666666666</v>
      </c>
      <c r="AE293" s="48">
        <f t="shared" si="188"/>
        <v>0</v>
      </c>
      <c r="AF293" s="3">
        <f t="shared" si="189"/>
        <v>0</v>
      </c>
      <c r="AH293" s="4"/>
      <c r="AI293" s="4"/>
      <c r="AN293" s="108">
        <f t="shared" si="190"/>
        <v>0</v>
      </c>
    </row>
    <row r="294" spans="1:40" ht="12.75">
      <c r="A294" s="33">
        <f t="shared" si="172"/>
        <v>264</v>
      </c>
      <c r="B294" s="30">
        <f t="shared" si="173"/>
        <v>12</v>
      </c>
      <c r="C294" s="30">
        <f t="shared" si="195"/>
        <v>20</v>
      </c>
      <c r="D294" s="30">
        <f t="shared" si="174"/>
        <v>2082</v>
      </c>
      <c r="E294" s="133">
        <f t="shared" si="175"/>
        <v>0</v>
      </c>
      <c r="F294" s="1"/>
      <c r="G294" s="133">
        <f t="shared" si="194"/>
        <v>0</v>
      </c>
      <c r="H294" s="133">
        <f t="shared" si="177"/>
        <v>0</v>
      </c>
      <c r="I294" s="30">
        <f t="shared" si="176"/>
        <v>23816</v>
      </c>
      <c r="J294" s="133">
        <f t="shared" si="191"/>
        <v>0</v>
      </c>
      <c r="K294" s="10">
        <f t="shared" si="178"/>
        <v>0</v>
      </c>
      <c r="L294" s="22">
        <f t="shared" si="179"/>
        <v>0</v>
      </c>
      <c r="M294" s="10">
        <f t="shared" si="180"/>
        <v>0</v>
      </c>
      <c r="O294" s="30" t="b">
        <f t="shared" si="181"/>
        <v>1</v>
      </c>
      <c r="P294" s="30" t="b">
        <f t="shared" si="182"/>
        <v>0</v>
      </c>
      <c r="Q294" s="30" t="b">
        <f t="shared" si="183"/>
        <v>0</v>
      </c>
      <c r="R294" s="30">
        <f t="shared" si="184"/>
        <v>0</v>
      </c>
      <c r="S294" s="32">
        <f t="shared" si="192"/>
        <v>0</v>
      </c>
      <c r="Z294" s="10"/>
      <c r="AA294" s="45">
        <f t="shared" si="185"/>
        <v>0</v>
      </c>
      <c r="AB294" s="3">
        <f t="shared" si="186"/>
        <v>-42054</v>
      </c>
      <c r="AC294" s="3">
        <f t="shared" si="187"/>
        <v>-116.81666666666666</v>
      </c>
      <c r="AD294" s="3">
        <f t="shared" si="193"/>
        <v>66.16666666666666</v>
      </c>
      <c r="AE294" s="48">
        <f t="shared" si="188"/>
        <v>0</v>
      </c>
      <c r="AF294" s="3">
        <f t="shared" si="189"/>
        <v>0</v>
      </c>
      <c r="AH294" s="4"/>
      <c r="AI294" s="4"/>
      <c r="AN294" s="108">
        <f t="shared" si="190"/>
        <v>0</v>
      </c>
    </row>
    <row r="295" spans="1:40" ht="12.75">
      <c r="A295" s="33">
        <f aca="true" t="shared" si="196" ref="A295:A310">A294+1</f>
        <v>265</v>
      </c>
      <c r="B295" s="30">
        <f aca="true" t="shared" si="197" ref="B295:B310">IF(F$14=12,MOD(B294,12)+1,IF(F$14=4,IF(AND(MOD(B294,12)+3&gt;12,B294=11),2,IF(MOD(B294,12)+3&gt;12,1,MOD(B294,12)+3)),IF(F$14=2,IF((B294+6)&gt;12,(B294+6)-12,MOD(B294,12)+6),+B294)))</f>
        <v>3</v>
      </c>
      <c r="C295" s="30">
        <f t="shared" si="195"/>
        <v>20</v>
      </c>
      <c r="D295" s="30">
        <f aca="true" t="shared" si="198" ref="D295:D310">IF(F$14=1,D294+1,IF(AND(F$14=2,B295&lt;B294),D294+1,IF(AND(F$14=4,B295&lt;B294),D294+1,IF(OR(B295=1,B294=12),D294+1,D294))))</f>
        <v>2083</v>
      </c>
      <c r="E295" s="133">
        <f aca="true" t="shared" si="199" ref="E295:E310">ROUND(IF((+E294-F295)&lt;=-1,#VALUE!,E294-F295),2)</f>
        <v>0</v>
      </c>
      <c r="F295" s="1"/>
      <c r="G295" s="133">
        <f t="shared" si="194"/>
        <v>0</v>
      </c>
      <c r="H295" s="133">
        <f t="shared" si="177"/>
        <v>0</v>
      </c>
      <c r="I295" s="30">
        <f aca="true" t="shared" si="200" ref="I295:I310">I294+(360/$F$14)</f>
        <v>23906</v>
      </c>
      <c r="J295" s="133">
        <f t="shared" si="191"/>
        <v>0</v>
      </c>
      <c r="K295" s="10">
        <f t="shared" si="178"/>
        <v>0</v>
      </c>
      <c r="L295" s="22">
        <f t="shared" si="179"/>
        <v>0</v>
      </c>
      <c r="M295" s="10">
        <f t="shared" si="180"/>
        <v>0</v>
      </c>
      <c r="O295" s="30" t="b">
        <f t="shared" si="181"/>
        <v>1</v>
      </c>
      <c r="P295" s="30" t="b">
        <f t="shared" si="182"/>
        <v>0</v>
      </c>
      <c r="Q295" s="30" t="b">
        <f t="shared" si="183"/>
        <v>0</v>
      </c>
      <c r="R295" s="30">
        <f t="shared" si="184"/>
        <v>0</v>
      </c>
      <c r="S295" s="32">
        <f t="shared" si="192"/>
        <v>0</v>
      </c>
      <c r="Z295" s="10"/>
      <c r="AA295" s="45">
        <f t="shared" si="185"/>
        <v>0</v>
      </c>
      <c r="AB295" s="3">
        <f t="shared" si="186"/>
        <v>-42054</v>
      </c>
      <c r="AC295" s="3">
        <f t="shared" si="187"/>
        <v>-116.81666666666666</v>
      </c>
      <c r="AD295" s="3">
        <f t="shared" si="193"/>
        <v>66.41666666666666</v>
      </c>
      <c r="AE295" s="48">
        <f t="shared" si="188"/>
        <v>0</v>
      </c>
      <c r="AF295" s="3">
        <f t="shared" si="189"/>
        <v>0</v>
      </c>
      <c r="AH295" s="4"/>
      <c r="AI295" s="4"/>
      <c r="AN295" s="108">
        <f t="shared" si="190"/>
        <v>0</v>
      </c>
    </row>
    <row r="296" spans="1:40" ht="12.75">
      <c r="A296" s="33">
        <f t="shared" si="196"/>
        <v>266</v>
      </c>
      <c r="B296" s="30">
        <f t="shared" si="197"/>
        <v>6</v>
      </c>
      <c r="C296" s="30">
        <f t="shared" si="195"/>
        <v>20</v>
      </c>
      <c r="D296" s="30">
        <f t="shared" si="198"/>
        <v>2083</v>
      </c>
      <c r="E296" s="133">
        <f t="shared" si="199"/>
        <v>0</v>
      </c>
      <c r="F296" s="1"/>
      <c r="G296" s="133">
        <f t="shared" si="194"/>
        <v>0</v>
      </c>
      <c r="H296" s="133">
        <f t="shared" si="177"/>
        <v>0</v>
      </c>
      <c r="I296" s="30">
        <f t="shared" si="200"/>
        <v>23996</v>
      </c>
      <c r="J296" s="133">
        <f t="shared" si="191"/>
        <v>0</v>
      </c>
      <c r="K296" s="10">
        <f t="shared" si="178"/>
        <v>0</v>
      </c>
      <c r="L296" s="22">
        <f t="shared" si="179"/>
        <v>0</v>
      </c>
      <c r="M296" s="10">
        <f t="shared" si="180"/>
        <v>0</v>
      </c>
      <c r="O296" s="30" t="b">
        <f t="shared" si="181"/>
        <v>0</v>
      </c>
      <c r="P296" s="30" t="b">
        <f t="shared" si="182"/>
        <v>1</v>
      </c>
      <c r="Q296" s="30" t="b">
        <f t="shared" si="183"/>
        <v>0</v>
      </c>
      <c r="R296" s="30">
        <f t="shared" si="184"/>
        <v>0</v>
      </c>
      <c r="S296" s="32">
        <f t="shared" si="192"/>
        <v>0</v>
      </c>
      <c r="Z296" s="10"/>
      <c r="AA296" s="45">
        <f t="shared" si="185"/>
        <v>0</v>
      </c>
      <c r="AB296" s="3">
        <f t="shared" si="186"/>
        <v>-42054</v>
      </c>
      <c r="AC296" s="3">
        <f t="shared" si="187"/>
        <v>-116.81666666666666</v>
      </c>
      <c r="AD296" s="3">
        <f t="shared" si="193"/>
        <v>66.66666666666666</v>
      </c>
      <c r="AE296" s="48">
        <f t="shared" si="188"/>
        <v>0</v>
      </c>
      <c r="AF296" s="3">
        <f t="shared" si="189"/>
        <v>0</v>
      </c>
      <c r="AH296" s="4"/>
      <c r="AI296" s="4"/>
      <c r="AN296" s="108">
        <f t="shared" si="190"/>
        <v>0</v>
      </c>
    </row>
    <row r="297" spans="1:40" ht="12.75">
      <c r="A297" s="33">
        <f t="shared" si="196"/>
        <v>267</v>
      </c>
      <c r="B297" s="30">
        <f t="shared" si="197"/>
        <v>9</v>
      </c>
      <c r="C297" s="30">
        <f t="shared" si="195"/>
        <v>20</v>
      </c>
      <c r="D297" s="30">
        <f t="shared" si="198"/>
        <v>2083</v>
      </c>
      <c r="E297" s="133">
        <f t="shared" si="199"/>
        <v>0</v>
      </c>
      <c r="F297" s="1"/>
      <c r="G297" s="133">
        <f t="shared" si="194"/>
        <v>0</v>
      </c>
      <c r="H297" s="133">
        <f t="shared" si="177"/>
        <v>0</v>
      </c>
      <c r="I297" s="30">
        <f t="shared" si="200"/>
        <v>24086</v>
      </c>
      <c r="J297" s="133">
        <f t="shared" si="191"/>
        <v>0</v>
      </c>
      <c r="K297" s="10">
        <f t="shared" si="178"/>
        <v>0</v>
      </c>
      <c r="L297" s="22">
        <f t="shared" si="179"/>
        <v>0</v>
      </c>
      <c r="M297" s="10">
        <f t="shared" si="180"/>
        <v>0</v>
      </c>
      <c r="O297" s="30" t="b">
        <f t="shared" si="181"/>
        <v>0</v>
      </c>
      <c r="P297" s="30" t="b">
        <f t="shared" si="182"/>
        <v>1</v>
      </c>
      <c r="Q297" s="30" t="b">
        <f t="shared" si="183"/>
        <v>0</v>
      </c>
      <c r="R297" s="30">
        <f t="shared" si="184"/>
        <v>0</v>
      </c>
      <c r="S297" s="32">
        <f t="shared" si="192"/>
        <v>0</v>
      </c>
      <c r="Z297" s="10"/>
      <c r="AA297" s="45">
        <f t="shared" si="185"/>
        <v>0</v>
      </c>
      <c r="AB297" s="3">
        <f t="shared" si="186"/>
        <v>-42054</v>
      </c>
      <c r="AC297" s="3">
        <f t="shared" si="187"/>
        <v>-116.81666666666666</v>
      </c>
      <c r="AD297" s="3">
        <f t="shared" si="193"/>
        <v>66.91666666666666</v>
      </c>
      <c r="AE297" s="48">
        <f t="shared" si="188"/>
        <v>0</v>
      </c>
      <c r="AF297" s="3">
        <f t="shared" si="189"/>
        <v>0</v>
      </c>
      <c r="AH297" s="4"/>
      <c r="AI297" s="4"/>
      <c r="AN297" s="108">
        <f t="shared" si="190"/>
        <v>0</v>
      </c>
    </row>
    <row r="298" spans="1:40" ht="12.75">
      <c r="A298" s="33">
        <f t="shared" si="196"/>
        <v>268</v>
      </c>
      <c r="B298" s="30">
        <f t="shared" si="197"/>
        <v>12</v>
      </c>
      <c r="C298" s="30">
        <f t="shared" si="195"/>
        <v>20</v>
      </c>
      <c r="D298" s="30">
        <f t="shared" si="198"/>
        <v>2083</v>
      </c>
      <c r="E298" s="133">
        <f t="shared" si="199"/>
        <v>0</v>
      </c>
      <c r="F298" s="1"/>
      <c r="G298" s="133">
        <f t="shared" si="194"/>
        <v>0</v>
      </c>
      <c r="H298" s="133">
        <f t="shared" si="177"/>
        <v>0</v>
      </c>
      <c r="I298" s="30">
        <f t="shared" si="200"/>
        <v>24176</v>
      </c>
      <c r="J298" s="133">
        <f t="shared" si="191"/>
        <v>0</v>
      </c>
      <c r="K298" s="10">
        <f t="shared" si="178"/>
        <v>0</v>
      </c>
      <c r="L298" s="22">
        <f t="shared" si="179"/>
        <v>0</v>
      </c>
      <c r="M298" s="10">
        <f t="shared" si="180"/>
        <v>0</v>
      </c>
      <c r="O298" s="30" t="b">
        <f t="shared" si="181"/>
        <v>1</v>
      </c>
      <c r="P298" s="30" t="b">
        <f t="shared" si="182"/>
        <v>0</v>
      </c>
      <c r="Q298" s="30" t="b">
        <f t="shared" si="183"/>
        <v>0</v>
      </c>
      <c r="R298" s="30">
        <f t="shared" si="184"/>
        <v>0</v>
      </c>
      <c r="S298" s="32">
        <f t="shared" si="192"/>
        <v>0</v>
      </c>
      <c r="Z298" s="10"/>
      <c r="AA298" s="45">
        <f t="shared" si="185"/>
        <v>0</v>
      </c>
      <c r="AB298" s="3">
        <f t="shared" si="186"/>
        <v>-42054</v>
      </c>
      <c r="AC298" s="3">
        <f t="shared" si="187"/>
        <v>-116.81666666666666</v>
      </c>
      <c r="AD298" s="3">
        <f t="shared" si="193"/>
        <v>67.16666666666666</v>
      </c>
      <c r="AE298" s="48">
        <f t="shared" si="188"/>
        <v>0</v>
      </c>
      <c r="AF298" s="3">
        <f t="shared" si="189"/>
        <v>0</v>
      </c>
      <c r="AH298" s="4"/>
      <c r="AI298" s="4"/>
      <c r="AN298" s="108">
        <f t="shared" si="190"/>
        <v>0</v>
      </c>
    </row>
    <row r="299" spans="1:40" ht="12.75">
      <c r="A299" s="33">
        <f t="shared" si="196"/>
        <v>269</v>
      </c>
      <c r="B299" s="30">
        <f t="shared" si="197"/>
        <v>3</v>
      </c>
      <c r="C299" s="30">
        <f t="shared" si="195"/>
        <v>20</v>
      </c>
      <c r="D299" s="30">
        <f t="shared" si="198"/>
        <v>2084</v>
      </c>
      <c r="E299" s="133">
        <f t="shared" si="199"/>
        <v>0</v>
      </c>
      <c r="F299" s="1"/>
      <c r="G299" s="133">
        <f t="shared" si="194"/>
        <v>0</v>
      </c>
      <c r="H299" s="133">
        <f t="shared" si="177"/>
        <v>0</v>
      </c>
      <c r="I299" s="30">
        <f t="shared" si="200"/>
        <v>24266</v>
      </c>
      <c r="J299" s="133">
        <f t="shared" si="191"/>
        <v>0</v>
      </c>
      <c r="K299" s="10">
        <f t="shared" si="178"/>
        <v>0</v>
      </c>
      <c r="L299" s="22">
        <f t="shared" si="179"/>
        <v>0</v>
      </c>
      <c r="M299" s="10">
        <f t="shared" si="180"/>
        <v>0</v>
      </c>
      <c r="O299" s="30" t="b">
        <f t="shared" si="181"/>
        <v>1</v>
      </c>
      <c r="P299" s="30" t="b">
        <f t="shared" si="182"/>
        <v>0</v>
      </c>
      <c r="Q299" s="30" t="b">
        <f t="shared" si="183"/>
        <v>0</v>
      </c>
      <c r="R299" s="30">
        <f t="shared" si="184"/>
        <v>0</v>
      </c>
      <c r="S299" s="32">
        <f t="shared" si="192"/>
        <v>0</v>
      </c>
      <c r="Z299" s="10"/>
      <c r="AA299" s="45">
        <f t="shared" si="185"/>
        <v>0</v>
      </c>
      <c r="AB299" s="3">
        <f t="shared" si="186"/>
        <v>-42054</v>
      </c>
      <c r="AC299" s="3">
        <f t="shared" si="187"/>
        <v>-116.81666666666666</v>
      </c>
      <c r="AD299" s="3">
        <f t="shared" si="193"/>
        <v>67.41666666666666</v>
      </c>
      <c r="AE299" s="48">
        <f t="shared" si="188"/>
        <v>0</v>
      </c>
      <c r="AF299" s="3">
        <f t="shared" si="189"/>
        <v>0</v>
      </c>
      <c r="AH299" s="4"/>
      <c r="AI299" s="4"/>
      <c r="AN299" s="108">
        <f t="shared" si="190"/>
        <v>0</v>
      </c>
    </row>
    <row r="300" spans="1:40" ht="12.75">
      <c r="A300" s="33">
        <f t="shared" si="196"/>
        <v>270</v>
      </c>
      <c r="B300" s="30">
        <f t="shared" si="197"/>
        <v>6</v>
      </c>
      <c r="C300" s="30">
        <f t="shared" si="195"/>
        <v>20</v>
      </c>
      <c r="D300" s="30">
        <f t="shared" si="198"/>
        <v>2084</v>
      </c>
      <c r="E300" s="133">
        <f t="shared" si="199"/>
        <v>0</v>
      </c>
      <c r="F300" s="1"/>
      <c r="G300" s="133">
        <f t="shared" si="194"/>
        <v>0</v>
      </c>
      <c r="H300" s="133">
        <f t="shared" si="177"/>
        <v>0</v>
      </c>
      <c r="I300" s="30">
        <f t="shared" si="200"/>
        <v>24356</v>
      </c>
      <c r="J300" s="133">
        <f t="shared" si="191"/>
        <v>0</v>
      </c>
      <c r="K300" s="10">
        <f t="shared" si="178"/>
        <v>0</v>
      </c>
      <c r="L300" s="22">
        <f t="shared" si="179"/>
        <v>0</v>
      </c>
      <c r="M300" s="10">
        <f t="shared" si="180"/>
        <v>0</v>
      </c>
      <c r="O300" s="30" t="b">
        <f t="shared" si="181"/>
        <v>0</v>
      </c>
      <c r="P300" s="30" t="b">
        <f t="shared" si="182"/>
        <v>1</v>
      </c>
      <c r="Q300" s="30" t="b">
        <f t="shared" si="183"/>
        <v>0</v>
      </c>
      <c r="R300" s="30">
        <f t="shared" si="184"/>
        <v>0</v>
      </c>
      <c r="S300" s="32">
        <f t="shared" si="192"/>
        <v>0</v>
      </c>
      <c r="Z300" s="10"/>
      <c r="AA300" s="45">
        <f t="shared" si="185"/>
        <v>0</v>
      </c>
      <c r="AB300" s="3">
        <f t="shared" si="186"/>
        <v>-42054</v>
      </c>
      <c r="AC300" s="3">
        <f t="shared" si="187"/>
        <v>-116.81666666666666</v>
      </c>
      <c r="AD300" s="3">
        <f t="shared" si="193"/>
        <v>67.66666666666666</v>
      </c>
      <c r="AE300" s="48">
        <f t="shared" si="188"/>
        <v>0</v>
      </c>
      <c r="AF300" s="3">
        <f t="shared" si="189"/>
        <v>0</v>
      </c>
      <c r="AH300" s="4"/>
      <c r="AI300" s="4"/>
      <c r="AN300" s="108">
        <f t="shared" si="190"/>
        <v>0</v>
      </c>
    </row>
    <row r="301" spans="1:40" ht="12.75">
      <c r="A301" s="33">
        <f t="shared" si="196"/>
        <v>271</v>
      </c>
      <c r="B301" s="30">
        <f t="shared" si="197"/>
        <v>9</v>
      </c>
      <c r="C301" s="30">
        <f t="shared" si="195"/>
        <v>20</v>
      </c>
      <c r="D301" s="30">
        <f t="shared" si="198"/>
        <v>2084</v>
      </c>
      <c r="E301" s="133">
        <f t="shared" si="199"/>
        <v>0</v>
      </c>
      <c r="F301" s="1"/>
      <c r="G301" s="133">
        <f t="shared" si="194"/>
        <v>0</v>
      </c>
      <c r="H301" s="133">
        <f t="shared" si="177"/>
        <v>0</v>
      </c>
      <c r="I301" s="30">
        <f t="shared" si="200"/>
        <v>24446</v>
      </c>
      <c r="J301" s="133">
        <f t="shared" si="191"/>
        <v>0</v>
      </c>
      <c r="K301" s="10">
        <f t="shared" si="178"/>
        <v>0</v>
      </c>
      <c r="L301" s="22">
        <f t="shared" si="179"/>
        <v>0</v>
      </c>
      <c r="M301" s="10">
        <f t="shared" si="180"/>
        <v>0</v>
      </c>
      <c r="O301" s="30" t="b">
        <f t="shared" si="181"/>
        <v>0</v>
      </c>
      <c r="P301" s="30" t="b">
        <f t="shared" si="182"/>
        <v>1</v>
      </c>
      <c r="Q301" s="30" t="b">
        <f t="shared" si="183"/>
        <v>0</v>
      </c>
      <c r="R301" s="30">
        <f t="shared" si="184"/>
        <v>0</v>
      </c>
      <c r="S301" s="32">
        <f t="shared" si="192"/>
        <v>0</v>
      </c>
      <c r="Z301" s="10"/>
      <c r="AA301" s="45">
        <f t="shared" si="185"/>
        <v>0</v>
      </c>
      <c r="AB301" s="3">
        <f t="shared" si="186"/>
        <v>-42054</v>
      </c>
      <c r="AC301" s="3">
        <f t="shared" si="187"/>
        <v>-116.81666666666666</v>
      </c>
      <c r="AD301" s="3">
        <f t="shared" si="193"/>
        <v>67.91666666666666</v>
      </c>
      <c r="AE301" s="48">
        <f t="shared" si="188"/>
        <v>0</v>
      </c>
      <c r="AF301" s="3">
        <f t="shared" si="189"/>
        <v>0</v>
      </c>
      <c r="AH301" s="4"/>
      <c r="AI301" s="4"/>
      <c r="AN301" s="108">
        <f t="shared" si="190"/>
        <v>0</v>
      </c>
    </row>
    <row r="302" spans="1:40" ht="12.75">
      <c r="A302" s="33">
        <f t="shared" si="196"/>
        <v>272</v>
      </c>
      <c r="B302" s="30">
        <f t="shared" si="197"/>
        <v>12</v>
      </c>
      <c r="C302" s="30">
        <f t="shared" si="195"/>
        <v>20</v>
      </c>
      <c r="D302" s="30">
        <f t="shared" si="198"/>
        <v>2084</v>
      </c>
      <c r="E302" s="133">
        <f t="shared" si="199"/>
        <v>0</v>
      </c>
      <c r="F302" s="1"/>
      <c r="G302" s="133">
        <f t="shared" si="194"/>
        <v>0</v>
      </c>
      <c r="H302" s="133">
        <f t="shared" si="177"/>
        <v>0</v>
      </c>
      <c r="I302" s="30">
        <f t="shared" si="200"/>
        <v>24536</v>
      </c>
      <c r="J302" s="133">
        <f t="shared" si="191"/>
        <v>0</v>
      </c>
      <c r="K302" s="10">
        <f t="shared" si="178"/>
        <v>0</v>
      </c>
      <c r="L302" s="22">
        <f t="shared" si="179"/>
        <v>0</v>
      </c>
      <c r="M302" s="10">
        <f t="shared" si="180"/>
        <v>0</v>
      </c>
      <c r="O302" s="30" t="b">
        <f t="shared" si="181"/>
        <v>1</v>
      </c>
      <c r="P302" s="30" t="b">
        <f t="shared" si="182"/>
        <v>0</v>
      </c>
      <c r="Q302" s="30" t="b">
        <f t="shared" si="183"/>
        <v>0</v>
      </c>
      <c r="R302" s="30">
        <f t="shared" si="184"/>
        <v>0</v>
      </c>
      <c r="S302" s="32">
        <f t="shared" si="192"/>
        <v>0</v>
      </c>
      <c r="Z302" s="10"/>
      <c r="AA302" s="45">
        <f t="shared" si="185"/>
        <v>0</v>
      </c>
      <c r="AB302" s="3">
        <f t="shared" si="186"/>
        <v>-42054</v>
      </c>
      <c r="AC302" s="3">
        <f aca="true" t="shared" si="201" ref="AC302:AC317">AB302/360</f>
        <v>-116.81666666666666</v>
      </c>
      <c r="AD302" s="3">
        <f t="shared" si="193"/>
        <v>68.16666666666666</v>
      </c>
      <c r="AE302" s="48">
        <f t="shared" si="188"/>
        <v>0</v>
      </c>
      <c r="AF302" s="3">
        <f aca="true" t="shared" si="202" ref="AF302:AF317">AE302*AD302</f>
        <v>0</v>
      </c>
      <c r="AH302" s="4"/>
      <c r="AI302" s="4"/>
      <c r="AN302" s="108">
        <f t="shared" si="190"/>
        <v>0</v>
      </c>
    </row>
    <row r="303" spans="1:40" ht="12.75">
      <c r="A303" s="33">
        <f t="shared" si="196"/>
        <v>273</v>
      </c>
      <c r="B303" s="30">
        <f t="shared" si="197"/>
        <v>3</v>
      </c>
      <c r="C303" s="30">
        <f t="shared" si="195"/>
        <v>20</v>
      </c>
      <c r="D303" s="30">
        <f t="shared" si="198"/>
        <v>2085</v>
      </c>
      <c r="E303" s="133">
        <f t="shared" si="199"/>
        <v>0</v>
      </c>
      <c r="F303" s="1"/>
      <c r="G303" s="133">
        <f t="shared" si="194"/>
        <v>0</v>
      </c>
      <c r="H303" s="133">
        <f t="shared" si="177"/>
        <v>0</v>
      </c>
      <c r="I303" s="30">
        <f t="shared" si="200"/>
        <v>24626</v>
      </c>
      <c r="J303" s="133">
        <f t="shared" si="191"/>
        <v>0</v>
      </c>
      <c r="K303" s="10">
        <f t="shared" si="178"/>
        <v>0</v>
      </c>
      <c r="L303" s="22">
        <f t="shared" si="179"/>
        <v>0</v>
      </c>
      <c r="M303" s="10">
        <f t="shared" si="180"/>
        <v>0</v>
      </c>
      <c r="O303" s="30" t="b">
        <f t="shared" si="181"/>
        <v>1</v>
      </c>
      <c r="P303" s="30" t="b">
        <f t="shared" si="182"/>
        <v>0</v>
      </c>
      <c r="Q303" s="30" t="b">
        <f t="shared" si="183"/>
        <v>0</v>
      </c>
      <c r="R303" s="30">
        <f t="shared" si="184"/>
        <v>0</v>
      </c>
      <c r="S303" s="32">
        <f t="shared" si="192"/>
        <v>0</v>
      </c>
      <c r="Z303" s="10"/>
      <c r="AA303" s="45">
        <f t="shared" si="185"/>
        <v>0</v>
      </c>
      <c r="AB303" s="3">
        <f t="shared" si="186"/>
        <v>-42054</v>
      </c>
      <c r="AC303" s="3">
        <f t="shared" si="201"/>
        <v>-116.81666666666666</v>
      </c>
      <c r="AD303" s="3">
        <f t="shared" si="193"/>
        <v>68.41666666666666</v>
      </c>
      <c r="AE303" s="48">
        <f t="shared" si="188"/>
        <v>0</v>
      </c>
      <c r="AF303" s="3">
        <f t="shared" si="202"/>
        <v>0</v>
      </c>
      <c r="AH303" s="4"/>
      <c r="AI303" s="4"/>
      <c r="AN303" s="108">
        <f t="shared" si="190"/>
        <v>0</v>
      </c>
    </row>
    <row r="304" spans="1:40" ht="12.75">
      <c r="A304" s="33">
        <f t="shared" si="196"/>
        <v>274</v>
      </c>
      <c r="B304" s="30">
        <f t="shared" si="197"/>
        <v>6</v>
      </c>
      <c r="C304" s="30">
        <f t="shared" si="195"/>
        <v>20</v>
      </c>
      <c r="D304" s="30">
        <f t="shared" si="198"/>
        <v>2085</v>
      </c>
      <c r="E304" s="133">
        <f t="shared" si="199"/>
        <v>0</v>
      </c>
      <c r="F304" s="1"/>
      <c r="G304" s="133">
        <f t="shared" si="194"/>
        <v>0</v>
      </c>
      <c r="H304" s="133">
        <f t="shared" si="177"/>
        <v>0</v>
      </c>
      <c r="I304" s="30">
        <f t="shared" si="200"/>
        <v>24716</v>
      </c>
      <c r="J304" s="133">
        <f t="shared" si="191"/>
        <v>0</v>
      </c>
      <c r="K304" s="10">
        <f t="shared" si="178"/>
        <v>0</v>
      </c>
      <c r="L304" s="22">
        <f t="shared" si="179"/>
        <v>0</v>
      </c>
      <c r="M304" s="10">
        <f t="shared" si="180"/>
        <v>0</v>
      </c>
      <c r="O304" s="30" t="b">
        <f t="shared" si="181"/>
        <v>0</v>
      </c>
      <c r="P304" s="30" t="b">
        <f t="shared" si="182"/>
        <v>1</v>
      </c>
      <c r="Q304" s="30" t="b">
        <f t="shared" si="183"/>
        <v>0</v>
      </c>
      <c r="R304" s="30">
        <f t="shared" si="184"/>
        <v>0</v>
      </c>
      <c r="S304" s="32">
        <f t="shared" si="192"/>
        <v>0</v>
      </c>
      <c r="Z304" s="10"/>
      <c r="AA304" s="45">
        <f t="shared" si="185"/>
        <v>0</v>
      </c>
      <c r="AB304" s="3">
        <f t="shared" si="186"/>
        <v>-42054</v>
      </c>
      <c r="AC304" s="3">
        <f t="shared" si="201"/>
        <v>-116.81666666666666</v>
      </c>
      <c r="AD304" s="3">
        <f t="shared" si="193"/>
        <v>68.66666666666666</v>
      </c>
      <c r="AE304" s="48">
        <f t="shared" si="188"/>
        <v>0</v>
      </c>
      <c r="AF304" s="3">
        <f t="shared" si="202"/>
        <v>0</v>
      </c>
      <c r="AH304" s="4"/>
      <c r="AI304" s="4"/>
      <c r="AN304" s="108">
        <f t="shared" si="190"/>
        <v>0</v>
      </c>
    </row>
    <row r="305" spans="1:40" ht="12.75">
      <c r="A305" s="33">
        <f t="shared" si="196"/>
        <v>275</v>
      </c>
      <c r="B305" s="30">
        <f t="shared" si="197"/>
        <v>9</v>
      </c>
      <c r="C305" s="30">
        <f t="shared" si="195"/>
        <v>20</v>
      </c>
      <c r="D305" s="30">
        <f t="shared" si="198"/>
        <v>2085</v>
      </c>
      <c r="E305" s="133">
        <f t="shared" si="199"/>
        <v>0</v>
      </c>
      <c r="F305" s="1"/>
      <c r="G305" s="133">
        <f t="shared" si="194"/>
        <v>0</v>
      </c>
      <c r="H305" s="133">
        <f t="shared" si="177"/>
        <v>0</v>
      </c>
      <c r="I305" s="30">
        <f t="shared" si="200"/>
        <v>24806</v>
      </c>
      <c r="J305" s="133">
        <f t="shared" si="191"/>
        <v>0</v>
      </c>
      <c r="K305" s="10">
        <f t="shared" si="178"/>
        <v>0</v>
      </c>
      <c r="L305" s="22">
        <f t="shared" si="179"/>
        <v>0</v>
      </c>
      <c r="M305" s="10">
        <f t="shared" si="180"/>
        <v>0</v>
      </c>
      <c r="O305" s="30" t="b">
        <f t="shared" si="181"/>
        <v>0</v>
      </c>
      <c r="P305" s="30" t="b">
        <f t="shared" si="182"/>
        <v>1</v>
      </c>
      <c r="Q305" s="30" t="b">
        <f t="shared" si="183"/>
        <v>0</v>
      </c>
      <c r="R305" s="30">
        <f t="shared" si="184"/>
        <v>0</v>
      </c>
      <c r="S305" s="32">
        <f t="shared" si="192"/>
        <v>0</v>
      </c>
      <c r="Z305" s="10"/>
      <c r="AA305" s="45">
        <f t="shared" si="185"/>
        <v>0</v>
      </c>
      <c r="AB305" s="3">
        <f t="shared" si="186"/>
        <v>-42054</v>
      </c>
      <c r="AC305" s="3">
        <f t="shared" si="201"/>
        <v>-116.81666666666666</v>
      </c>
      <c r="AD305" s="3">
        <f t="shared" si="193"/>
        <v>68.91666666666666</v>
      </c>
      <c r="AE305" s="48">
        <f t="shared" si="188"/>
        <v>0</v>
      </c>
      <c r="AF305" s="3">
        <f t="shared" si="202"/>
        <v>0</v>
      </c>
      <c r="AH305" s="4"/>
      <c r="AI305" s="4"/>
      <c r="AN305" s="108">
        <f t="shared" si="190"/>
        <v>0</v>
      </c>
    </row>
    <row r="306" spans="1:40" ht="12.75">
      <c r="A306" s="33">
        <f t="shared" si="196"/>
        <v>276</v>
      </c>
      <c r="B306" s="30">
        <f t="shared" si="197"/>
        <v>12</v>
      </c>
      <c r="C306" s="30">
        <f t="shared" si="195"/>
        <v>20</v>
      </c>
      <c r="D306" s="30">
        <f t="shared" si="198"/>
        <v>2085</v>
      </c>
      <c r="E306" s="133">
        <f t="shared" si="199"/>
        <v>0</v>
      </c>
      <c r="F306" s="1"/>
      <c r="G306" s="133">
        <f t="shared" si="194"/>
        <v>0</v>
      </c>
      <c r="H306" s="133">
        <f t="shared" si="177"/>
        <v>0</v>
      </c>
      <c r="I306" s="30">
        <f t="shared" si="200"/>
        <v>24896</v>
      </c>
      <c r="J306" s="133">
        <f t="shared" si="191"/>
        <v>0</v>
      </c>
      <c r="K306" s="10">
        <f t="shared" si="178"/>
        <v>0</v>
      </c>
      <c r="L306" s="22">
        <f t="shared" si="179"/>
        <v>0</v>
      </c>
      <c r="M306" s="10">
        <f t="shared" si="180"/>
        <v>0</v>
      </c>
      <c r="O306" s="30" t="b">
        <f t="shared" si="181"/>
        <v>1</v>
      </c>
      <c r="P306" s="30" t="b">
        <f t="shared" si="182"/>
        <v>0</v>
      </c>
      <c r="Q306" s="30" t="b">
        <f t="shared" si="183"/>
        <v>0</v>
      </c>
      <c r="R306" s="30">
        <f t="shared" si="184"/>
        <v>0</v>
      </c>
      <c r="S306" s="32">
        <f t="shared" si="192"/>
        <v>0</v>
      </c>
      <c r="Z306" s="10"/>
      <c r="AA306" s="45">
        <f t="shared" si="185"/>
        <v>0</v>
      </c>
      <c r="AB306" s="3">
        <f t="shared" si="186"/>
        <v>-42054</v>
      </c>
      <c r="AC306" s="3">
        <f t="shared" si="201"/>
        <v>-116.81666666666666</v>
      </c>
      <c r="AD306" s="3">
        <f t="shared" si="193"/>
        <v>69.16666666666666</v>
      </c>
      <c r="AE306" s="48">
        <f t="shared" si="188"/>
        <v>0</v>
      </c>
      <c r="AF306" s="3">
        <f t="shared" si="202"/>
        <v>0</v>
      </c>
      <c r="AH306" s="4"/>
      <c r="AI306" s="4"/>
      <c r="AN306" s="108">
        <f t="shared" si="190"/>
        <v>0</v>
      </c>
    </row>
    <row r="307" spans="1:40" ht="12.75">
      <c r="A307" s="33">
        <f t="shared" si="196"/>
        <v>277</v>
      </c>
      <c r="B307" s="30">
        <f t="shared" si="197"/>
        <v>3</v>
      </c>
      <c r="C307" s="30">
        <f t="shared" si="195"/>
        <v>20</v>
      </c>
      <c r="D307" s="30">
        <f t="shared" si="198"/>
        <v>2086</v>
      </c>
      <c r="E307" s="133">
        <f t="shared" si="199"/>
        <v>0</v>
      </c>
      <c r="F307" s="1"/>
      <c r="G307" s="133">
        <f t="shared" si="194"/>
        <v>0</v>
      </c>
      <c r="H307" s="133">
        <f t="shared" si="177"/>
        <v>0</v>
      </c>
      <c r="I307" s="30">
        <f t="shared" si="200"/>
        <v>24986</v>
      </c>
      <c r="J307" s="133">
        <f t="shared" si="191"/>
        <v>0</v>
      </c>
      <c r="K307" s="10">
        <f t="shared" si="178"/>
        <v>0</v>
      </c>
      <c r="L307" s="22">
        <f t="shared" si="179"/>
        <v>0</v>
      </c>
      <c r="M307" s="10">
        <f t="shared" si="180"/>
        <v>0</v>
      </c>
      <c r="O307" s="30" t="b">
        <f t="shared" si="181"/>
        <v>1</v>
      </c>
      <c r="P307" s="30" t="b">
        <f t="shared" si="182"/>
        <v>0</v>
      </c>
      <c r="Q307" s="30" t="b">
        <f t="shared" si="183"/>
        <v>0</v>
      </c>
      <c r="R307" s="30">
        <f t="shared" si="184"/>
        <v>0</v>
      </c>
      <c r="S307" s="32">
        <f t="shared" si="192"/>
        <v>0</v>
      </c>
      <c r="Z307" s="10"/>
      <c r="AA307" s="45">
        <f t="shared" si="185"/>
        <v>0</v>
      </c>
      <c r="AB307" s="3">
        <f t="shared" si="186"/>
        <v>-42054</v>
      </c>
      <c r="AC307" s="3">
        <f t="shared" si="201"/>
        <v>-116.81666666666666</v>
      </c>
      <c r="AD307" s="3">
        <f t="shared" si="193"/>
        <v>69.41666666666666</v>
      </c>
      <c r="AE307" s="48">
        <f t="shared" si="188"/>
        <v>0</v>
      </c>
      <c r="AF307" s="3">
        <f t="shared" si="202"/>
        <v>0</v>
      </c>
      <c r="AH307" s="4"/>
      <c r="AI307" s="4"/>
      <c r="AN307" s="108">
        <f t="shared" si="190"/>
        <v>0</v>
      </c>
    </row>
    <row r="308" spans="1:40" ht="12.75">
      <c r="A308" s="33">
        <f t="shared" si="196"/>
        <v>278</v>
      </c>
      <c r="B308" s="30">
        <f t="shared" si="197"/>
        <v>6</v>
      </c>
      <c r="C308" s="30">
        <f t="shared" si="195"/>
        <v>20</v>
      </c>
      <c r="D308" s="30">
        <f t="shared" si="198"/>
        <v>2086</v>
      </c>
      <c r="E308" s="133">
        <f t="shared" si="199"/>
        <v>0</v>
      </c>
      <c r="F308" s="1"/>
      <c r="G308" s="133">
        <f t="shared" si="194"/>
        <v>0</v>
      </c>
      <c r="H308" s="133">
        <f t="shared" si="177"/>
        <v>0</v>
      </c>
      <c r="I308" s="30">
        <f t="shared" si="200"/>
        <v>25076</v>
      </c>
      <c r="J308" s="133">
        <f t="shared" si="191"/>
        <v>0</v>
      </c>
      <c r="K308" s="10">
        <f t="shared" si="178"/>
        <v>0</v>
      </c>
      <c r="L308" s="22">
        <f t="shared" si="179"/>
        <v>0</v>
      </c>
      <c r="M308" s="10">
        <f t="shared" si="180"/>
        <v>0</v>
      </c>
      <c r="O308" s="30" t="b">
        <f t="shared" si="181"/>
        <v>0</v>
      </c>
      <c r="P308" s="30" t="b">
        <f t="shared" si="182"/>
        <v>1</v>
      </c>
      <c r="Q308" s="30" t="b">
        <f t="shared" si="183"/>
        <v>0</v>
      </c>
      <c r="R308" s="30">
        <f t="shared" si="184"/>
        <v>0</v>
      </c>
      <c r="S308" s="32">
        <f t="shared" si="192"/>
        <v>0</v>
      </c>
      <c r="Z308" s="10"/>
      <c r="AA308" s="45">
        <f t="shared" si="185"/>
        <v>0</v>
      </c>
      <c r="AB308" s="3">
        <f t="shared" si="186"/>
        <v>-42054</v>
      </c>
      <c r="AC308" s="3">
        <f t="shared" si="201"/>
        <v>-116.81666666666666</v>
      </c>
      <c r="AD308" s="3">
        <f t="shared" si="193"/>
        <v>69.66666666666666</v>
      </c>
      <c r="AE308" s="48">
        <f t="shared" si="188"/>
        <v>0</v>
      </c>
      <c r="AF308" s="3">
        <f t="shared" si="202"/>
        <v>0</v>
      </c>
      <c r="AH308" s="4"/>
      <c r="AI308" s="4"/>
      <c r="AN308" s="108">
        <f t="shared" si="190"/>
        <v>0</v>
      </c>
    </row>
    <row r="309" spans="1:40" ht="12.75">
      <c r="A309" s="33">
        <f t="shared" si="196"/>
        <v>279</v>
      </c>
      <c r="B309" s="30">
        <f t="shared" si="197"/>
        <v>9</v>
      </c>
      <c r="C309" s="30">
        <f t="shared" si="195"/>
        <v>20</v>
      </c>
      <c r="D309" s="30">
        <f t="shared" si="198"/>
        <v>2086</v>
      </c>
      <c r="E309" s="133">
        <f t="shared" si="199"/>
        <v>0</v>
      </c>
      <c r="F309" s="1"/>
      <c r="G309" s="133">
        <f t="shared" si="194"/>
        <v>0</v>
      </c>
      <c r="H309" s="133">
        <f t="shared" si="177"/>
        <v>0</v>
      </c>
      <c r="I309" s="30">
        <f t="shared" si="200"/>
        <v>25166</v>
      </c>
      <c r="J309" s="133">
        <f t="shared" si="191"/>
        <v>0</v>
      </c>
      <c r="K309" s="10">
        <f t="shared" si="178"/>
        <v>0</v>
      </c>
      <c r="L309" s="22">
        <f t="shared" si="179"/>
        <v>0</v>
      </c>
      <c r="M309" s="10">
        <f t="shared" si="180"/>
        <v>0</v>
      </c>
      <c r="O309" s="30" t="b">
        <f t="shared" si="181"/>
        <v>0</v>
      </c>
      <c r="P309" s="30" t="b">
        <f t="shared" si="182"/>
        <v>1</v>
      </c>
      <c r="Q309" s="30" t="b">
        <f t="shared" si="183"/>
        <v>0</v>
      </c>
      <c r="R309" s="30">
        <f t="shared" si="184"/>
        <v>0</v>
      </c>
      <c r="S309" s="32">
        <f t="shared" si="192"/>
        <v>0</v>
      </c>
      <c r="Z309" s="10"/>
      <c r="AA309" s="45">
        <f t="shared" si="185"/>
        <v>0</v>
      </c>
      <c r="AB309" s="3">
        <f t="shared" si="186"/>
        <v>-42054</v>
      </c>
      <c r="AC309" s="3">
        <f t="shared" si="201"/>
        <v>-116.81666666666666</v>
      </c>
      <c r="AD309" s="3">
        <f t="shared" si="193"/>
        <v>69.91666666666666</v>
      </c>
      <c r="AE309" s="48">
        <f t="shared" si="188"/>
        <v>0</v>
      </c>
      <c r="AF309" s="3">
        <f t="shared" si="202"/>
        <v>0</v>
      </c>
      <c r="AH309" s="4"/>
      <c r="AI309" s="4"/>
      <c r="AN309" s="108">
        <f t="shared" si="190"/>
        <v>0</v>
      </c>
    </row>
    <row r="310" spans="1:40" ht="12.75">
      <c r="A310" s="33">
        <f t="shared" si="196"/>
        <v>280</v>
      </c>
      <c r="B310" s="30">
        <f t="shared" si="197"/>
        <v>12</v>
      </c>
      <c r="C310" s="30">
        <f t="shared" si="195"/>
        <v>20</v>
      </c>
      <c r="D310" s="30">
        <f t="shared" si="198"/>
        <v>2086</v>
      </c>
      <c r="E310" s="133">
        <f t="shared" si="199"/>
        <v>0</v>
      </c>
      <c r="F310" s="1"/>
      <c r="G310" s="133">
        <f t="shared" si="194"/>
        <v>0</v>
      </c>
      <c r="H310" s="133">
        <f t="shared" si="177"/>
        <v>0</v>
      </c>
      <c r="I310" s="30">
        <f t="shared" si="200"/>
        <v>25256</v>
      </c>
      <c r="J310" s="133">
        <f t="shared" si="191"/>
        <v>0</v>
      </c>
      <c r="K310" s="10">
        <f t="shared" si="178"/>
        <v>0</v>
      </c>
      <c r="L310" s="22">
        <f t="shared" si="179"/>
        <v>0</v>
      </c>
      <c r="M310" s="10">
        <f t="shared" si="180"/>
        <v>0</v>
      </c>
      <c r="O310" s="30" t="b">
        <f t="shared" si="181"/>
        <v>1</v>
      </c>
      <c r="P310" s="30" t="b">
        <f t="shared" si="182"/>
        <v>0</v>
      </c>
      <c r="Q310" s="30" t="b">
        <f t="shared" si="183"/>
        <v>0</v>
      </c>
      <c r="R310" s="30">
        <f t="shared" si="184"/>
        <v>0</v>
      </c>
      <c r="S310" s="32">
        <f t="shared" si="192"/>
        <v>0</v>
      </c>
      <c r="Z310" s="10"/>
      <c r="AA310" s="45">
        <f t="shared" si="185"/>
        <v>0</v>
      </c>
      <c r="AB310" s="3">
        <f t="shared" si="186"/>
        <v>-42054</v>
      </c>
      <c r="AC310" s="3">
        <f t="shared" si="201"/>
        <v>-116.81666666666666</v>
      </c>
      <c r="AD310" s="3">
        <f t="shared" si="193"/>
        <v>70.16666666666666</v>
      </c>
      <c r="AE310" s="48">
        <f t="shared" si="188"/>
        <v>0</v>
      </c>
      <c r="AF310" s="3">
        <f t="shared" si="202"/>
        <v>0</v>
      </c>
      <c r="AH310" s="4"/>
      <c r="AI310" s="4"/>
      <c r="AN310" s="108">
        <f t="shared" si="190"/>
        <v>0</v>
      </c>
    </row>
    <row r="311" spans="1:40" ht="12.75">
      <c r="A311" s="33">
        <f aca="true" t="shared" si="203" ref="A311:A374">A310+1</f>
        <v>281</v>
      </c>
      <c r="B311" s="30">
        <f aca="true" t="shared" si="204" ref="B311:B323">IF(F$14=12,MOD(B310,12)+1,IF(F$14=4,IF(AND(MOD(B310,12)+3&gt;12,B310=11),2,IF(MOD(B310,12)+3&gt;12,1,MOD(B310,12)+3)),IF(F$14=2,IF((B310+6)&gt;12,(B310+6)-12,MOD(B310,12)+6),+B310)))</f>
        <v>3</v>
      </c>
      <c r="C311" s="30">
        <f t="shared" si="195"/>
        <v>20</v>
      </c>
      <c r="D311" s="30">
        <f aca="true" t="shared" si="205" ref="D311:D323">IF(F$14=1,D310+1,IF(AND(F$14=2,B311&lt;B310),D310+1,IF(AND(F$14=4,B311&lt;B310),D310+1,IF(OR(B311=1,B310=12),D310+1,D310))))</f>
        <v>2087</v>
      </c>
      <c r="E311" s="133">
        <f aca="true" t="shared" si="206" ref="E311:E323">ROUND(IF((+E310-F311)&lt;=-1,#VALUE!,E310-F311),2)</f>
        <v>0</v>
      </c>
      <c r="F311" s="1"/>
      <c r="G311" s="133">
        <f t="shared" si="194"/>
        <v>0</v>
      </c>
      <c r="H311" s="133">
        <f t="shared" si="177"/>
        <v>0</v>
      </c>
      <c r="I311" s="30">
        <f aca="true" t="shared" si="207" ref="I311:I374">I310+(360/$F$14)</f>
        <v>25346</v>
      </c>
      <c r="J311" s="133">
        <f t="shared" si="191"/>
        <v>0</v>
      </c>
      <c r="K311" s="10">
        <f t="shared" si="178"/>
        <v>0</v>
      </c>
      <c r="L311" s="22">
        <f t="shared" si="179"/>
        <v>0</v>
      </c>
      <c r="M311" s="10">
        <f t="shared" si="180"/>
        <v>0</v>
      </c>
      <c r="O311" s="30" t="b">
        <f t="shared" si="181"/>
        <v>1</v>
      </c>
      <c r="P311" s="30" t="b">
        <f t="shared" si="182"/>
        <v>0</v>
      </c>
      <c r="Q311" s="30" t="b">
        <f t="shared" si="183"/>
        <v>0</v>
      </c>
      <c r="R311" s="30">
        <f t="shared" si="184"/>
        <v>0</v>
      </c>
      <c r="S311" s="32">
        <f t="shared" si="192"/>
        <v>0</v>
      </c>
      <c r="Z311" s="10"/>
      <c r="AA311" s="45">
        <f t="shared" si="185"/>
        <v>0</v>
      </c>
      <c r="AB311" s="3">
        <f t="shared" si="186"/>
        <v>-42054</v>
      </c>
      <c r="AC311" s="3">
        <f t="shared" si="201"/>
        <v>-116.81666666666666</v>
      </c>
      <c r="AD311" s="3">
        <f t="shared" si="193"/>
        <v>70.41666666666666</v>
      </c>
      <c r="AE311" s="48">
        <f t="shared" si="188"/>
        <v>0</v>
      </c>
      <c r="AF311" s="3">
        <f t="shared" si="202"/>
        <v>0</v>
      </c>
      <c r="AH311" s="4"/>
      <c r="AI311" s="4"/>
      <c r="AN311" s="108">
        <f t="shared" si="190"/>
        <v>0</v>
      </c>
    </row>
    <row r="312" spans="1:40" ht="12.75">
      <c r="A312" s="33">
        <f t="shared" si="203"/>
        <v>282</v>
      </c>
      <c r="B312" s="30">
        <f t="shared" si="204"/>
        <v>6</v>
      </c>
      <c r="C312" s="30">
        <f t="shared" si="195"/>
        <v>20</v>
      </c>
      <c r="D312" s="30">
        <f t="shared" si="205"/>
        <v>2087</v>
      </c>
      <c r="E312" s="133">
        <f t="shared" si="206"/>
        <v>0</v>
      </c>
      <c r="F312" s="1"/>
      <c r="G312" s="133">
        <f t="shared" si="194"/>
        <v>0</v>
      </c>
      <c r="H312" s="133">
        <f t="shared" si="177"/>
        <v>0</v>
      </c>
      <c r="I312" s="30">
        <f t="shared" si="207"/>
        <v>25436</v>
      </c>
      <c r="J312" s="133">
        <f t="shared" si="191"/>
        <v>0</v>
      </c>
      <c r="K312" s="10">
        <f t="shared" si="178"/>
        <v>0</v>
      </c>
      <c r="L312" s="22">
        <f t="shared" si="179"/>
        <v>0</v>
      </c>
      <c r="M312" s="10">
        <f t="shared" si="180"/>
        <v>0</v>
      </c>
      <c r="O312" s="30" t="b">
        <f t="shared" si="181"/>
        <v>0</v>
      </c>
      <c r="P312" s="30" t="b">
        <f t="shared" si="182"/>
        <v>1</v>
      </c>
      <c r="Q312" s="30" t="b">
        <f t="shared" si="183"/>
        <v>0</v>
      </c>
      <c r="R312" s="30">
        <f t="shared" si="184"/>
        <v>0</v>
      </c>
      <c r="S312" s="32">
        <f t="shared" si="192"/>
        <v>0</v>
      </c>
      <c r="Z312" s="10"/>
      <c r="AA312" s="45">
        <f t="shared" si="185"/>
        <v>0</v>
      </c>
      <c r="AB312" s="3">
        <f t="shared" si="186"/>
        <v>-42054</v>
      </c>
      <c r="AC312" s="3">
        <f t="shared" si="201"/>
        <v>-116.81666666666666</v>
      </c>
      <c r="AD312" s="3">
        <f t="shared" si="193"/>
        <v>70.66666666666666</v>
      </c>
      <c r="AE312" s="48">
        <f t="shared" si="188"/>
        <v>0</v>
      </c>
      <c r="AF312" s="3">
        <f t="shared" si="202"/>
        <v>0</v>
      </c>
      <c r="AH312" s="4"/>
      <c r="AI312" s="4"/>
      <c r="AN312" s="108">
        <f t="shared" si="190"/>
        <v>0</v>
      </c>
    </row>
    <row r="313" spans="1:40" ht="12.75">
      <c r="A313" s="33">
        <f t="shared" si="203"/>
        <v>283</v>
      </c>
      <c r="B313" s="30">
        <f t="shared" si="204"/>
        <v>9</v>
      </c>
      <c r="C313" s="30">
        <f t="shared" si="195"/>
        <v>20</v>
      </c>
      <c r="D313" s="30">
        <f t="shared" si="205"/>
        <v>2087</v>
      </c>
      <c r="E313" s="133">
        <f t="shared" si="206"/>
        <v>0</v>
      </c>
      <c r="F313" s="1"/>
      <c r="G313" s="133">
        <f t="shared" si="194"/>
        <v>0</v>
      </c>
      <c r="H313" s="133">
        <f t="shared" si="177"/>
        <v>0</v>
      </c>
      <c r="I313" s="30">
        <f t="shared" si="207"/>
        <v>25526</v>
      </c>
      <c r="J313" s="133">
        <f t="shared" si="191"/>
        <v>0</v>
      </c>
      <c r="K313" s="10">
        <f t="shared" si="178"/>
        <v>0</v>
      </c>
      <c r="L313" s="22">
        <f t="shared" si="179"/>
        <v>0</v>
      </c>
      <c r="M313" s="10">
        <f t="shared" si="180"/>
        <v>0</v>
      </c>
      <c r="O313" s="30" t="b">
        <f t="shared" si="181"/>
        <v>0</v>
      </c>
      <c r="P313" s="30" t="b">
        <f t="shared" si="182"/>
        <v>1</v>
      </c>
      <c r="Q313" s="30" t="b">
        <f t="shared" si="183"/>
        <v>0</v>
      </c>
      <c r="R313" s="30">
        <f t="shared" si="184"/>
        <v>0</v>
      </c>
      <c r="S313" s="32">
        <f t="shared" si="192"/>
        <v>0</v>
      </c>
      <c r="Z313" s="10"/>
      <c r="AA313" s="45">
        <f t="shared" si="185"/>
        <v>0</v>
      </c>
      <c r="AB313" s="3">
        <f t="shared" si="186"/>
        <v>-42054</v>
      </c>
      <c r="AC313" s="3">
        <f t="shared" si="201"/>
        <v>-116.81666666666666</v>
      </c>
      <c r="AD313" s="3">
        <f t="shared" si="193"/>
        <v>70.91666666666666</v>
      </c>
      <c r="AE313" s="48">
        <f t="shared" si="188"/>
        <v>0</v>
      </c>
      <c r="AF313" s="3">
        <f t="shared" si="202"/>
        <v>0</v>
      </c>
      <c r="AH313" s="4"/>
      <c r="AI313" s="4"/>
      <c r="AN313" s="108">
        <f t="shared" si="190"/>
        <v>0</v>
      </c>
    </row>
    <row r="314" spans="1:40" ht="12.75">
      <c r="A314" s="33">
        <f t="shared" si="203"/>
        <v>284</v>
      </c>
      <c r="B314" s="30">
        <f t="shared" si="204"/>
        <v>12</v>
      </c>
      <c r="C314" s="30">
        <f t="shared" si="195"/>
        <v>20</v>
      </c>
      <c r="D314" s="30">
        <f t="shared" si="205"/>
        <v>2087</v>
      </c>
      <c r="E314" s="133">
        <f t="shared" si="206"/>
        <v>0</v>
      </c>
      <c r="F314" s="1"/>
      <c r="G314" s="133">
        <f t="shared" si="194"/>
        <v>0</v>
      </c>
      <c r="H314" s="133">
        <f t="shared" si="177"/>
        <v>0</v>
      </c>
      <c r="I314" s="30">
        <f t="shared" si="207"/>
        <v>25616</v>
      </c>
      <c r="J314" s="133">
        <f t="shared" si="191"/>
        <v>0</v>
      </c>
      <c r="K314" s="10">
        <f t="shared" si="178"/>
        <v>0</v>
      </c>
      <c r="L314" s="22">
        <f t="shared" si="179"/>
        <v>0</v>
      </c>
      <c r="M314" s="10">
        <f t="shared" si="180"/>
        <v>0</v>
      </c>
      <c r="O314" s="30" t="b">
        <f t="shared" si="181"/>
        <v>1</v>
      </c>
      <c r="P314" s="30" t="b">
        <f t="shared" si="182"/>
        <v>0</v>
      </c>
      <c r="Q314" s="30" t="b">
        <f t="shared" si="183"/>
        <v>0</v>
      </c>
      <c r="R314" s="30">
        <f t="shared" si="184"/>
        <v>0</v>
      </c>
      <c r="S314" s="32">
        <f t="shared" si="192"/>
        <v>0</v>
      </c>
      <c r="Z314" s="10"/>
      <c r="AA314" s="45">
        <f t="shared" si="185"/>
        <v>0</v>
      </c>
      <c r="AB314" s="3">
        <f t="shared" si="186"/>
        <v>-42054</v>
      </c>
      <c r="AC314" s="3">
        <f t="shared" si="201"/>
        <v>-116.81666666666666</v>
      </c>
      <c r="AD314" s="3">
        <f t="shared" si="193"/>
        <v>71.16666666666666</v>
      </c>
      <c r="AE314" s="48">
        <f t="shared" si="188"/>
        <v>0</v>
      </c>
      <c r="AF314" s="3">
        <f t="shared" si="202"/>
        <v>0</v>
      </c>
      <c r="AH314" s="4"/>
      <c r="AI314" s="4"/>
      <c r="AN314" s="108">
        <f t="shared" si="190"/>
        <v>0</v>
      </c>
    </row>
    <row r="315" spans="1:40" ht="12.75">
      <c r="A315" s="33">
        <f t="shared" si="203"/>
        <v>285</v>
      </c>
      <c r="B315" s="30">
        <f t="shared" si="204"/>
        <v>3</v>
      </c>
      <c r="C315" s="30">
        <f t="shared" si="195"/>
        <v>20</v>
      </c>
      <c r="D315" s="30">
        <f t="shared" si="205"/>
        <v>2088</v>
      </c>
      <c r="E315" s="133">
        <f t="shared" si="206"/>
        <v>0</v>
      </c>
      <c r="F315" s="1"/>
      <c r="G315" s="133">
        <f t="shared" si="194"/>
        <v>0</v>
      </c>
      <c r="H315" s="133">
        <f t="shared" si="177"/>
        <v>0</v>
      </c>
      <c r="I315" s="30">
        <f t="shared" si="207"/>
        <v>25706</v>
      </c>
      <c r="J315" s="133">
        <f t="shared" si="191"/>
        <v>0</v>
      </c>
      <c r="K315" s="10">
        <f t="shared" si="178"/>
        <v>0</v>
      </c>
      <c r="L315" s="22">
        <f t="shared" si="179"/>
        <v>0</v>
      </c>
      <c r="M315" s="10">
        <f t="shared" si="180"/>
        <v>0</v>
      </c>
      <c r="O315" s="30" t="b">
        <f t="shared" si="181"/>
        <v>1</v>
      </c>
      <c r="P315" s="30" t="b">
        <f t="shared" si="182"/>
        <v>0</v>
      </c>
      <c r="Q315" s="30" t="b">
        <f t="shared" si="183"/>
        <v>0</v>
      </c>
      <c r="R315" s="30">
        <f t="shared" si="184"/>
        <v>0</v>
      </c>
      <c r="S315" s="32">
        <f t="shared" si="192"/>
        <v>0</v>
      </c>
      <c r="Z315" s="10"/>
      <c r="AA315" s="45">
        <f t="shared" si="185"/>
        <v>0</v>
      </c>
      <c r="AB315" s="3">
        <f t="shared" si="186"/>
        <v>-42054</v>
      </c>
      <c r="AC315" s="3">
        <f t="shared" si="201"/>
        <v>-116.81666666666666</v>
      </c>
      <c r="AD315" s="3">
        <f t="shared" si="193"/>
        <v>71.41666666666666</v>
      </c>
      <c r="AE315" s="48">
        <f t="shared" si="188"/>
        <v>0</v>
      </c>
      <c r="AF315" s="3">
        <f t="shared" si="202"/>
        <v>0</v>
      </c>
      <c r="AH315" s="4"/>
      <c r="AI315" s="4"/>
      <c r="AN315" s="108">
        <f t="shared" si="190"/>
        <v>0</v>
      </c>
    </row>
    <row r="316" spans="1:40" ht="12.75">
      <c r="A316" s="33">
        <f t="shared" si="203"/>
        <v>286</v>
      </c>
      <c r="B316" s="30">
        <f t="shared" si="204"/>
        <v>6</v>
      </c>
      <c r="C316" s="30">
        <f t="shared" si="195"/>
        <v>20</v>
      </c>
      <c r="D316" s="30">
        <f t="shared" si="205"/>
        <v>2088</v>
      </c>
      <c r="E316" s="133">
        <f t="shared" si="206"/>
        <v>0</v>
      </c>
      <c r="F316" s="1"/>
      <c r="G316" s="133">
        <f t="shared" si="194"/>
        <v>0</v>
      </c>
      <c r="H316" s="133">
        <f t="shared" si="177"/>
        <v>0</v>
      </c>
      <c r="I316" s="30">
        <f t="shared" si="207"/>
        <v>25796</v>
      </c>
      <c r="J316" s="133">
        <f t="shared" si="191"/>
        <v>0</v>
      </c>
      <c r="K316" s="10">
        <f t="shared" si="178"/>
        <v>0</v>
      </c>
      <c r="L316" s="22">
        <f t="shared" si="179"/>
        <v>0</v>
      </c>
      <c r="M316" s="10">
        <f t="shared" si="180"/>
        <v>0</v>
      </c>
      <c r="O316" s="30" t="b">
        <f t="shared" si="181"/>
        <v>0</v>
      </c>
      <c r="P316" s="30" t="b">
        <f t="shared" si="182"/>
        <v>1</v>
      </c>
      <c r="Q316" s="30" t="b">
        <f t="shared" si="183"/>
        <v>0</v>
      </c>
      <c r="R316" s="30">
        <f t="shared" si="184"/>
        <v>0</v>
      </c>
      <c r="S316" s="32">
        <f t="shared" si="192"/>
        <v>0</v>
      </c>
      <c r="Z316" s="10"/>
      <c r="AA316" s="45">
        <f t="shared" si="185"/>
        <v>0</v>
      </c>
      <c r="AB316" s="3">
        <f t="shared" si="186"/>
        <v>-42054</v>
      </c>
      <c r="AC316" s="3">
        <f t="shared" si="201"/>
        <v>-116.81666666666666</v>
      </c>
      <c r="AD316" s="3">
        <f t="shared" si="193"/>
        <v>71.66666666666666</v>
      </c>
      <c r="AE316" s="48">
        <f t="shared" si="188"/>
        <v>0</v>
      </c>
      <c r="AF316" s="3">
        <f t="shared" si="202"/>
        <v>0</v>
      </c>
      <c r="AH316" s="4"/>
      <c r="AI316" s="4"/>
      <c r="AN316" s="108">
        <f t="shared" si="190"/>
        <v>0</v>
      </c>
    </row>
    <row r="317" spans="1:40" ht="12.75">
      <c r="A317" s="33">
        <f t="shared" si="203"/>
        <v>287</v>
      </c>
      <c r="B317" s="30">
        <f t="shared" si="204"/>
        <v>9</v>
      </c>
      <c r="C317" s="30">
        <f t="shared" si="195"/>
        <v>20</v>
      </c>
      <c r="D317" s="30">
        <f t="shared" si="205"/>
        <v>2088</v>
      </c>
      <c r="E317" s="133">
        <f t="shared" si="206"/>
        <v>0</v>
      </c>
      <c r="F317" s="1"/>
      <c r="G317" s="133">
        <f t="shared" si="194"/>
        <v>0</v>
      </c>
      <c r="H317" s="133">
        <f t="shared" si="177"/>
        <v>0</v>
      </c>
      <c r="I317" s="30">
        <f t="shared" si="207"/>
        <v>25886</v>
      </c>
      <c r="J317" s="133">
        <f t="shared" si="191"/>
        <v>0</v>
      </c>
      <c r="K317" s="10">
        <f t="shared" si="178"/>
        <v>0</v>
      </c>
      <c r="L317" s="22">
        <f t="shared" si="179"/>
        <v>0</v>
      </c>
      <c r="M317" s="10">
        <f t="shared" si="180"/>
        <v>0</v>
      </c>
      <c r="O317" s="30" t="b">
        <f t="shared" si="181"/>
        <v>0</v>
      </c>
      <c r="P317" s="30" t="b">
        <f t="shared" si="182"/>
        <v>1</v>
      </c>
      <c r="Q317" s="30" t="b">
        <f t="shared" si="183"/>
        <v>0</v>
      </c>
      <c r="R317" s="30">
        <f t="shared" si="184"/>
        <v>0</v>
      </c>
      <c r="S317" s="32">
        <f t="shared" si="192"/>
        <v>0</v>
      </c>
      <c r="Z317" s="10"/>
      <c r="AA317" s="45">
        <f t="shared" si="185"/>
        <v>0</v>
      </c>
      <c r="AB317" s="3">
        <f t="shared" si="186"/>
        <v>-42054</v>
      </c>
      <c r="AC317" s="3">
        <f t="shared" si="201"/>
        <v>-116.81666666666666</v>
      </c>
      <c r="AD317" s="3">
        <f t="shared" si="193"/>
        <v>71.91666666666666</v>
      </c>
      <c r="AE317" s="48">
        <f t="shared" si="188"/>
        <v>0</v>
      </c>
      <c r="AF317" s="3">
        <f t="shared" si="202"/>
        <v>0</v>
      </c>
      <c r="AH317" s="4"/>
      <c r="AI317" s="4"/>
      <c r="AN317" s="108">
        <f t="shared" si="190"/>
        <v>0</v>
      </c>
    </row>
    <row r="318" spans="1:40" ht="12.75">
      <c r="A318" s="33">
        <f t="shared" si="203"/>
        <v>288</v>
      </c>
      <c r="B318" s="30">
        <f t="shared" si="204"/>
        <v>12</v>
      </c>
      <c r="C318" s="30">
        <f t="shared" si="195"/>
        <v>20</v>
      </c>
      <c r="D318" s="30">
        <f t="shared" si="205"/>
        <v>2088</v>
      </c>
      <c r="E318" s="133">
        <f t="shared" si="206"/>
        <v>0</v>
      </c>
      <c r="F318" s="1"/>
      <c r="G318" s="133">
        <f t="shared" si="194"/>
        <v>0</v>
      </c>
      <c r="H318" s="133">
        <f t="shared" si="177"/>
        <v>0</v>
      </c>
      <c r="I318" s="30">
        <f t="shared" si="207"/>
        <v>25976</v>
      </c>
      <c r="J318" s="133">
        <f t="shared" si="191"/>
        <v>0</v>
      </c>
      <c r="K318" s="10">
        <f t="shared" si="178"/>
        <v>0</v>
      </c>
      <c r="L318" s="22">
        <f t="shared" si="179"/>
        <v>0</v>
      </c>
      <c r="M318" s="10">
        <f t="shared" si="180"/>
        <v>0</v>
      </c>
      <c r="O318" s="30" t="b">
        <f t="shared" si="181"/>
        <v>1</v>
      </c>
      <c r="P318" s="30" t="b">
        <f t="shared" si="182"/>
        <v>0</v>
      </c>
      <c r="Q318" s="30" t="b">
        <f t="shared" si="183"/>
        <v>0</v>
      </c>
      <c r="R318" s="30">
        <f t="shared" si="184"/>
        <v>0</v>
      </c>
      <c r="S318" s="32">
        <f t="shared" si="192"/>
        <v>0</v>
      </c>
      <c r="Z318" s="10"/>
      <c r="AA318" s="45">
        <f t="shared" si="185"/>
        <v>0</v>
      </c>
      <c r="AB318" s="3">
        <f t="shared" si="186"/>
        <v>-42054</v>
      </c>
      <c r="AC318" s="3">
        <f aca="true" t="shared" si="208" ref="AC318:AC323">AB318/360</f>
        <v>-116.81666666666666</v>
      </c>
      <c r="AD318" s="3">
        <f t="shared" si="193"/>
        <v>72.16666666666666</v>
      </c>
      <c r="AE318" s="48">
        <f t="shared" si="188"/>
        <v>0</v>
      </c>
      <c r="AF318" s="3">
        <f aca="true" t="shared" si="209" ref="AF318:AF323">AE318*AD318</f>
        <v>0</v>
      </c>
      <c r="AH318" s="4"/>
      <c r="AI318" s="4"/>
      <c r="AN318" s="108">
        <f t="shared" si="190"/>
        <v>0</v>
      </c>
    </row>
    <row r="319" spans="1:40" ht="12.75">
      <c r="A319" s="33">
        <f t="shared" si="203"/>
        <v>289</v>
      </c>
      <c r="B319" s="30">
        <f t="shared" si="204"/>
        <v>3</v>
      </c>
      <c r="C319" s="30">
        <f t="shared" si="195"/>
        <v>20</v>
      </c>
      <c r="D319" s="30">
        <f t="shared" si="205"/>
        <v>2089</v>
      </c>
      <c r="E319" s="133">
        <f t="shared" si="206"/>
        <v>0</v>
      </c>
      <c r="F319" s="1"/>
      <c r="G319" s="133">
        <f t="shared" si="194"/>
        <v>0</v>
      </c>
      <c r="H319" s="133">
        <f t="shared" si="177"/>
        <v>0</v>
      </c>
      <c r="I319" s="30">
        <f t="shared" si="207"/>
        <v>26066</v>
      </c>
      <c r="J319" s="133">
        <f t="shared" si="191"/>
        <v>0</v>
      </c>
      <c r="K319" s="10">
        <f t="shared" si="178"/>
        <v>0</v>
      </c>
      <c r="L319" s="22">
        <f t="shared" si="179"/>
        <v>0</v>
      </c>
      <c r="M319" s="10">
        <f t="shared" si="180"/>
        <v>0</v>
      </c>
      <c r="O319" s="30" t="b">
        <f t="shared" si="181"/>
        <v>1</v>
      </c>
      <c r="P319" s="30" t="b">
        <f t="shared" si="182"/>
        <v>0</v>
      </c>
      <c r="Q319" s="30" t="b">
        <f t="shared" si="183"/>
        <v>0</v>
      </c>
      <c r="R319" s="30">
        <f t="shared" si="184"/>
        <v>0</v>
      </c>
      <c r="S319" s="32">
        <f t="shared" si="192"/>
        <v>0</v>
      </c>
      <c r="Z319" s="10"/>
      <c r="AA319" s="45">
        <f t="shared" si="185"/>
        <v>0</v>
      </c>
      <c r="AB319" s="3">
        <f t="shared" si="186"/>
        <v>-42054</v>
      </c>
      <c r="AC319" s="3">
        <f t="shared" si="208"/>
        <v>-116.81666666666666</v>
      </c>
      <c r="AD319" s="3">
        <f t="shared" si="193"/>
        <v>72.41666666666666</v>
      </c>
      <c r="AE319" s="48">
        <f t="shared" si="188"/>
        <v>0</v>
      </c>
      <c r="AF319" s="3">
        <f t="shared" si="209"/>
        <v>0</v>
      </c>
      <c r="AH319" s="4"/>
      <c r="AI319" s="4"/>
      <c r="AN319" s="108">
        <f t="shared" si="190"/>
        <v>0</v>
      </c>
    </row>
    <row r="320" spans="1:40" ht="12.75">
      <c r="A320" s="33">
        <f t="shared" si="203"/>
        <v>290</v>
      </c>
      <c r="B320" s="30">
        <f t="shared" si="204"/>
        <v>6</v>
      </c>
      <c r="C320" s="30">
        <f t="shared" si="195"/>
        <v>20</v>
      </c>
      <c r="D320" s="30">
        <f t="shared" si="205"/>
        <v>2089</v>
      </c>
      <c r="E320" s="133">
        <f t="shared" si="206"/>
        <v>0</v>
      </c>
      <c r="F320" s="1"/>
      <c r="G320" s="133">
        <f t="shared" si="194"/>
        <v>0</v>
      </c>
      <c r="H320" s="133">
        <f t="shared" si="177"/>
        <v>0</v>
      </c>
      <c r="I320" s="30">
        <f t="shared" si="207"/>
        <v>26156</v>
      </c>
      <c r="J320" s="133">
        <f t="shared" si="191"/>
        <v>0</v>
      </c>
      <c r="K320" s="10">
        <f t="shared" si="178"/>
        <v>0</v>
      </c>
      <c r="L320" s="22">
        <f t="shared" si="179"/>
        <v>0</v>
      </c>
      <c r="M320" s="10">
        <f t="shared" si="180"/>
        <v>0</v>
      </c>
      <c r="O320" s="30" t="b">
        <f t="shared" si="181"/>
        <v>0</v>
      </c>
      <c r="P320" s="30" t="b">
        <f t="shared" si="182"/>
        <v>1</v>
      </c>
      <c r="Q320" s="30" t="b">
        <f t="shared" si="183"/>
        <v>0</v>
      </c>
      <c r="R320" s="30">
        <f t="shared" si="184"/>
        <v>0</v>
      </c>
      <c r="S320" s="32">
        <f t="shared" si="192"/>
        <v>0</v>
      </c>
      <c r="Z320" s="10"/>
      <c r="AA320" s="45">
        <f t="shared" si="185"/>
        <v>0</v>
      </c>
      <c r="AB320" s="3">
        <f t="shared" si="186"/>
        <v>-42054</v>
      </c>
      <c r="AC320" s="3">
        <f t="shared" si="208"/>
        <v>-116.81666666666666</v>
      </c>
      <c r="AD320" s="3">
        <f t="shared" si="193"/>
        <v>72.66666666666666</v>
      </c>
      <c r="AE320" s="48">
        <f t="shared" si="188"/>
        <v>0</v>
      </c>
      <c r="AF320" s="3">
        <f t="shared" si="209"/>
        <v>0</v>
      </c>
      <c r="AH320" s="4"/>
      <c r="AI320" s="4"/>
      <c r="AN320" s="108">
        <f t="shared" si="190"/>
        <v>0</v>
      </c>
    </row>
    <row r="321" spans="1:40" ht="12.75">
      <c r="A321" s="33">
        <f t="shared" si="203"/>
        <v>291</v>
      </c>
      <c r="B321" s="30">
        <f t="shared" si="204"/>
        <v>9</v>
      </c>
      <c r="C321" s="30">
        <f t="shared" si="195"/>
        <v>20</v>
      </c>
      <c r="D321" s="30">
        <f t="shared" si="205"/>
        <v>2089</v>
      </c>
      <c r="E321" s="133">
        <f t="shared" si="206"/>
        <v>0</v>
      </c>
      <c r="F321" s="1"/>
      <c r="G321" s="133">
        <f t="shared" si="194"/>
        <v>0</v>
      </c>
      <c r="H321" s="133">
        <f t="shared" si="177"/>
        <v>0</v>
      </c>
      <c r="I321" s="30">
        <f t="shared" si="207"/>
        <v>26246</v>
      </c>
      <c r="J321" s="133">
        <f t="shared" si="191"/>
        <v>0</v>
      </c>
      <c r="K321" s="10">
        <f t="shared" si="178"/>
        <v>0</v>
      </c>
      <c r="L321" s="22">
        <f t="shared" si="179"/>
        <v>0</v>
      </c>
      <c r="M321" s="10">
        <f t="shared" si="180"/>
        <v>0</v>
      </c>
      <c r="O321" s="30" t="b">
        <f t="shared" si="181"/>
        <v>0</v>
      </c>
      <c r="P321" s="30" t="b">
        <f t="shared" si="182"/>
        <v>1</v>
      </c>
      <c r="Q321" s="30" t="b">
        <f t="shared" si="183"/>
        <v>0</v>
      </c>
      <c r="R321" s="30">
        <f t="shared" si="184"/>
        <v>0</v>
      </c>
      <c r="S321" s="32">
        <f t="shared" si="192"/>
        <v>0</v>
      </c>
      <c r="Z321" s="10"/>
      <c r="AA321" s="45">
        <f t="shared" si="185"/>
        <v>0</v>
      </c>
      <c r="AB321" s="3">
        <f t="shared" si="186"/>
        <v>-42054</v>
      </c>
      <c r="AC321" s="3">
        <f t="shared" si="208"/>
        <v>-116.81666666666666</v>
      </c>
      <c r="AD321" s="3">
        <f t="shared" si="193"/>
        <v>72.91666666666666</v>
      </c>
      <c r="AE321" s="48">
        <f t="shared" si="188"/>
        <v>0</v>
      </c>
      <c r="AF321" s="3">
        <f t="shared" si="209"/>
        <v>0</v>
      </c>
      <c r="AH321" s="4"/>
      <c r="AI321" s="4"/>
      <c r="AN321" s="108">
        <f t="shared" si="190"/>
        <v>0</v>
      </c>
    </row>
    <row r="322" spans="1:40" ht="12.75">
      <c r="A322" s="33">
        <f t="shared" si="203"/>
        <v>292</v>
      </c>
      <c r="B322" s="30">
        <f t="shared" si="204"/>
        <v>12</v>
      </c>
      <c r="C322" s="30">
        <f t="shared" si="195"/>
        <v>20</v>
      </c>
      <c r="D322" s="30">
        <f t="shared" si="205"/>
        <v>2089</v>
      </c>
      <c r="E322" s="133">
        <f t="shared" si="206"/>
        <v>0</v>
      </c>
      <c r="F322" s="1"/>
      <c r="G322" s="133">
        <f t="shared" si="194"/>
        <v>0</v>
      </c>
      <c r="H322" s="133">
        <f t="shared" si="177"/>
        <v>0</v>
      </c>
      <c r="I322" s="30">
        <f t="shared" si="207"/>
        <v>26336</v>
      </c>
      <c r="J322" s="133">
        <f t="shared" si="191"/>
        <v>0</v>
      </c>
      <c r="K322" s="10">
        <f t="shared" si="178"/>
        <v>0</v>
      </c>
      <c r="L322" s="22">
        <f t="shared" si="179"/>
        <v>0</v>
      </c>
      <c r="M322" s="10">
        <f t="shared" si="180"/>
        <v>0</v>
      </c>
      <c r="O322" s="30" t="b">
        <f t="shared" si="181"/>
        <v>1</v>
      </c>
      <c r="P322" s="30" t="b">
        <f t="shared" si="182"/>
        <v>0</v>
      </c>
      <c r="Q322" s="30" t="b">
        <f t="shared" si="183"/>
        <v>0</v>
      </c>
      <c r="R322" s="30">
        <f t="shared" si="184"/>
        <v>0</v>
      </c>
      <c r="S322" s="32">
        <f t="shared" si="192"/>
        <v>0</v>
      </c>
      <c r="Z322" s="10"/>
      <c r="AA322" s="45">
        <f t="shared" si="185"/>
        <v>0</v>
      </c>
      <c r="AB322" s="3">
        <f t="shared" si="186"/>
        <v>-42054</v>
      </c>
      <c r="AC322" s="3">
        <f t="shared" si="208"/>
        <v>-116.81666666666666</v>
      </c>
      <c r="AD322" s="3">
        <f t="shared" si="193"/>
        <v>73.16666666666666</v>
      </c>
      <c r="AE322" s="48">
        <f t="shared" si="188"/>
        <v>0</v>
      </c>
      <c r="AF322" s="3">
        <f t="shared" si="209"/>
        <v>0</v>
      </c>
      <c r="AH322" s="4"/>
      <c r="AI322" s="4"/>
      <c r="AN322" s="108">
        <f t="shared" si="190"/>
        <v>0</v>
      </c>
    </row>
    <row r="323" spans="1:40" ht="12.75">
      <c r="A323" s="33">
        <f t="shared" si="203"/>
        <v>293</v>
      </c>
      <c r="B323" s="30">
        <f t="shared" si="204"/>
        <v>3</v>
      </c>
      <c r="C323" s="30">
        <f t="shared" si="195"/>
        <v>20</v>
      </c>
      <c r="D323" s="30">
        <f t="shared" si="205"/>
        <v>2090</v>
      </c>
      <c r="E323" s="133">
        <f t="shared" si="206"/>
        <v>0</v>
      </c>
      <c r="F323" s="1"/>
      <c r="G323" s="133">
        <f t="shared" si="194"/>
        <v>0</v>
      </c>
      <c r="H323" s="133">
        <f t="shared" si="177"/>
        <v>0</v>
      </c>
      <c r="I323" s="30">
        <f t="shared" si="207"/>
        <v>26426</v>
      </c>
      <c r="J323" s="133">
        <f t="shared" si="191"/>
        <v>0</v>
      </c>
      <c r="K323" s="10">
        <f t="shared" si="178"/>
        <v>0</v>
      </c>
      <c r="L323" s="22">
        <f t="shared" si="179"/>
        <v>0</v>
      </c>
      <c r="M323" s="10">
        <f t="shared" si="180"/>
        <v>0</v>
      </c>
      <c r="O323" s="30" t="b">
        <f t="shared" si="181"/>
        <v>1</v>
      </c>
      <c r="P323" s="30" t="b">
        <f t="shared" si="182"/>
        <v>0</v>
      </c>
      <c r="Q323" s="30" t="b">
        <f t="shared" si="183"/>
        <v>0</v>
      </c>
      <c r="R323" s="30">
        <f t="shared" si="184"/>
        <v>0</v>
      </c>
      <c r="S323" s="32">
        <f t="shared" si="192"/>
        <v>0</v>
      </c>
      <c r="Z323" s="10"/>
      <c r="AA323" s="45">
        <f t="shared" si="185"/>
        <v>0</v>
      </c>
      <c r="AB323" s="3">
        <f t="shared" si="186"/>
        <v>-42054</v>
      </c>
      <c r="AC323" s="3">
        <f t="shared" si="208"/>
        <v>-116.81666666666666</v>
      </c>
      <c r="AD323" s="3">
        <f t="shared" si="193"/>
        <v>73.41666666666666</v>
      </c>
      <c r="AE323" s="48">
        <f t="shared" si="188"/>
        <v>0</v>
      </c>
      <c r="AF323" s="3">
        <f t="shared" si="209"/>
        <v>0</v>
      </c>
      <c r="AH323" s="4"/>
      <c r="AI323" s="4"/>
      <c r="AN323" s="108">
        <f t="shared" si="190"/>
        <v>0</v>
      </c>
    </row>
    <row r="324" spans="1:40" ht="12.75">
      <c r="A324" s="33">
        <f t="shared" si="203"/>
        <v>294</v>
      </c>
      <c r="B324" s="30">
        <f aca="true" t="shared" si="210" ref="B324:B387">IF(F$14=12,MOD(B323,12)+1,IF(F$14=4,IF(AND(MOD(B323,12)+3&gt;12,B323=11),2,IF(MOD(B323,12)+3&gt;12,1,MOD(B323,12)+3)),IF(F$14=2,IF((B323+6)&gt;12,(B323+6)-12,MOD(B323,12)+6),+B323)))</f>
        <v>6</v>
      </c>
      <c r="C324" s="30">
        <f t="shared" si="195"/>
        <v>20</v>
      </c>
      <c r="D324" s="30">
        <f aca="true" t="shared" si="211" ref="D324:D387">IF(F$14=1,D323+1,IF(AND(F$14=2,B324&lt;B323),D323+1,IF(AND(F$14=4,B324&lt;B323),D323+1,IF(OR(B324=1,B323=12),D323+1,D323))))</f>
        <v>2090</v>
      </c>
      <c r="E324" s="133">
        <f aca="true" t="shared" si="212" ref="E324:E387">ROUND(IF((+E323-F324)&lt;=-1,#VALUE!,E323-F324),2)</f>
        <v>0</v>
      </c>
      <c r="F324" s="1"/>
      <c r="G324" s="133">
        <f t="shared" si="194"/>
        <v>0</v>
      </c>
      <c r="H324" s="133">
        <f t="shared" si="177"/>
        <v>0</v>
      </c>
      <c r="I324" s="30">
        <f t="shared" si="207"/>
        <v>26516</v>
      </c>
      <c r="J324" s="133">
        <f t="shared" si="191"/>
        <v>0</v>
      </c>
      <c r="K324" s="10">
        <f aca="true" t="shared" si="213" ref="K324:K387">F324*((A324/$F$14)+$E$9/IF($M$3,365,360))</f>
        <v>0</v>
      </c>
      <c r="L324" s="22">
        <f t="shared" si="179"/>
        <v>0</v>
      </c>
      <c r="M324" s="10">
        <f t="shared" si="180"/>
        <v>0</v>
      </c>
      <c r="O324" s="30" t="b">
        <f aca="true" t="shared" si="214" ref="O324:O387">(OR(OR(OR(OR(OR(OR(B324=1,B324=3),B324=5),B324=7),B324=8),B324=10),B324=12))</f>
        <v>0</v>
      </c>
      <c r="P324" s="30" t="b">
        <f aca="true" t="shared" si="215" ref="P324:P387">(OR(OR(OR(B324=4,B324=6),B324=9),B324=11))</f>
        <v>1</v>
      </c>
      <c r="Q324" s="30" t="b">
        <f aca="true" t="shared" si="216" ref="Q324:Q387">OR((AND(B324=2,C324=28)),(AND(B324=2,C324=29)))</f>
        <v>0</v>
      </c>
      <c r="R324" s="30">
        <f aca="true" t="shared" si="217" ref="R324:R387">IF(AND(D324/4=(ROUND(D324/4,0)),B324=2),1,0)</f>
        <v>0</v>
      </c>
      <c r="S324" s="32">
        <f aca="true" t="shared" si="218" ref="S324:S387">IF(D324&gt;2078,0,DATE(+D324-1900,+B324,+C324))</f>
        <v>0</v>
      </c>
      <c r="Z324" s="10"/>
      <c r="AA324" s="45">
        <f aca="true" t="shared" si="219" ref="AA324:AA387">S324</f>
        <v>0</v>
      </c>
      <c r="AB324" s="3">
        <f aca="true" t="shared" si="220" ref="AB324:AB387">DAYS360($Z$29,AA324)</f>
        <v>-42054</v>
      </c>
      <c r="AC324" s="3">
        <f aca="true" t="shared" si="221" ref="AC324:AC387">AB324/360</f>
        <v>-116.81666666666666</v>
      </c>
      <c r="AD324" s="3">
        <f t="shared" si="193"/>
        <v>73.66666666666666</v>
      </c>
      <c r="AE324" s="48">
        <f aca="true" t="shared" si="222" ref="AE324:AE387">F324</f>
        <v>0</v>
      </c>
      <c r="AF324" s="3">
        <f aca="true" t="shared" si="223" ref="AF324:AF387">AE324*AD324</f>
        <v>0</v>
      </c>
      <c r="AH324" s="4"/>
      <c r="AI324" s="4"/>
      <c r="AN324" s="108">
        <f t="shared" si="190"/>
        <v>0</v>
      </c>
    </row>
    <row r="325" spans="1:40" ht="12.75">
      <c r="A325" s="33">
        <f t="shared" si="203"/>
        <v>295</v>
      </c>
      <c r="B325" s="30">
        <f t="shared" si="210"/>
        <v>9</v>
      </c>
      <c r="C325" s="30">
        <f t="shared" si="195"/>
        <v>20</v>
      </c>
      <c r="D325" s="30">
        <f t="shared" si="211"/>
        <v>2090</v>
      </c>
      <c r="E325" s="133">
        <f t="shared" si="212"/>
        <v>0</v>
      </c>
      <c r="F325" s="1"/>
      <c r="G325" s="133">
        <f t="shared" si="194"/>
        <v>0</v>
      </c>
      <c r="H325" s="133">
        <f t="shared" si="177"/>
        <v>0</v>
      </c>
      <c r="I325" s="30">
        <f t="shared" si="207"/>
        <v>26606</v>
      </c>
      <c r="J325" s="133">
        <f t="shared" si="191"/>
        <v>0</v>
      </c>
      <c r="K325" s="10">
        <f t="shared" si="213"/>
        <v>0</v>
      </c>
      <c r="L325" s="22">
        <f t="shared" si="179"/>
        <v>0</v>
      </c>
      <c r="M325" s="10">
        <f t="shared" si="180"/>
        <v>0</v>
      </c>
      <c r="O325" s="30" t="b">
        <f t="shared" si="214"/>
        <v>0</v>
      </c>
      <c r="P325" s="30" t="b">
        <f t="shared" si="215"/>
        <v>1</v>
      </c>
      <c r="Q325" s="30" t="b">
        <f t="shared" si="216"/>
        <v>0</v>
      </c>
      <c r="R325" s="30">
        <f t="shared" si="217"/>
        <v>0</v>
      </c>
      <c r="S325" s="32">
        <f t="shared" si="218"/>
        <v>0</v>
      </c>
      <c r="Z325" s="10"/>
      <c r="AA325" s="45">
        <f t="shared" si="219"/>
        <v>0</v>
      </c>
      <c r="AB325" s="3">
        <f t="shared" si="220"/>
        <v>-42054</v>
      </c>
      <c r="AC325" s="3">
        <f t="shared" si="221"/>
        <v>-116.81666666666666</v>
      </c>
      <c r="AD325" s="3">
        <f t="shared" si="193"/>
        <v>73.91666666666666</v>
      </c>
      <c r="AE325" s="48">
        <f t="shared" si="222"/>
        <v>0</v>
      </c>
      <c r="AF325" s="3">
        <f t="shared" si="223"/>
        <v>0</v>
      </c>
      <c r="AH325" s="4"/>
      <c r="AI325" s="4"/>
      <c r="AN325" s="108">
        <f t="shared" si="190"/>
        <v>0</v>
      </c>
    </row>
    <row r="326" spans="1:40" ht="12.75">
      <c r="A326" s="33">
        <f t="shared" si="203"/>
        <v>296</v>
      </c>
      <c r="B326" s="30">
        <f t="shared" si="210"/>
        <v>12</v>
      </c>
      <c r="C326" s="30">
        <f t="shared" si="195"/>
        <v>20</v>
      </c>
      <c r="D326" s="30">
        <f t="shared" si="211"/>
        <v>2090</v>
      </c>
      <c r="E326" s="133">
        <f t="shared" si="212"/>
        <v>0</v>
      </c>
      <c r="F326" s="1"/>
      <c r="G326" s="133">
        <f t="shared" si="194"/>
        <v>0</v>
      </c>
      <c r="H326" s="133">
        <f t="shared" si="177"/>
        <v>0</v>
      </c>
      <c r="I326" s="30">
        <f t="shared" si="207"/>
        <v>26696</v>
      </c>
      <c r="J326" s="133">
        <f t="shared" si="191"/>
        <v>0</v>
      </c>
      <c r="K326" s="10">
        <f t="shared" si="213"/>
        <v>0</v>
      </c>
      <c r="L326" s="22">
        <f t="shared" si="179"/>
        <v>0</v>
      </c>
      <c r="M326" s="10">
        <f t="shared" si="180"/>
        <v>0</v>
      </c>
      <c r="O326" s="30" t="b">
        <f t="shared" si="214"/>
        <v>1</v>
      </c>
      <c r="P326" s="30" t="b">
        <f t="shared" si="215"/>
        <v>0</v>
      </c>
      <c r="Q326" s="30" t="b">
        <f t="shared" si="216"/>
        <v>0</v>
      </c>
      <c r="R326" s="30">
        <f t="shared" si="217"/>
        <v>0</v>
      </c>
      <c r="S326" s="32">
        <f t="shared" si="218"/>
        <v>0</v>
      </c>
      <c r="Z326" s="10"/>
      <c r="AA326" s="45">
        <f t="shared" si="219"/>
        <v>0</v>
      </c>
      <c r="AB326" s="3">
        <f t="shared" si="220"/>
        <v>-42054</v>
      </c>
      <c r="AC326" s="3">
        <f t="shared" si="221"/>
        <v>-116.81666666666666</v>
      </c>
      <c r="AD326" s="3">
        <f t="shared" si="193"/>
        <v>74.16666666666666</v>
      </c>
      <c r="AE326" s="48">
        <f t="shared" si="222"/>
        <v>0</v>
      </c>
      <c r="AF326" s="3">
        <f t="shared" si="223"/>
        <v>0</v>
      </c>
      <c r="AH326" s="4"/>
      <c r="AI326" s="4"/>
      <c r="AN326" s="108">
        <f t="shared" si="190"/>
        <v>0</v>
      </c>
    </row>
    <row r="327" spans="1:40" ht="12.75">
      <c r="A327" s="33">
        <f t="shared" si="203"/>
        <v>297</v>
      </c>
      <c r="B327" s="30">
        <f t="shared" si="210"/>
        <v>3</v>
      </c>
      <c r="C327" s="30">
        <f t="shared" si="195"/>
        <v>20</v>
      </c>
      <c r="D327" s="30">
        <f t="shared" si="211"/>
        <v>2091</v>
      </c>
      <c r="E327" s="133">
        <f t="shared" si="212"/>
        <v>0</v>
      </c>
      <c r="F327" s="1"/>
      <c r="G327" s="133">
        <f t="shared" si="194"/>
        <v>0</v>
      </c>
      <c r="H327" s="133">
        <f t="shared" si="177"/>
        <v>0</v>
      </c>
      <c r="I327" s="30">
        <f t="shared" si="207"/>
        <v>26786</v>
      </c>
      <c r="J327" s="133">
        <f t="shared" si="191"/>
        <v>0</v>
      </c>
      <c r="K327" s="10">
        <f t="shared" si="213"/>
        <v>0</v>
      </c>
      <c r="L327" s="22">
        <f t="shared" si="179"/>
        <v>0</v>
      </c>
      <c r="M327" s="10">
        <f t="shared" si="180"/>
        <v>0</v>
      </c>
      <c r="O327" s="30" t="b">
        <f t="shared" si="214"/>
        <v>1</v>
      </c>
      <c r="P327" s="30" t="b">
        <f t="shared" si="215"/>
        <v>0</v>
      </c>
      <c r="Q327" s="30" t="b">
        <f t="shared" si="216"/>
        <v>0</v>
      </c>
      <c r="R327" s="30">
        <f t="shared" si="217"/>
        <v>0</v>
      </c>
      <c r="S327" s="32">
        <f t="shared" si="218"/>
        <v>0</v>
      </c>
      <c r="Z327" s="10"/>
      <c r="AA327" s="45">
        <f t="shared" si="219"/>
        <v>0</v>
      </c>
      <c r="AB327" s="3">
        <f t="shared" si="220"/>
        <v>-42054</v>
      </c>
      <c r="AC327" s="3">
        <f t="shared" si="221"/>
        <v>-116.81666666666666</v>
      </c>
      <c r="AD327" s="3">
        <f t="shared" si="193"/>
        <v>74.41666666666666</v>
      </c>
      <c r="AE327" s="48">
        <f t="shared" si="222"/>
        <v>0</v>
      </c>
      <c r="AF327" s="3">
        <f t="shared" si="223"/>
        <v>0</v>
      </c>
      <c r="AH327" s="4"/>
      <c r="AI327" s="4"/>
      <c r="AN327" s="108">
        <f t="shared" si="190"/>
        <v>0</v>
      </c>
    </row>
    <row r="328" spans="1:40" ht="12.75">
      <c r="A328" s="33">
        <f t="shared" si="203"/>
        <v>298</v>
      </c>
      <c r="B328" s="30">
        <f t="shared" si="210"/>
        <v>6</v>
      </c>
      <c r="C328" s="30">
        <f t="shared" si="195"/>
        <v>20</v>
      </c>
      <c r="D328" s="30">
        <f t="shared" si="211"/>
        <v>2091</v>
      </c>
      <c r="E328" s="133">
        <f t="shared" si="212"/>
        <v>0</v>
      </c>
      <c r="F328" s="1"/>
      <c r="G328" s="133">
        <f t="shared" si="194"/>
        <v>0</v>
      </c>
      <c r="H328" s="133">
        <f t="shared" si="177"/>
        <v>0</v>
      </c>
      <c r="I328" s="30">
        <f t="shared" si="207"/>
        <v>26876</v>
      </c>
      <c r="J328" s="133">
        <f t="shared" si="191"/>
        <v>0</v>
      </c>
      <c r="K328" s="10">
        <f t="shared" si="213"/>
        <v>0</v>
      </c>
      <c r="L328" s="22">
        <f t="shared" si="179"/>
        <v>0</v>
      </c>
      <c r="M328" s="10">
        <f t="shared" si="180"/>
        <v>0</v>
      </c>
      <c r="O328" s="30" t="b">
        <f t="shared" si="214"/>
        <v>0</v>
      </c>
      <c r="P328" s="30" t="b">
        <f t="shared" si="215"/>
        <v>1</v>
      </c>
      <c r="Q328" s="30" t="b">
        <f t="shared" si="216"/>
        <v>0</v>
      </c>
      <c r="R328" s="30">
        <f t="shared" si="217"/>
        <v>0</v>
      </c>
      <c r="S328" s="32">
        <f t="shared" si="218"/>
        <v>0</v>
      </c>
      <c r="Z328" s="10"/>
      <c r="AA328" s="45">
        <f t="shared" si="219"/>
        <v>0</v>
      </c>
      <c r="AB328" s="3">
        <f t="shared" si="220"/>
        <v>-42054</v>
      </c>
      <c r="AC328" s="3">
        <f t="shared" si="221"/>
        <v>-116.81666666666666</v>
      </c>
      <c r="AD328" s="3">
        <f t="shared" si="193"/>
        <v>74.66666666666666</v>
      </c>
      <c r="AE328" s="48">
        <f t="shared" si="222"/>
        <v>0</v>
      </c>
      <c r="AF328" s="3">
        <f t="shared" si="223"/>
        <v>0</v>
      </c>
      <c r="AH328" s="4"/>
      <c r="AI328" s="4"/>
      <c r="AN328" s="108">
        <f t="shared" si="190"/>
        <v>0</v>
      </c>
    </row>
    <row r="329" spans="1:40" ht="12.75">
      <c r="A329" s="33">
        <f t="shared" si="203"/>
        <v>299</v>
      </c>
      <c r="B329" s="30">
        <f t="shared" si="210"/>
        <v>9</v>
      </c>
      <c r="C329" s="30">
        <f t="shared" si="195"/>
        <v>20</v>
      </c>
      <c r="D329" s="30">
        <f t="shared" si="211"/>
        <v>2091</v>
      </c>
      <c r="E329" s="133">
        <f t="shared" si="212"/>
        <v>0</v>
      </c>
      <c r="F329" s="1"/>
      <c r="G329" s="133">
        <f t="shared" si="194"/>
        <v>0</v>
      </c>
      <c r="H329" s="133">
        <f t="shared" si="177"/>
        <v>0</v>
      </c>
      <c r="I329" s="30">
        <f t="shared" si="207"/>
        <v>26966</v>
      </c>
      <c r="J329" s="133">
        <f t="shared" si="191"/>
        <v>0</v>
      </c>
      <c r="K329" s="10">
        <f t="shared" si="213"/>
        <v>0</v>
      </c>
      <c r="L329" s="22">
        <f t="shared" si="179"/>
        <v>0</v>
      </c>
      <c r="M329" s="10">
        <f t="shared" si="180"/>
        <v>0</v>
      </c>
      <c r="O329" s="30" t="b">
        <f t="shared" si="214"/>
        <v>0</v>
      </c>
      <c r="P329" s="30" t="b">
        <f t="shared" si="215"/>
        <v>1</v>
      </c>
      <c r="Q329" s="30" t="b">
        <f t="shared" si="216"/>
        <v>0</v>
      </c>
      <c r="R329" s="30">
        <f t="shared" si="217"/>
        <v>0</v>
      </c>
      <c r="S329" s="32">
        <f t="shared" si="218"/>
        <v>0</v>
      </c>
      <c r="Z329" s="10"/>
      <c r="AA329" s="45">
        <f t="shared" si="219"/>
        <v>0</v>
      </c>
      <c r="AB329" s="3">
        <f t="shared" si="220"/>
        <v>-42054</v>
      </c>
      <c r="AC329" s="3">
        <f t="shared" si="221"/>
        <v>-116.81666666666666</v>
      </c>
      <c r="AD329" s="3">
        <f t="shared" si="193"/>
        <v>74.91666666666666</v>
      </c>
      <c r="AE329" s="48">
        <f t="shared" si="222"/>
        <v>0</v>
      </c>
      <c r="AF329" s="3">
        <f t="shared" si="223"/>
        <v>0</v>
      </c>
      <c r="AH329" s="4"/>
      <c r="AI329" s="4"/>
      <c r="AN329" s="108">
        <f t="shared" si="190"/>
        <v>0</v>
      </c>
    </row>
    <row r="330" spans="1:40" ht="12.75">
      <c r="A330" s="33">
        <f t="shared" si="203"/>
        <v>300</v>
      </c>
      <c r="B330" s="30">
        <f t="shared" si="210"/>
        <v>12</v>
      </c>
      <c r="C330" s="30">
        <f t="shared" si="195"/>
        <v>20</v>
      </c>
      <c r="D330" s="30">
        <f t="shared" si="211"/>
        <v>2091</v>
      </c>
      <c r="E330" s="133">
        <f t="shared" si="212"/>
        <v>0</v>
      </c>
      <c r="F330" s="1"/>
      <c r="G330" s="133">
        <f t="shared" si="194"/>
        <v>0</v>
      </c>
      <c r="H330" s="133">
        <f t="shared" si="177"/>
        <v>0</v>
      </c>
      <c r="I330" s="30">
        <f t="shared" si="207"/>
        <v>27056</v>
      </c>
      <c r="J330" s="133">
        <f t="shared" si="191"/>
        <v>0</v>
      </c>
      <c r="K330" s="10">
        <f t="shared" si="213"/>
        <v>0</v>
      </c>
      <c r="L330" s="22">
        <f t="shared" si="179"/>
        <v>0</v>
      </c>
      <c r="M330" s="10">
        <f t="shared" si="180"/>
        <v>0</v>
      </c>
      <c r="O330" s="30" t="b">
        <f t="shared" si="214"/>
        <v>1</v>
      </c>
      <c r="P330" s="30" t="b">
        <f t="shared" si="215"/>
        <v>0</v>
      </c>
      <c r="Q330" s="30" t="b">
        <f t="shared" si="216"/>
        <v>0</v>
      </c>
      <c r="R330" s="30">
        <f t="shared" si="217"/>
        <v>0</v>
      </c>
      <c r="S330" s="32">
        <f t="shared" si="218"/>
        <v>0</v>
      </c>
      <c r="Z330" s="10"/>
      <c r="AA330" s="45">
        <f t="shared" si="219"/>
        <v>0</v>
      </c>
      <c r="AB330" s="3">
        <f t="shared" si="220"/>
        <v>-42054</v>
      </c>
      <c r="AC330" s="3">
        <f t="shared" si="221"/>
        <v>-116.81666666666666</v>
      </c>
      <c r="AD330" s="3">
        <f t="shared" si="193"/>
        <v>75.16666666666666</v>
      </c>
      <c r="AE330" s="48">
        <f t="shared" si="222"/>
        <v>0</v>
      </c>
      <c r="AF330" s="3">
        <f t="shared" si="223"/>
        <v>0</v>
      </c>
      <c r="AH330" s="4"/>
      <c r="AI330" s="4"/>
      <c r="AN330" s="108">
        <f t="shared" si="190"/>
        <v>0</v>
      </c>
    </row>
    <row r="331" spans="1:40" ht="12.75">
      <c r="A331" s="33">
        <f t="shared" si="203"/>
        <v>301</v>
      </c>
      <c r="B331" s="30">
        <f t="shared" si="210"/>
        <v>3</v>
      </c>
      <c r="C331" s="30">
        <f t="shared" si="195"/>
        <v>20</v>
      </c>
      <c r="D331" s="30">
        <f t="shared" si="211"/>
        <v>2092</v>
      </c>
      <c r="E331" s="133">
        <f t="shared" si="212"/>
        <v>0</v>
      </c>
      <c r="F331" s="1"/>
      <c r="G331" s="133">
        <f t="shared" si="194"/>
        <v>0</v>
      </c>
      <c r="H331" s="133">
        <f t="shared" si="177"/>
        <v>0</v>
      </c>
      <c r="I331" s="30">
        <f t="shared" si="207"/>
        <v>27146</v>
      </c>
      <c r="J331" s="133">
        <f t="shared" si="191"/>
        <v>0</v>
      </c>
      <c r="K331" s="10">
        <f t="shared" si="213"/>
        <v>0</v>
      </c>
      <c r="L331" s="22">
        <f t="shared" si="179"/>
        <v>0</v>
      </c>
      <c r="M331" s="10">
        <f t="shared" si="180"/>
        <v>0</v>
      </c>
      <c r="O331" s="30" t="b">
        <f t="shared" si="214"/>
        <v>1</v>
      </c>
      <c r="P331" s="30" t="b">
        <f t="shared" si="215"/>
        <v>0</v>
      </c>
      <c r="Q331" s="30" t="b">
        <f t="shared" si="216"/>
        <v>0</v>
      </c>
      <c r="R331" s="30">
        <f t="shared" si="217"/>
        <v>0</v>
      </c>
      <c r="S331" s="32">
        <f t="shared" si="218"/>
        <v>0</v>
      </c>
      <c r="Z331" s="10"/>
      <c r="AA331" s="45">
        <f t="shared" si="219"/>
        <v>0</v>
      </c>
      <c r="AB331" s="3">
        <f t="shared" si="220"/>
        <v>-42054</v>
      </c>
      <c r="AC331" s="3">
        <f t="shared" si="221"/>
        <v>-116.81666666666666</v>
      </c>
      <c r="AD331" s="3">
        <f t="shared" si="193"/>
        <v>75.41666666666666</v>
      </c>
      <c r="AE331" s="48">
        <f t="shared" si="222"/>
        <v>0</v>
      </c>
      <c r="AF331" s="3">
        <f t="shared" si="223"/>
        <v>0</v>
      </c>
      <c r="AH331" s="4"/>
      <c r="AI331" s="4"/>
      <c r="AN331" s="108">
        <f t="shared" si="190"/>
        <v>0</v>
      </c>
    </row>
    <row r="332" spans="1:40" ht="12.75">
      <c r="A332" s="33">
        <f t="shared" si="203"/>
        <v>302</v>
      </c>
      <c r="B332" s="30">
        <f t="shared" si="210"/>
        <v>6</v>
      </c>
      <c r="C332" s="30">
        <f t="shared" si="195"/>
        <v>20</v>
      </c>
      <c r="D332" s="30">
        <f t="shared" si="211"/>
        <v>2092</v>
      </c>
      <c r="E332" s="133">
        <f t="shared" si="212"/>
        <v>0</v>
      </c>
      <c r="F332" s="1"/>
      <c r="G332" s="133">
        <f t="shared" si="194"/>
        <v>0</v>
      </c>
      <c r="H332" s="133">
        <f t="shared" si="177"/>
        <v>0</v>
      </c>
      <c r="I332" s="30">
        <f t="shared" si="207"/>
        <v>27236</v>
      </c>
      <c r="J332" s="133">
        <f t="shared" si="191"/>
        <v>0</v>
      </c>
      <c r="K332" s="10">
        <f t="shared" si="213"/>
        <v>0</v>
      </c>
      <c r="L332" s="22">
        <f t="shared" si="179"/>
        <v>0</v>
      </c>
      <c r="M332" s="10">
        <f t="shared" si="180"/>
        <v>0</v>
      </c>
      <c r="O332" s="30" t="b">
        <f t="shared" si="214"/>
        <v>0</v>
      </c>
      <c r="P332" s="30" t="b">
        <f t="shared" si="215"/>
        <v>1</v>
      </c>
      <c r="Q332" s="30" t="b">
        <f t="shared" si="216"/>
        <v>0</v>
      </c>
      <c r="R332" s="30">
        <f t="shared" si="217"/>
        <v>0</v>
      </c>
      <c r="S332" s="32">
        <f t="shared" si="218"/>
        <v>0</v>
      </c>
      <c r="Z332" s="10"/>
      <c r="AA332" s="45">
        <f t="shared" si="219"/>
        <v>0</v>
      </c>
      <c r="AB332" s="3">
        <f t="shared" si="220"/>
        <v>-42054</v>
      </c>
      <c r="AC332" s="3">
        <f t="shared" si="221"/>
        <v>-116.81666666666666</v>
      </c>
      <c r="AD332" s="3">
        <f t="shared" si="193"/>
        <v>75.66666666666666</v>
      </c>
      <c r="AE332" s="48">
        <f t="shared" si="222"/>
        <v>0</v>
      </c>
      <c r="AF332" s="3">
        <f t="shared" si="223"/>
        <v>0</v>
      </c>
      <c r="AH332" s="4"/>
      <c r="AI332" s="4"/>
      <c r="AN332" s="108">
        <f t="shared" si="190"/>
        <v>0</v>
      </c>
    </row>
    <row r="333" spans="1:40" ht="12.75">
      <c r="A333" s="33">
        <f t="shared" si="203"/>
        <v>303</v>
      </c>
      <c r="B333" s="30">
        <f t="shared" si="210"/>
        <v>9</v>
      </c>
      <c r="C333" s="30">
        <f t="shared" si="195"/>
        <v>20</v>
      </c>
      <c r="D333" s="30">
        <f t="shared" si="211"/>
        <v>2092</v>
      </c>
      <c r="E333" s="133">
        <f t="shared" si="212"/>
        <v>0</v>
      </c>
      <c r="F333" s="1"/>
      <c r="G333" s="133">
        <f t="shared" si="194"/>
        <v>0</v>
      </c>
      <c r="H333" s="133">
        <f t="shared" si="177"/>
        <v>0</v>
      </c>
      <c r="I333" s="30">
        <f t="shared" si="207"/>
        <v>27326</v>
      </c>
      <c r="J333" s="133">
        <f t="shared" si="191"/>
        <v>0</v>
      </c>
      <c r="K333" s="10">
        <f t="shared" si="213"/>
        <v>0</v>
      </c>
      <c r="L333" s="22">
        <f t="shared" si="179"/>
        <v>0</v>
      </c>
      <c r="M333" s="10">
        <f t="shared" si="180"/>
        <v>0</v>
      </c>
      <c r="O333" s="30" t="b">
        <f t="shared" si="214"/>
        <v>0</v>
      </c>
      <c r="P333" s="30" t="b">
        <f t="shared" si="215"/>
        <v>1</v>
      </c>
      <c r="Q333" s="30" t="b">
        <f t="shared" si="216"/>
        <v>0</v>
      </c>
      <c r="R333" s="30">
        <f t="shared" si="217"/>
        <v>0</v>
      </c>
      <c r="S333" s="32">
        <f t="shared" si="218"/>
        <v>0</v>
      </c>
      <c r="Z333" s="10"/>
      <c r="AA333" s="45">
        <f t="shared" si="219"/>
        <v>0</v>
      </c>
      <c r="AB333" s="3">
        <f t="shared" si="220"/>
        <v>-42054</v>
      </c>
      <c r="AC333" s="3">
        <f t="shared" si="221"/>
        <v>-116.81666666666666</v>
      </c>
      <c r="AD333" s="3">
        <f t="shared" si="193"/>
        <v>75.91666666666666</v>
      </c>
      <c r="AE333" s="48">
        <f t="shared" si="222"/>
        <v>0</v>
      </c>
      <c r="AF333" s="3">
        <f t="shared" si="223"/>
        <v>0</v>
      </c>
      <c r="AH333" s="4"/>
      <c r="AI333" s="4"/>
      <c r="AN333" s="108">
        <f t="shared" si="190"/>
        <v>0</v>
      </c>
    </row>
    <row r="334" spans="1:40" ht="12.75">
      <c r="A334" s="33">
        <f t="shared" si="203"/>
        <v>304</v>
      </c>
      <c r="B334" s="30">
        <f t="shared" si="210"/>
        <v>12</v>
      </c>
      <c r="C334" s="30">
        <f t="shared" si="195"/>
        <v>20</v>
      </c>
      <c r="D334" s="30">
        <f t="shared" si="211"/>
        <v>2092</v>
      </c>
      <c r="E334" s="133">
        <f t="shared" si="212"/>
        <v>0</v>
      </c>
      <c r="F334" s="1"/>
      <c r="G334" s="133">
        <f t="shared" si="194"/>
        <v>0</v>
      </c>
      <c r="H334" s="133">
        <f t="shared" si="177"/>
        <v>0</v>
      </c>
      <c r="I334" s="30">
        <f t="shared" si="207"/>
        <v>27416</v>
      </c>
      <c r="J334" s="133">
        <f t="shared" si="191"/>
        <v>0</v>
      </c>
      <c r="K334" s="10">
        <f t="shared" si="213"/>
        <v>0</v>
      </c>
      <c r="L334" s="22">
        <f t="shared" si="179"/>
        <v>0</v>
      </c>
      <c r="M334" s="10">
        <f t="shared" si="180"/>
        <v>0</v>
      </c>
      <c r="O334" s="30" t="b">
        <f t="shared" si="214"/>
        <v>1</v>
      </c>
      <c r="P334" s="30" t="b">
        <f t="shared" si="215"/>
        <v>0</v>
      </c>
      <c r="Q334" s="30" t="b">
        <f t="shared" si="216"/>
        <v>0</v>
      </c>
      <c r="R334" s="30">
        <f t="shared" si="217"/>
        <v>0</v>
      </c>
      <c r="S334" s="32">
        <f t="shared" si="218"/>
        <v>0</v>
      </c>
      <c r="Z334" s="10"/>
      <c r="AA334" s="45">
        <f t="shared" si="219"/>
        <v>0</v>
      </c>
      <c r="AB334" s="3">
        <f t="shared" si="220"/>
        <v>-42054</v>
      </c>
      <c r="AC334" s="3">
        <f t="shared" si="221"/>
        <v>-116.81666666666666</v>
      </c>
      <c r="AD334" s="3">
        <f t="shared" si="193"/>
        <v>76.16666666666666</v>
      </c>
      <c r="AE334" s="48">
        <f t="shared" si="222"/>
        <v>0</v>
      </c>
      <c r="AF334" s="3">
        <f t="shared" si="223"/>
        <v>0</v>
      </c>
      <c r="AH334" s="4"/>
      <c r="AI334" s="4"/>
      <c r="AN334" s="108">
        <f t="shared" si="190"/>
        <v>0</v>
      </c>
    </row>
    <row r="335" spans="1:40" ht="12.75">
      <c r="A335" s="33">
        <f t="shared" si="203"/>
        <v>305</v>
      </c>
      <c r="B335" s="30">
        <f t="shared" si="210"/>
        <v>3</v>
      </c>
      <c r="C335" s="30">
        <f t="shared" si="195"/>
        <v>20</v>
      </c>
      <c r="D335" s="30">
        <f t="shared" si="211"/>
        <v>2093</v>
      </c>
      <c r="E335" s="133">
        <f t="shared" si="212"/>
        <v>0</v>
      </c>
      <c r="F335" s="1"/>
      <c r="G335" s="133">
        <f t="shared" si="194"/>
        <v>0</v>
      </c>
      <c r="H335" s="133">
        <f t="shared" si="177"/>
        <v>0</v>
      </c>
      <c r="I335" s="30">
        <f t="shared" si="207"/>
        <v>27506</v>
      </c>
      <c r="J335" s="133">
        <f t="shared" si="191"/>
        <v>0</v>
      </c>
      <c r="K335" s="10">
        <f t="shared" si="213"/>
        <v>0</v>
      </c>
      <c r="L335" s="22">
        <f t="shared" si="179"/>
        <v>0</v>
      </c>
      <c r="M335" s="10">
        <f t="shared" si="180"/>
        <v>0</v>
      </c>
      <c r="O335" s="30" t="b">
        <f t="shared" si="214"/>
        <v>1</v>
      </c>
      <c r="P335" s="30" t="b">
        <f t="shared" si="215"/>
        <v>0</v>
      </c>
      <c r="Q335" s="30" t="b">
        <f t="shared" si="216"/>
        <v>0</v>
      </c>
      <c r="R335" s="30">
        <f t="shared" si="217"/>
        <v>0</v>
      </c>
      <c r="S335" s="32">
        <f t="shared" si="218"/>
        <v>0</v>
      </c>
      <c r="Z335" s="10"/>
      <c r="AA335" s="45">
        <f t="shared" si="219"/>
        <v>0</v>
      </c>
      <c r="AB335" s="3">
        <f t="shared" si="220"/>
        <v>-42054</v>
      </c>
      <c r="AC335" s="3">
        <f t="shared" si="221"/>
        <v>-116.81666666666666</v>
      </c>
      <c r="AD335" s="3">
        <f t="shared" si="193"/>
        <v>76.41666666666666</v>
      </c>
      <c r="AE335" s="48">
        <f t="shared" si="222"/>
        <v>0</v>
      </c>
      <c r="AF335" s="3">
        <f t="shared" si="223"/>
        <v>0</v>
      </c>
      <c r="AH335" s="4"/>
      <c r="AI335" s="4"/>
      <c r="AN335" s="108">
        <f t="shared" si="190"/>
        <v>0</v>
      </c>
    </row>
    <row r="336" spans="1:40" ht="12.75">
      <c r="A336" s="33">
        <f t="shared" si="203"/>
        <v>306</v>
      </c>
      <c r="B336" s="30">
        <f t="shared" si="210"/>
        <v>6</v>
      </c>
      <c r="C336" s="30">
        <f t="shared" si="195"/>
        <v>20</v>
      </c>
      <c r="D336" s="30">
        <f t="shared" si="211"/>
        <v>2093</v>
      </c>
      <c r="E336" s="133">
        <f t="shared" si="212"/>
        <v>0</v>
      </c>
      <c r="F336" s="1"/>
      <c r="G336" s="133">
        <f t="shared" si="194"/>
        <v>0</v>
      </c>
      <c r="H336" s="133">
        <f t="shared" si="177"/>
        <v>0</v>
      </c>
      <c r="I336" s="30">
        <f t="shared" si="207"/>
        <v>27596</v>
      </c>
      <c r="J336" s="133">
        <f t="shared" si="191"/>
        <v>0</v>
      </c>
      <c r="K336" s="10">
        <f t="shared" si="213"/>
        <v>0</v>
      </c>
      <c r="L336" s="22">
        <f t="shared" si="179"/>
        <v>0</v>
      </c>
      <c r="M336" s="10">
        <f t="shared" si="180"/>
        <v>0</v>
      </c>
      <c r="O336" s="30" t="b">
        <f t="shared" si="214"/>
        <v>0</v>
      </c>
      <c r="P336" s="30" t="b">
        <f t="shared" si="215"/>
        <v>1</v>
      </c>
      <c r="Q336" s="30" t="b">
        <f t="shared" si="216"/>
        <v>0</v>
      </c>
      <c r="R336" s="30">
        <f t="shared" si="217"/>
        <v>0</v>
      </c>
      <c r="S336" s="32">
        <f t="shared" si="218"/>
        <v>0</v>
      </c>
      <c r="Z336" s="10"/>
      <c r="AA336" s="45">
        <f t="shared" si="219"/>
        <v>0</v>
      </c>
      <c r="AB336" s="3">
        <f t="shared" si="220"/>
        <v>-42054</v>
      </c>
      <c r="AC336" s="3">
        <f t="shared" si="221"/>
        <v>-116.81666666666666</v>
      </c>
      <c r="AD336" s="3">
        <f t="shared" si="193"/>
        <v>76.66666666666666</v>
      </c>
      <c r="AE336" s="48">
        <f t="shared" si="222"/>
        <v>0</v>
      </c>
      <c r="AF336" s="3">
        <f t="shared" si="223"/>
        <v>0</v>
      </c>
      <c r="AH336" s="4"/>
      <c r="AI336" s="4"/>
      <c r="AN336" s="108">
        <f t="shared" si="190"/>
        <v>0</v>
      </c>
    </row>
    <row r="337" spans="1:40" ht="12.75">
      <c r="A337" s="33">
        <f t="shared" si="203"/>
        <v>307</v>
      </c>
      <c r="B337" s="30">
        <f t="shared" si="210"/>
        <v>9</v>
      </c>
      <c r="C337" s="30">
        <f t="shared" si="195"/>
        <v>20</v>
      </c>
      <c r="D337" s="30">
        <f t="shared" si="211"/>
        <v>2093</v>
      </c>
      <c r="E337" s="133">
        <f t="shared" si="212"/>
        <v>0</v>
      </c>
      <c r="F337" s="1"/>
      <c r="G337" s="133">
        <f t="shared" si="194"/>
        <v>0</v>
      </c>
      <c r="H337" s="133">
        <f t="shared" si="177"/>
        <v>0</v>
      </c>
      <c r="I337" s="30">
        <f t="shared" si="207"/>
        <v>27686</v>
      </c>
      <c r="J337" s="133">
        <f t="shared" si="191"/>
        <v>0</v>
      </c>
      <c r="K337" s="10">
        <f t="shared" si="213"/>
        <v>0</v>
      </c>
      <c r="L337" s="22">
        <f t="shared" si="179"/>
        <v>0</v>
      </c>
      <c r="M337" s="10">
        <f t="shared" si="180"/>
        <v>0</v>
      </c>
      <c r="O337" s="30" t="b">
        <f t="shared" si="214"/>
        <v>0</v>
      </c>
      <c r="P337" s="30" t="b">
        <f t="shared" si="215"/>
        <v>1</v>
      </c>
      <c r="Q337" s="30" t="b">
        <f t="shared" si="216"/>
        <v>0</v>
      </c>
      <c r="R337" s="30">
        <f t="shared" si="217"/>
        <v>0</v>
      </c>
      <c r="S337" s="32">
        <f t="shared" si="218"/>
        <v>0</v>
      </c>
      <c r="Z337" s="10"/>
      <c r="AA337" s="45">
        <f t="shared" si="219"/>
        <v>0</v>
      </c>
      <c r="AB337" s="3">
        <f t="shared" si="220"/>
        <v>-42054</v>
      </c>
      <c r="AC337" s="3">
        <f t="shared" si="221"/>
        <v>-116.81666666666666</v>
      </c>
      <c r="AD337" s="3">
        <f t="shared" si="193"/>
        <v>76.91666666666666</v>
      </c>
      <c r="AE337" s="48">
        <f t="shared" si="222"/>
        <v>0</v>
      </c>
      <c r="AF337" s="3">
        <f t="shared" si="223"/>
        <v>0</v>
      </c>
      <c r="AH337" s="4"/>
      <c r="AI337" s="4"/>
      <c r="AN337" s="108">
        <f t="shared" si="190"/>
        <v>0</v>
      </c>
    </row>
    <row r="338" spans="1:40" ht="12.75">
      <c r="A338" s="33">
        <f t="shared" si="203"/>
        <v>308</v>
      </c>
      <c r="B338" s="30">
        <f t="shared" si="210"/>
        <v>12</v>
      </c>
      <c r="C338" s="30">
        <f t="shared" si="195"/>
        <v>20</v>
      </c>
      <c r="D338" s="30">
        <f t="shared" si="211"/>
        <v>2093</v>
      </c>
      <c r="E338" s="133">
        <f t="shared" si="212"/>
        <v>0</v>
      </c>
      <c r="F338" s="1"/>
      <c r="G338" s="133">
        <f t="shared" si="194"/>
        <v>0</v>
      </c>
      <c r="H338" s="133">
        <f t="shared" si="177"/>
        <v>0</v>
      </c>
      <c r="I338" s="30">
        <f t="shared" si="207"/>
        <v>27776</v>
      </c>
      <c r="J338" s="133">
        <f t="shared" si="191"/>
        <v>0</v>
      </c>
      <c r="K338" s="10">
        <f t="shared" si="213"/>
        <v>0</v>
      </c>
      <c r="L338" s="22">
        <f t="shared" si="179"/>
        <v>0</v>
      </c>
      <c r="M338" s="10">
        <f t="shared" si="180"/>
        <v>0</v>
      </c>
      <c r="O338" s="30" t="b">
        <f t="shared" si="214"/>
        <v>1</v>
      </c>
      <c r="P338" s="30" t="b">
        <f t="shared" si="215"/>
        <v>0</v>
      </c>
      <c r="Q338" s="30" t="b">
        <f t="shared" si="216"/>
        <v>0</v>
      </c>
      <c r="R338" s="30">
        <f t="shared" si="217"/>
        <v>0</v>
      </c>
      <c r="S338" s="32">
        <f t="shared" si="218"/>
        <v>0</v>
      </c>
      <c r="Z338" s="10"/>
      <c r="AA338" s="45">
        <f t="shared" si="219"/>
        <v>0</v>
      </c>
      <c r="AB338" s="3">
        <f t="shared" si="220"/>
        <v>-42054</v>
      </c>
      <c r="AC338" s="3">
        <f t="shared" si="221"/>
        <v>-116.81666666666666</v>
      </c>
      <c r="AD338" s="3">
        <f t="shared" si="193"/>
        <v>77.16666666666666</v>
      </c>
      <c r="AE338" s="48">
        <f t="shared" si="222"/>
        <v>0</v>
      </c>
      <c r="AF338" s="3">
        <f t="shared" si="223"/>
        <v>0</v>
      </c>
      <c r="AH338" s="4"/>
      <c r="AI338" s="4"/>
      <c r="AN338" s="108">
        <f t="shared" si="190"/>
        <v>0</v>
      </c>
    </row>
    <row r="339" spans="1:40" ht="12.75">
      <c r="A339" s="33">
        <f t="shared" si="203"/>
        <v>309</v>
      </c>
      <c r="B339" s="30">
        <f t="shared" si="210"/>
        <v>3</v>
      </c>
      <c r="C339" s="30">
        <f t="shared" si="195"/>
        <v>20</v>
      </c>
      <c r="D339" s="30">
        <f t="shared" si="211"/>
        <v>2094</v>
      </c>
      <c r="E339" s="133">
        <f t="shared" si="212"/>
        <v>0</v>
      </c>
      <c r="F339" s="1"/>
      <c r="G339" s="133">
        <f t="shared" si="194"/>
        <v>0</v>
      </c>
      <c r="H339" s="133">
        <f t="shared" si="177"/>
        <v>0</v>
      </c>
      <c r="I339" s="30">
        <f t="shared" si="207"/>
        <v>27866</v>
      </c>
      <c r="J339" s="133">
        <f t="shared" si="191"/>
        <v>0</v>
      </c>
      <c r="K339" s="10">
        <f t="shared" si="213"/>
        <v>0</v>
      </c>
      <c r="L339" s="22">
        <f t="shared" si="179"/>
        <v>0</v>
      </c>
      <c r="M339" s="10">
        <f t="shared" si="180"/>
        <v>0</v>
      </c>
      <c r="O339" s="30" t="b">
        <f t="shared" si="214"/>
        <v>1</v>
      </c>
      <c r="P339" s="30" t="b">
        <f t="shared" si="215"/>
        <v>0</v>
      </c>
      <c r="Q339" s="30" t="b">
        <f t="shared" si="216"/>
        <v>0</v>
      </c>
      <c r="R339" s="30">
        <f t="shared" si="217"/>
        <v>0</v>
      </c>
      <c r="S339" s="32">
        <f t="shared" si="218"/>
        <v>0</v>
      </c>
      <c r="Z339" s="10"/>
      <c r="AA339" s="45">
        <f t="shared" si="219"/>
        <v>0</v>
      </c>
      <c r="AB339" s="3">
        <f t="shared" si="220"/>
        <v>-42054</v>
      </c>
      <c r="AC339" s="3">
        <f t="shared" si="221"/>
        <v>-116.81666666666666</v>
      </c>
      <c r="AD339" s="3">
        <f t="shared" si="193"/>
        <v>77.41666666666666</v>
      </c>
      <c r="AE339" s="48">
        <f t="shared" si="222"/>
        <v>0</v>
      </c>
      <c r="AF339" s="3">
        <f t="shared" si="223"/>
        <v>0</v>
      </c>
      <c r="AH339" s="4"/>
      <c r="AI339" s="4"/>
      <c r="AN339" s="108">
        <f t="shared" si="190"/>
        <v>0</v>
      </c>
    </row>
    <row r="340" spans="1:40" ht="12.75">
      <c r="A340" s="33">
        <f t="shared" si="203"/>
        <v>310</v>
      </c>
      <c r="B340" s="30">
        <f t="shared" si="210"/>
        <v>6</v>
      </c>
      <c r="C340" s="30">
        <f t="shared" si="195"/>
        <v>20</v>
      </c>
      <c r="D340" s="30">
        <f t="shared" si="211"/>
        <v>2094</v>
      </c>
      <c r="E340" s="133">
        <f t="shared" si="212"/>
        <v>0</v>
      </c>
      <c r="F340" s="1"/>
      <c r="G340" s="133">
        <f t="shared" si="194"/>
        <v>0</v>
      </c>
      <c r="H340" s="133">
        <f t="shared" si="177"/>
        <v>0</v>
      </c>
      <c r="I340" s="30">
        <f t="shared" si="207"/>
        <v>27956</v>
      </c>
      <c r="J340" s="133">
        <f t="shared" si="191"/>
        <v>0</v>
      </c>
      <c r="K340" s="10">
        <f t="shared" si="213"/>
        <v>0</v>
      </c>
      <c r="L340" s="22">
        <f t="shared" si="179"/>
        <v>0</v>
      </c>
      <c r="M340" s="10">
        <f t="shared" si="180"/>
        <v>0</v>
      </c>
      <c r="O340" s="30" t="b">
        <f t="shared" si="214"/>
        <v>0</v>
      </c>
      <c r="P340" s="30" t="b">
        <f t="shared" si="215"/>
        <v>1</v>
      </c>
      <c r="Q340" s="30" t="b">
        <f t="shared" si="216"/>
        <v>0</v>
      </c>
      <c r="R340" s="30">
        <f t="shared" si="217"/>
        <v>0</v>
      </c>
      <c r="S340" s="32">
        <f t="shared" si="218"/>
        <v>0</v>
      </c>
      <c r="Z340" s="10"/>
      <c r="AA340" s="45">
        <f t="shared" si="219"/>
        <v>0</v>
      </c>
      <c r="AB340" s="3">
        <f t="shared" si="220"/>
        <v>-42054</v>
      </c>
      <c r="AC340" s="3">
        <f t="shared" si="221"/>
        <v>-116.81666666666666</v>
      </c>
      <c r="AD340" s="3">
        <f t="shared" si="193"/>
        <v>77.66666666666666</v>
      </c>
      <c r="AE340" s="48">
        <f t="shared" si="222"/>
        <v>0</v>
      </c>
      <c r="AF340" s="3">
        <f t="shared" si="223"/>
        <v>0</v>
      </c>
      <c r="AH340" s="4"/>
      <c r="AI340" s="4"/>
      <c r="AN340" s="108">
        <f t="shared" si="190"/>
        <v>0</v>
      </c>
    </row>
    <row r="341" spans="1:40" ht="12.75">
      <c r="A341" s="33">
        <f t="shared" si="203"/>
        <v>311</v>
      </c>
      <c r="B341" s="30">
        <f t="shared" si="210"/>
        <v>9</v>
      </c>
      <c r="C341" s="30">
        <f t="shared" si="195"/>
        <v>20</v>
      </c>
      <c r="D341" s="30">
        <f t="shared" si="211"/>
        <v>2094</v>
      </c>
      <c r="E341" s="133">
        <f t="shared" si="212"/>
        <v>0</v>
      </c>
      <c r="F341" s="1"/>
      <c r="G341" s="133">
        <f t="shared" si="194"/>
        <v>0</v>
      </c>
      <c r="H341" s="133">
        <f t="shared" si="177"/>
        <v>0</v>
      </c>
      <c r="I341" s="30">
        <f t="shared" si="207"/>
        <v>28046</v>
      </c>
      <c r="J341" s="133">
        <f t="shared" si="191"/>
        <v>0</v>
      </c>
      <c r="K341" s="10">
        <f t="shared" si="213"/>
        <v>0</v>
      </c>
      <c r="L341" s="22">
        <f t="shared" si="179"/>
        <v>0</v>
      </c>
      <c r="M341" s="10">
        <f t="shared" si="180"/>
        <v>0</v>
      </c>
      <c r="O341" s="30" t="b">
        <f t="shared" si="214"/>
        <v>0</v>
      </c>
      <c r="P341" s="30" t="b">
        <f t="shared" si="215"/>
        <v>1</v>
      </c>
      <c r="Q341" s="30" t="b">
        <f t="shared" si="216"/>
        <v>0</v>
      </c>
      <c r="R341" s="30">
        <f t="shared" si="217"/>
        <v>0</v>
      </c>
      <c r="S341" s="32">
        <f t="shared" si="218"/>
        <v>0</v>
      </c>
      <c r="Z341" s="10"/>
      <c r="AA341" s="45">
        <f t="shared" si="219"/>
        <v>0</v>
      </c>
      <c r="AB341" s="3">
        <f t="shared" si="220"/>
        <v>-42054</v>
      </c>
      <c r="AC341" s="3">
        <f t="shared" si="221"/>
        <v>-116.81666666666666</v>
      </c>
      <c r="AD341" s="3">
        <f t="shared" si="193"/>
        <v>77.91666666666666</v>
      </c>
      <c r="AE341" s="48">
        <f t="shared" si="222"/>
        <v>0</v>
      </c>
      <c r="AF341" s="3">
        <f t="shared" si="223"/>
        <v>0</v>
      </c>
      <c r="AH341" s="4"/>
      <c r="AI341" s="4"/>
      <c r="AN341" s="108">
        <f t="shared" si="190"/>
        <v>0</v>
      </c>
    </row>
    <row r="342" spans="1:40" ht="12.75">
      <c r="A342" s="33">
        <f t="shared" si="203"/>
        <v>312</v>
      </c>
      <c r="B342" s="30">
        <f t="shared" si="210"/>
        <v>12</v>
      </c>
      <c r="C342" s="30">
        <f t="shared" si="195"/>
        <v>20</v>
      </c>
      <c r="D342" s="30">
        <f t="shared" si="211"/>
        <v>2094</v>
      </c>
      <c r="E342" s="133">
        <f t="shared" si="212"/>
        <v>0</v>
      </c>
      <c r="F342" s="1"/>
      <c r="G342" s="133">
        <f t="shared" si="194"/>
        <v>0</v>
      </c>
      <c r="H342" s="133">
        <f t="shared" si="177"/>
        <v>0</v>
      </c>
      <c r="I342" s="30">
        <f t="shared" si="207"/>
        <v>28136</v>
      </c>
      <c r="J342" s="133">
        <f t="shared" si="191"/>
        <v>0</v>
      </c>
      <c r="K342" s="10">
        <f t="shared" si="213"/>
        <v>0</v>
      </c>
      <c r="L342" s="22">
        <f t="shared" si="179"/>
        <v>0</v>
      </c>
      <c r="M342" s="10">
        <f t="shared" si="180"/>
        <v>0</v>
      </c>
      <c r="O342" s="30" t="b">
        <f t="shared" si="214"/>
        <v>1</v>
      </c>
      <c r="P342" s="30" t="b">
        <f t="shared" si="215"/>
        <v>0</v>
      </c>
      <c r="Q342" s="30" t="b">
        <f t="shared" si="216"/>
        <v>0</v>
      </c>
      <c r="R342" s="30">
        <f t="shared" si="217"/>
        <v>0</v>
      </c>
      <c r="S342" s="32">
        <f t="shared" si="218"/>
        <v>0</v>
      </c>
      <c r="Z342" s="10"/>
      <c r="AA342" s="45">
        <f t="shared" si="219"/>
        <v>0</v>
      </c>
      <c r="AB342" s="3">
        <f t="shared" si="220"/>
        <v>-42054</v>
      </c>
      <c r="AC342" s="3">
        <f t="shared" si="221"/>
        <v>-116.81666666666666</v>
      </c>
      <c r="AD342" s="3">
        <f t="shared" si="193"/>
        <v>78.16666666666666</v>
      </c>
      <c r="AE342" s="48">
        <f t="shared" si="222"/>
        <v>0</v>
      </c>
      <c r="AF342" s="3">
        <f t="shared" si="223"/>
        <v>0</v>
      </c>
      <c r="AH342" s="4"/>
      <c r="AI342" s="4"/>
      <c r="AN342" s="108">
        <f t="shared" si="190"/>
        <v>0</v>
      </c>
    </row>
    <row r="343" spans="1:40" ht="12.75">
      <c r="A343" s="33">
        <f t="shared" si="203"/>
        <v>313</v>
      </c>
      <c r="B343" s="30">
        <f t="shared" si="210"/>
        <v>3</v>
      </c>
      <c r="C343" s="30">
        <f t="shared" si="195"/>
        <v>20</v>
      </c>
      <c r="D343" s="30">
        <f t="shared" si="211"/>
        <v>2095</v>
      </c>
      <c r="E343" s="133">
        <f t="shared" si="212"/>
        <v>0</v>
      </c>
      <c r="F343" s="1"/>
      <c r="G343" s="133">
        <f t="shared" si="194"/>
        <v>0</v>
      </c>
      <c r="H343" s="133">
        <f t="shared" si="177"/>
        <v>0</v>
      </c>
      <c r="I343" s="30">
        <f t="shared" si="207"/>
        <v>28226</v>
      </c>
      <c r="J343" s="133">
        <f t="shared" si="191"/>
        <v>0</v>
      </c>
      <c r="K343" s="10">
        <f t="shared" si="213"/>
        <v>0</v>
      </c>
      <c r="L343" s="22">
        <f t="shared" si="179"/>
        <v>0</v>
      </c>
      <c r="M343" s="10">
        <f t="shared" si="180"/>
        <v>0</v>
      </c>
      <c r="O343" s="30" t="b">
        <f t="shared" si="214"/>
        <v>1</v>
      </c>
      <c r="P343" s="30" t="b">
        <f t="shared" si="215"/>
        <v>0</v>
      </c>
      <c r="Q343" s="30" t="b">
        <f t="shared" si="216"/>
        <v>0</v>
      </c>
      <c r="R343" s="30">
        <f t="shared" si="217"/>
        <v>0</v>
      </c>
      <c r="S343" s="32">
        <f t="shared" si="218"/>
        <v>0</v>
      </c>
      <c r="Z343" s="10"/>
      <c r="AA343" s="45">
        <f t="shared" si="219"/>
        <v>0</v>
      </c>
      <c r="AB343" s="3">
        <f t="shared" si="220"/>
        <v>-42054</v>
      </c>
      <c r="AC343" s="3">
        <f t="shared" si="221"/>
        <v>-116.81666666666666</v>
      </c>
      <c r="AD343" s="3">
        <f t="shared" si="193"/>
        <v>78.41666666666666</v>
      </c>
      <c r="AE343" s="48">
        <f t="shared" si="222"/>
        <v>0</v>
      </c>
      <c r="AF343" s="3">
        <f t="shared" si="223"/>
        <v>0</v>
      </c>
      <c r="AH343" s="4"/>
      <c r="AI343" s="4"/>
      <c r="AN343" s="108">
        <f t="shared" si="190"/>
        <v>0</v>
      </c>
    </row>
    <row r="344" spans="1:40" ht="12.75">
      <c r="A344" s="33">
        <f t="shared" si="203"/>
        <v>314</v>
      </c>
      <c r="B344" s="30">
        <f t="shared" si="210"/>
        <v>6</v>
      </c>
      <c r="C344" s="30">
        <f t="shared" si="195"/>
        <v>20</v>
      </c>
      <c r="D344" s="30">
        <f t="shared" si="211"/>
        <v>2095</v>
      </c>
      <c r="E344" s="133">
        <f t="shared" si="212"/>
        <v>0</v>
      </c>
      <c r="F344" s="1"/>
      <c r="G344" s="133">
        <f t="shared" si="194"/>
        <v>0</v>
      </c>
      <c r="H344" s="133">
        <f t="shared" si="177"/>
        <v>0</v>
      </c>
      <c r="I344" s="30">
        <f t="shared" si="207"/>
        <v>28316</v>
      </c>
      <c r="J344" s="133">
        <f t="shared" si="191"/>
        <v>0</v>
      </c>
      <c r="K344" s="10">
        <f t="shared" si="213"/>
        <v>0</v>
      </c>
      <c r="L344" s="22">
        <f t="shared" si="179"/>
        <v>0</v>
      </c>
      <c r="M344" s="10">
        <f t="shared" si="180"/>
        <v>0</v>
      </c>
      <c r="O344" s="30" t="b">
        <f t="shared" si="214"/>
        <v>0</v>
      </c>
      <c r="P344" s="30" t="b">
        <f t="shared" si="215"/>
        <v>1</v>
      </c>
      <c r="Q344" s="30" t="b">
        <f t="shared" si="216"/>
        <v>0</v>
      </c>
      <c r="R344" s="30">
        <f t="shared" si="217"/>
        <v>0</v>
      </c>
      <c r="S344" s="32">
        <f t="shared" si="218"/>
        <v>0</v>
      </c>
      <c r="Z344" s="10"/>
      <c r="AA344" s="45">
        <f t="shared" si="219"/>
        <v>0</v>
      </c>
      <c r="AB344" s="3">
        <f t="shared" si="220"/>
        <v>-42054</v>
      </c>
      <c r="AC344" s="3">
        <f t="shared" si="221"/>
        <v>-116.81666666666666</v>
      </c>
      <c r="AD344" s="3">
        <f t="shared" si="193"/>
        <v>78.66666666666666</v>
      </c>
      <c r="AE344" s="48">
        <f t="shared" si="222"/>
        <v>0</v>
      </c>
      <c r="AF344" s="3">
        <f t="shared" si="223"/>
        <v>0</v>
      </c>
      <c r="AH344" s="4"/>
      <c r="AI344" s="4"/>
      <c r="AN344" s="108">
        <f t="shared" si="190"/>
        <v>0</v>
      </c>
    </row>
    <row r="345" spans="1:40" ht="12.75">
      <c r="A345" s="33">
        <f t="shared" si="203"/>
        <v>315</v>
      </c>
      <c r="B345" s="30">
        <f t="shared" si="210"/>
        <v>9</v>
      </c>
      <c r="C345" s="30">
        <f t="shared" si="195"/>
        <v>20</v>
      </c>
      <c r="D345" s="30">
        <f t="shared" si="211"/>
        <v>2095</v>
      </c>
      <c r="E345" s="133">
        <f t="shared" si="212"/>
        <v>0</v>
      </c>
      <c r="F345" s="1"/>
      <c r="G345" s="133">
        <f t="shared" si="194"/>
        <v>0</v>
      </c>
      <c r="H345" s="133">
        <f t="shared" si="177"/>
        <v>0</v>
      </c>
      <c r="I345" s="30">
        <f t="shared" si="207"/>
        <v>28406</v>
      </c>
      <c r="J345" s="133">
        <f t="shared" si="191"/>
        <v>0</v>
      </c>
      <c r="K345" s="10">
        <f t="shared" si="213"/>
        <v>0</v>
      </c>
      <c r="L345" s="22">
        <f t="shared" si="179"/>
        <v>0</v>
      </c>
      <c r="M345" s="10">
        <f t="shared" si="180"/>
        <v>0</v>
      </c>
      <c r="O345" s="30" t="b">
        <f t="shared" si="214"/>
        <v>0</v>
      </c>
      <c r="P345" s="30" t="b">
        <f t="shared" si="215"/>
        <v>1</v>
      </c>
      <c r="Q345" s="30" t="b">
        <f t="shared" si="216"/>
        <v>0</v>
      </c>
      <c r="R345" s="30">
        <f t="shared" si="217"/>
        <v>0</v>
      </c>
      <c r="S345" s="32">
        <f t="shared" si="218"/>
        <v>0</v>
      </c>
      <c r="Z345" s="10"/>
      <c r="AA345" s="45">
        <f t="shared" si="219"/>
        <v>0</v>
      </c>
      <c r="AB345" s="3">
        <f t="shared" si="220"/>
        <v>-42054</v>
      </c>
      <c r="AC345" s="3">
        <f t="shared" si="221"/>
        <v>-116.81666666666666</v>
      </c>
      <c r="AD345" s="3">
        <f t="shared" si="193"/>
        <v>78.91666666666666</v>
      </c>
      <c r="AE345" s="48">
        <f t="shared" si="222"/>
        <v>0</v>
      </c>
      <c r="AF345" s="3">
        <f t="shared" si="223"/>
        <v>0</v>
      </c>
      <c r="AH345" s="4"/>
      <c r="AI345" s="4"/>
      <c r="AN345" s="108">
        <f t="shared" si="190"/>
        <v>0</v>
      </c>
    </row>
    <row r="346" spans="1:40" ht="12.75">
      <c r="A346" s="33">
        <f t="shared" si="203"/>
        <v>316</v>
      </c>
      <c r="B346" s="30">
        <f t="shared" si="210"/>
        <v>12</v>
      </c>
      <c r="C346" s="30">
        <f t="shared" si="195"/>
        <v>20</v>
      </c>
      <c r="D346" s="30">
        <f t="shared" si="211"/>
        <v>2095</v>
      </c>
      <c r="E346" s="133">
        <f t="shared" si="212"/>
        <v>0</v>
      </c>
      <c r="F346" s="1"/>
      <c r="G346" s="133">
        <f t="shared" si="194"/>
        <v>0</v>
      </c>
      <c r="H346" s="133">
        <f t="shared" si="177"/>
        <v>0</v>
      </c>
      <c r="I346" s="30">
        <f t="shared" si="207"/>
        <v>28496</v>
      </c>
      <c r="J346" s="133">
        <f t="shared" si="191"/>
        <v>0</v>
      </c>
      <c r="K346" s="10">
        <f t="shared" si="213"/>
        <v>0</v>
      </c>
      <c r="L346" s="22">
        <f t="shared" si="179"/>
        <v>0</v>
      </c>
      <c r="M346" s="10">
        <f t="shared" si="180"/>
        <v>0</v>
      </c>
      <c r="O346" s="30" t="b">
        <f t="shared" si="214"/>
        <v>1</v>
      </c>
      <c r="P346" s="30" t="b">
        <f t="shared" si="215"/>
        <v>0</v>
      </c>
      <c r="Q346" s="30" t="b">
        <f t="shared" si="216"/>
        <v>0</v>
      </c>
      <c r="R346" s="30">
        <f t="shared" si="217"/>
        <v>0</v>
      </c>
      <c r="S346" s="32">
        <f t="shared" si="218"/>
        <v>0</v>
      </c>
      <c r="Z346" s="10"/>
      <c r="AA346" s="45">
        <f t="shared" si="219"/>
        <v>0</v>
      </c>
      <c r="AB346" s="3">
        <f t="shared" si="220"/>
        <v>-42054</v>
      </c>
      <c r="AC346" s="3">
        <f t="shared" si="221"/>
        <v>-116.81666666666666</v>
      </c>
      <c r="AD346" s="3">
        <f t="shared" si="193"/>
        <v>79.16666666666666</v>
      </c>
      <c r="AE346" s="48">
        <f t="shared" si="222"/>
        <v>0</v>
      </c>
      <c r="AF346" s="3">
        <f t="shared" si="223"/>
        <v>0</v>
      </c>
      <c r="AH346" s="4"/>
      <c r="AI346" s="4"/>
      <c r="AN346" s="108">
        <f t="shared" si="190"/>
        <v>0</v>
      </c>
    </row>
    <row r="347" spans="1:40" ht="12.75">
      <c r="A347" s="33">
        <f t="shared" si="203"/>
        <v>317</v>
      </c>
      <c r="B347" s="30">
        <f t="shared" si="210"/>
        <v>3</v>
      </c>
      <c r="C347" s="30">
        <f t="shared" si="195"/>
        <v>20</v>
      </c>
      <c r="D347" s="30">
        <f t="shared" si="211"/>
        <v>2096</v>
      </c>
      <c r="E347" s="133">
        <f t="shared" si="212"/>
        <v>0</v>
      </c>
      <c r="F347" s="1"/>
      <c r="G347" s="133">
        <f t="shared" si="194"/>
        <v>0</v>
      </c>
      <c r="H347" s="133">
        <f t="shared" si="177"/>
        <v>0</v>
      </c>
      <c r="I347" s="30">
        <f t="shared" si="207"/>
        <v>28586</v>
      </c>
      <c r="J347" s="133">
        <f t="shared" si="191"/>
        <v>0</v>
      </c>
      <c r="K347" s="10">
        <f t="shared" si="213"/>
        <v>0</v>
      </c>
      <c r="L347" s="22">
        <f t="shared" si="179"/>
        <v>0</v>
      </c>
      <c r="M347" s="10">
        <f t="shared" si="180"/>
        <v>0</v>
      </c>
      <c r="O347" s="30" t="b">
        <f t="shared" si="214"/>
        <v>1</v>
      </c>
      <c r="P347" s="30" t="b">
        <f t="shared" si="215"/>
        <v>0</v>
      </c>
      <c r="Q347" s="30" t="b">
        <f t="shared" si="216"/>
        <v>0</v>
      </c>
      <c r="R347" s="30">
        <f t="shared" si="217"/>
        <v>0</v>
      </c>
      <c r="S347" s="32">
        <f t="shared" si="218"/>
        <v>0</v>
      </c>
      <c r="Z347" s="10"/>
      <c r="AA347" s="45">
        <f t="shared" si="219"/>
        <v>0</v>
      </c>
      <c r="AB347" s="3">
        <f t="shared" si="220"/>
        <v>-42054</v>
      </c>
      <c r="AC347" s="3">
        <f t="shared" si="221"/>
        <v>-116.81666666666666</v>
      </c>
      <c r="AD347" s="3">
        <f t="shared" si="193"/>
        <v>79.41666666666666</v>
      </c>
      <c r="AE347" s="48">
        <f t="shared" si="222"/>
        <v>0</v>
      </c>
      <c r="AF347" s="3">
        <f t="shared" si="223"/>
        <v>0</v>
      </c>
      <c r="AH347" s="4"/>
      <c r="AI347" s="4"/>
      <c r="AN347" s="108">
        <f t="shared" si="190"/>
        <v>0</v>
      </c>
    </row>
    <row r="348" spans="1:40" ht="12.75">
      <c r="A348" s="33">
        <f t="shared" si="203"/>
        <v>318</v>
      </c>
      <c r="B348" s="30">
        <f t="shared" si="210"/>
        <v>6</v>
      </c>
      <c r="C348" s="30">
        <f t="shared" si="195"/>
        <v>20</v>
      </c>
      <c r="D348" s="30">
        <f t="shared" si="211"/>
        <v>2096</v>
      </c>
      <c r="E348" s="133">
        <f t="shared" si="212"/>
        <v>0</v>
      </c>
      <c r="F348" s="1"/>
      <c r="G348" s="133">
        <f t="shared" si="194"/>
        <v>0</v>
      </c>
      <c r="H348" s="133">
        <f t="shared" si="177"/>
        <v>0</v>
      </c>
      <c r="I348" s="30">
        <f t="shared" si="207"/>
        <v>28676</v>
      </c>
      <c r="J348" s="133">
        <f t="shared" si="191"/>
        <v>0</v>
      </c>
      <c r="K348" s="10">
        <f t="shared" si="213"/>
        <v>0</v>
      </c>
      <c r="L348" s="22">
        <f t="shared" si="179"/>
        <v>0</v>
      </c>
      <c r="M348" s="10">
        <f t="shared" si="180"/>
        <v>0</v>
      </c>
      <c r="O348" s="30" t="b">
        <f t="shared" si="214"/>
        <v>0</v>
      </c>
      <c r="P348" s="30" t="b">
        <f t="shared" si="215"/>
        <v>1</v>
      </c>
      <c r="Q348" s="30" t="b">
        <f t="shared" si="216"/>
        <v>0</v>
      </c>
      <c r="R348" s="30">
        <f t="shared" si="217"/>
        <v>0</v>
      </c>
      <c r="S348" s="32">
        <f t="shared" si="218"/>
        <v>0</v>
      </c>
      <c r="Z348" s="10"/>
      <c r="AA348" s="45">
        <f t="shared" si="219"/>
        <v>0</v>
      </c>
      <c r="AB348" s="3">
        <f t="shared" si="220"/>
        <v>-42054</v>
      </c>
      <c r="AC348" s="3">
        <f t="shared" si="221"/>
        <v>-116.81666666666666</v>
      </c>
      <c r="AD348" s="3">
        <f t="shared" si="193"/>
        <v>79.66666666666666</v>
      </c>
      <c r="AE348" s="48">
        <f t="shared" si="222"/>
        <v>0</v>
      </c>
      <c r="AF348" s="3">
        <f t="shared" si="223"/>
        <v>0</v>
      </c>
      <c r="AH348" s="4"/>
      <c r="AI348" s="4"/>
      <c r="AN348" s="108">
        <f t="shared" si="190"/>
        <v>0</v>
      </c>
    </row>
    <row r="349" spans="1:40" ht="12.75">
      <c r="A349" s="33">
        <f t="shared" si="203"/>
        <v>319</v>
      </c>
      <c r="B349" s="30">
        <f t="shared" si="210"/>
        <v>9</v>
      </c>
      <c r="C349" s="30">
        <f t="shared" si="195"/>
        <v>20</v>
      </c>
      <c r="D349" s="30">
        <f t="shared" si="211"/>
        <v>2096</v>
      </c>
      <c r="E349" s="133">
        <f t="shared" si="212"/>
        <v>0</v>
      </c>
      <c r="F349" s="1"/>
      <c r="G349" s="133">
        <f t="shared" si="194"/>
        <v>0</v>
      </c>
      <c r="H349" s="133">
        <f t="shared" si="177"/>
        <v>0</v>
      </c>
      <c r="I349" s="30">
        <f t="shared" si="207"/>
        <v>28766</v>
      </c>
      <c r="J349" s="133">
        <f t="shared" si="191"/>
        <v>0</v>
      </c>
      <c r="K349" s="10">
        <f t="shared" si="213"/>
        <v>0</v>
      </c>
      <c r="L349" s="22">
        <f t="shared" si="179"/>
        <v>0</v>
      </c>
      <c r="M349" s="10">
        <f t="shared" si="180"/>
        <v>0</v>
      </c>
      <c r="O349" s="30" t="b">
        <f t="shared" si="214"/>
        <v>0</v>
      </c>
      <c r="P349" s="30" t="b">
        <f t="shared" si="215"/>
        <v>1</v>
      </c>
      <c r="Q349" s="30" t="b">
        <f t="shared" si="216"/>
        <v>0</v>
      </c>
      <c r="R349" s="30">
        <f t="shared" si="217"/>
        <v>0</v>
      </c>
      <c r="S349" s="32">
        <f t="shared" si="218"/>
        <v>0</v>
      </c>
      <c r="Z349" s="10"/>
      <c r="AA349" s="45">
        <f t="shared" si="219"/>
        <v>0</v>
      </c>
      <c r="AB349" s="3">
        <f t="shared" si="220"/>
        <v>-42054</v>
      </c>
      <c r="AC349" s="3">
        <f t="shared" si="221"/>
        <v>-116.81666666666666</v>
      </c>
      <c r="AD349" s="3">
        <f t="shared" si="193"/>
        <v>79.91666666666666</v>
      </c>
      <c r="AE349" s="48">
        <f t="shared" si="222"/>
        <v>0</v>
      </c>
      <c r="AF349" s="3">
        <f t="shared" si="223"/>
        <v>0</v>
      </c>
      <c r="AH349" s="4"/>
      <c r="AI349" s="4"/>
      <c r="AN349" s="108">
        <f t="shared" si="190"/>
        <v>0</v>
      </c>
    </row>
    <row r="350" spans="1:40" ht="12.75">
      <c r="A350" s="33">
        <f t="shared" si="203"/>
        <v>320</v>
      </c>
      <c r="B350" s="30">
        <f t="shared" si="210"/>
        <v>12</v>
      </c>
      <c r="C350" s="30">
        <f t="shared" si="195"/>
        <v>20</v>
      </c>
      <c r="D350" s="30">
        <f t="shared" si="211"/>
        <v>2096</v>
      </c>
      <c r="E350" s="133">
        <f t="shared" si="212"/>
        <v>0</v>
      </c>
      <c r="F350" s="1"/>
      <c r="G350" s="133">
        <f t="shared" si="194"/>
        <v>0</v>
      </c>
      <c r="H350" s="133">
        <f aca="true" t="shared" si="224" ref="H350:H404">G350+F350</f>
        <v>0</v>
      </c>
      <c r="I350" s="30">
        <f t="shared" si="207"/>
        <v>28856</v>
      </c>
      <c r="J350" s="133">
        <f t="shared" si="191"/>
        <v>0</v>
      </c>
      <c r="K350" s="10">
        <f t="shared" si="213"/>
        <v>0</v>
      </c>
      <c r="L350" s="22">
        <f aca="true" t="shared" si="225" ref="L350:L404">(H350/((1+$F$15/$F$14)^(A350+($E$7-$E$8)/365*$F$14)))</f>
        <v>0</v>
      </c>
      <c r="M350" s="10">
        <f aca="true" t="shared" si="226" ref="M350:M404">L350*(A350+($E$7-$E$8)/365*$F$14)</f>
        <v>0</v>
      </c>
      <c r="O350" s="30" t="b">
        <f t="shared" si="214"/>
        <v>1</v>
      </c>
      <c r="P350" s="30" t="b">
        <f t="shared" si="215"/>
        <v>0</v>
      </c>
      <c r="Q350" s="30" t="b">
        <f t="shared" si="216"/>
        <v>0</v>
      </c>
      <c r="R350" s="30">
        <f t="shared" si="217"/>
        <v>0</v>
      </c>
      <c r="S350" s="32">
        <f t="shared" si="218"/>
        <v>0</v>
      </c>
      <c r="Z350" s="10"/>
      <c r="AA350" s="45">
        <f t="shared" si="219"/>
        <v>0</v>
      </c>
      <c r="AB350" s="3">
        <f t="shared" si="220"/>
        <v>-42054</v>
      </c>
      <c r="AC350" s="3">
        <f t="shared" si="221"/>
        <v>-116.81666666666666</v>
      </c>
      <c r="AD350" s="3">
        <f t="shared" si="193"/>
        <v>80.16666666666666</v>
      </c>
      <c r="AE350" s="48">
        <f t="shared" si="222"/>
        <v>0</v>
      </c>
      <c r="AF350" s="3">
        <f t="shared" si="223"/>
        <v>0</v>
      </c>
      <c r="AH350" s="4"/>
      <c r="AI350" s="4"/>
      <c r="AN350" s="108">
        <f aca="true" t="shared" si="227" ref="AN350:AN404">IF($H350=0,0,DATE($D350,$B350,$C350))</f>
        <v>0</v>
      </c>
    </row>
    <row r="351" spans="1:40" ht="12.75">
      <c r="A351" s="33">
        <f t="shared" si="203"/>
        <v>321</v>
      </c>
      <c r="B351" s="30">
        <f t="shared" si="210"/>
        <v>3</v>
      </c>
      <c r="C351" s="30">
        <f t="shared" si="195"/>
        <v>20</v>
      </c>
      <c r="D351" s="30">
        <f t="shared" si="211"/>
        <v>2097</v>
      </c>
      <c r="E351" s="133">
        <f t="shared" si="212"/>
        <v>0</v>
      </c>
      <c r="F351" s="1"/>
      <c r="G351" s="133">
        <f t="shared" si="194"/>
        <v>0</v>
      </c>
      <c r="H351" s="133">
        <f t="shared" si="224"/>
        <v>0</v>
      </c>
      <c r="I351" s="30">
        <f t="shared" si="207"/>
        <v>28946</v>
      </c>
      <c r="J351" s="133">
        <f aca="true" t="shared" si="228" ref="J351:J404">($H351/((1+$F$19/$F$14)^(I351/360*$F$14)))</f>
        <v>0</v>
      </c>
      <c r="K351" s="10">
        <f t="shared" si="213"/>
        <v>0</v>
      </c>
      <c r="L351" s="22">
        <f t="shared" si="225"/>
        <v>0</v>
      </c>
      <c r="M351" s="10">
        <f t="shared" si="226"/>
        <v>0</v>
      </c>
      <c r="O351" s="30" t="b">
        <f t="shared" si="214"/>
        <v>1</v>
      </c>
      <c r="P351" s="30" t="b">
        <f t="shared" si="215"/>
        <v>0</v>
      </c>
      <c r="Q351" s="30" t="b">
        <f t="shared" si="216"/>
        <v>0</v>
      </c>
      <c r="R351" s="30">
        <f t="shared" si="217"/>
        <v>0</v>
      </c>
      <c r="S351" s="32">
        <f t="shared" si="218"/>
        <v>0</v>
      </c>
      <c r="Z351" s="10"/>
      <c r="AA351" s="45">
        <f t="shared" si="219"/>
        <v>0</v>
      </c>
      <c r="AB351" s="3">
        <f t="shared" si="220"/>
        <v>-42054</v>
      </c>
      <c r="AC351" s="3">
        <f t="shared" si="221"/>
        <v>-116.81666666666666</v>
      </c>
      <c r="AD351" s="3">
        <f aca="true" t="shared" si="229" ref="AD351:AD404">AD350+(1/$AD$16)</f>
        <v>80.41666666666666</v>
      </c>
      <c r="AE351" s="48">
        <f t="shared" si="222"/>
        <v>0</v>
      </c>
      <c r="AF351" s="3">
        <f t="shared" si="223"/>
        <v>0</v>
      </c>
      <c r="AH351" s="4"/>
      <c r="AI351" s="4"/>
      <c r="AN351" s="108">
        <f t="shared" si="227"/>
        <v>0</v>
      </c>
    </row>
    <row r="352" spans="1:40" ht="12.75">
      <c r="A352" s="33">
        <f t="shared" si="203"/>
        <v>322</v>
      </c>
      <c r="B352" s="30">
        <f t="shared" si="210"/>
        <v>6</v>
      </c>
      <c r="C352" s="30">
        <f t="shared" si="195"/>
        <v>20</v>
      </c>
      <c r="D352" s="30">
        <f t="shared" si="211"/>
        <v>2097</v>
      </c>
      <c r="E352" s="133">
        <f t="shared" si="212"/>
        <v>0</v>
      </c>
      <c r="F352" s="1"/>
      <c r="G352" s="133">
        <f aca="true" t="shared" si="230" ref="G352:G404">ROUND(IF(D352&gt;2078,0,IF($M$3,E351*(S352-S351)*$F$15/360,IF(AND(Q352&gt;0,OR(F$12="N",F$12="No")),(E351*F$15/F$14),ROUND(E351*$F$15*DAYS360(S351,S352)/360,2)))),2)</f>
        <v>0</v>
      </c>
      <c r="H352" s="133">
        <f t="shared" si="224"/>
        <v>0</v>
      </c>
      <c r="I352" s="30">
        <f t="shared" si="207"/>
        <v>29036</v>
      </c>
      <c r="J352" s="133">
        <f t="shared" si="228"/>
        <v>0</v>
      </c>
      <c r="K352" s="10">
        <f t="shared" si="213"/>
        <v>0</v>
      </c>
      <c r="L352" s="22">
        <f t="shared" si="225"/>
        <v>0</v>
      </c>
      <c r="M352" s="10">
        <f t="shared" si="226"/>
        <v>0</v>
      </c>
      <c r="O352" s="30" t="b">
        <f t="shared" si="214"/>
        <v>0</v>
      </c>
      <c r="P352" s="30" t="b">
        <f t="shared" si="215"/>
        <v>1</v>
      </c>
      <c r="Q352" s="30" t="b">
        <f t="shared" si="216"/>
        <v>0</v>
      </c>
      <c r="R352" s="30">
        <f t="shared" si="217"/>
        <v>0</v>
      </c>
      <c r="S352" s="32">
        <f t="shared" si="218"/>
        <v>0</v>
      </c>
      <c r="Z352" s="10"/>
      <c r="AA352" s="45">
        <f t="shared" si="219"/>
        <v>0</v>
      </c>
      <c r="AB352" s="3">
        <f t="shared" si="220"/>
        <v>-42054</v>
      </c>
      <c r="AC352" s="3">
        <f t="shared" si="221"/>
        <v>-116.81666666666666</v>
      </c>
      <c r="AD352" s="3">
        <f t="shared" si="229"/>
        <v>80.66666666666666</v>
      </c>
      <c r="AE352" s="48">
        <f t="shared" si="222"/>
        <v>0</v>
      </c>
      <c r="AF352" s="3">
        <f t="shared" si="223"/>
        <v>0</v>
      </c>
      <c r="AH352" s="4"/>
      <c r="AI352" s="4"/>
      <c r="AN352" s="108">
        <f t="shared" si="227"/>
        <v>0</v>
      </c>
    </row>
    <row r="353" spans="1:40" ht="12.75">
      <c r="A353" s="33">
        <f t="shared" si="203"/>
        <v>323</v>
      </c>
      <c r="B353" s="30">
        <f t="shared" si="210"/>
        <v>9</v>
      </c>
      <c r="C353" s="30">
        <f t="shared" si="195"/>
        <v>20</v>
      </c>
      <c r="D353" s="30">
        <f t="shared" si="211"/>
        <v>2097</v>
      </c>
      <c r="E353" s="133">
        <f t="shared" si="212"/>
        <v>0</v>
      </c>
      <c r="F353" s="1"/>
      <c r="G353" s="133">
        <f t="shared" si="230"/>
        <v>0</v>
      </c>
      <c r="H353" s="133">
        <f t="shared" si="224"/>
        <v>0</v>
      </c>
      <c r="I353" s="30">
        <f t="shared" si="207"/>
        <v>29126</v>
      </c>
      <c r="J353" s="133">
        <f t="shared" si="228"/>
        <v>0</v>
      </c>
      <c r="K353" s="10">
        <f t="shared" si="213"/>
        <v>0</v>
      </c>
      <c r="L353" s="22">
        <f t="shared" si="225"/>
        <v>0</v>
      </c>
      <c r="M353" s="10">
        <f t="shared" si="226"/>
        <v>0</v>
      </c>
      <c r="O353" s="30" t="b">
        <f t="shared" si="214"/>
        <v>0</v>
      </c>
      <c r="P353" s="30" t="b">
        <f t="shared" si="215"/>
        <v>1</v>
      </c>
      <c r="Q353" s="30" t="b">
        <f t="shared" si="216"/>
        <v>0</v>
      </c>
      <c r="R353" s="30">
        <f t="shared" si="217"/>
        <v>0</v>
      </c>
      <c r="S353" s="32">
        <f t="shared" si="218"/>
        <v>0</v>
      </c>
      <c r="Z353" s="10"/>
      <c r="AA353" s="45">
        <f t="shared" si="219"/>
        <v>0</v>
      </c>
      <c r="AB353" s="3">
        <f t="shared" si="220"/>
        <v>-42054</v>
      </c>
      <c r="AC353" s="3">
        <f t="shared" si="221"/>
        <v>-116.81666666666666</v>
      </c>
      <c r="AD353" s="3">
        <f t="shared" si="229"/>
        <v>80.91666666666666</v>
      </c>
      <c r="AE353" s="48">
        <f t="shared" si="222"/>
        <v>0</v>
      </c>
      <c r="AF353" s="3">
        <f t="shared" si="223"/>
        <v>0</v>
      </c>
      <c r="AH353" s="4"/>
      <c r="AI353" s="4"/>
      <c r="AN353" s="108">
        <f t="shared" si="227"/>
        <v>0</v>
      </c>
    </row>
    <row r="354" spans="1:40" ht="12.75">
      <c r="A354" s="33">
        <f t="shared" si="203"/>
        <v>324</v>
      </c>
      <c r="B354" s="30">
        <f t="shared" si="210"/>
        <v>12</v>
      </c>
      <c r="C354" s="30">
        <f t="shared" si="195"/>
        <v>20</v>
      </c>
      <c r="D354" s="30">
        <f t="shared" si="211"/>
        <v>2097</v>
      </c>
      <c r="E354" s="133">
        <f t="shared" si="212"/>
        <v>0</v>
      </c>
      <c r="F354" s="1"/>
      <c r="G354" s="133">
        <f t="shared" si="230"/>
        <v>0</v>
      </c>
      <c r="H354" s="133">
        <f t="shared" si="224"/>
        <v>0</v>
      </c>
      <c r="I354" s="30">
        <f t="shared" si="207"/>
        <v>29216</v>
      </c>
      <c r="J354" s="133">
        <f t="shared" si="228"/>
        <v>0</v>
      </c>
      <c r="K354" s="10">
        <f t="shared" si="213"/>
        <v>0</v>
      </c>
      <c r="L354" s="22">
        <f t="shared" si="225"/>
        <v>0</v>
      </c>
      <c r="M354" s="10">
        <f t="shared" si="226"/>
        <v>0</v>
      </c>
      <c r="O354" s="30" t="b">
        <f t="shared" si="214"/>
        <v>1</v>
      </c>
      <c r="P354" s="30" t="b">
        <f t="shared" si="215"/>
        <v>0</v>
      </c>
      <c r="Q354" s="30" t="b">
        <f t="shared" si="216"/>
        <v>0</v>
      </c>
      <c r="R354" s="30">
        <f t="shared" si="217"/>
        <v>0</v>
      </c>
      <c r="S354" s="32">
        <f t="shared" si="218"/>
        <v>0</v>
      </c>
      <c r="Z354" s="10"/>
      <c r="AA354" s="45">
        <f t="shared" si="219"/>
        <v>0</v>
      </c>
      <c r="AB354" s="3">
        <f t="shared" si="220"/>
        <v>-42054</v>
      </c>
      <c r="AC354" s="3">
        <f t="shared" si="221"/>
        <v>-116.81666666666666</v>
      </c>
      <c r="AD354" s="3">
        <f t="shared" si="229"/>
        <v>81.16666666666666</v>
      </c>
      <c r="AE354" s="48">
        <f t="shared" si="222"/>
        <v>0</v>
      </c>
      <c r="AF354" s="3">
        <f t="shared" si="223"/>
        <v>0</v>
      </c>
      <c r="AH354" s="4"/>
      <c r="AI354" s="4"/>
      <c r="AN354" s="108">
        <f t="shared" si="227"/>
        <v>0</v>
      </c>
    </row>
    <row r="355" spans="1:40" ht="12.75">
      <c r="A355" s="33">
        <f t="shared" si="203"/>
        <v>325</v>
      </c>
      <c r="B355" s="30">
        <f t="shared" si="210"/>
        <v>3</v>
      </c>
      <c r="C355" s="30">
        <f t="shared" si="195"/>
        <v>20</v>
      </c>
      <c r="D355" s="30">
        <f t="shared" si="211"/>
        <v>2098</v>
      </c>
      <c r="E355" s="133">
        <f t="shared" si="212"/>
        <v>0</v>
      </c>
      <c r="F355" s="1"/>
      <c r="G355" s="133">
        <f t="shared" si="230"/>
        <v>0</v>
      </c>
      <c r="H355" s="133">
        <f t="shared" si="224"/>
        <v>0</v>
      </c>
      <c r="I355" s="30">
        <f t="shared" si="207"/>
        <v>29306</v>
      </c>
      <c r="J355" s="133">
        <f t="shared" si="228"/>
        <v>0</v>
      </c>
      <c r="K355" s="10">
        <f t="shared" si="213"/>
        <v>0</v>
      </c>
      <c r="L355" s="22">
        <f t="shared" si="225"/>
        <v>0</v>
      </c>
      <c r="M355" s="10">
        <f t="shared" si="226"/>
        <v>0</v>
      </c>
      <c r="O355" s="30" t="b">
        <f t="shared" si="214"/>
        <v>1</v>
      </c>
      <c r="P355" s="30" t="b">
        <f t="shared" si="215"/>
        <v>0</v>
      </c>
      <c r="Q355" s="30" t="b">
        <f t="shared" si="216"/>
        <v>0</v>
      </c>
      <c r="R355" s="30">
        <f t="shared" si="217"/>
        <v>0</v>
      </c>
      <c r="S355" s="32">
        <f t="shared" si="218"/>
        <v>0</v>
      </c>
      <c r="Z355" s="10"/>
      <c r="AA355" s="45">
        <f t="shared" si="219"/>
        <v>0</v>
      </c>
      <c r="AB355" s="3">
        <f t="shared" si="220"/>
        <v>-42054</v>
      </c>
      <c r="AC355" s="3">
        <f t="shared" si="221"/>
        <v>-116.81666666666666</v>
      </c>
      <c r="AD355" s="3">
        <f t="shared" si="229"/>
        <v>81.41666666666666</v>
      </c>
      <c r="AE355" s="48">
        <f t="shared" si="222"/>
        <v>0</v>
      </c>
      <c r="AF355" s="3">
        <f t="shared" si="223"/>
        <v>0</v>
      </c>
      <c r="AH355" s="4"/>
      <c r="AI355" s="4"/>
      <c r="AN355" s="108">
        <f t="shared" si="227"/>
        <v>0</v>
      </c>
    </row>
    <row r="356" spans="1:40" ht="12.75">
      <c r="A356" s="33">
        <f t="shared" si="203"/>
        <v>326</v>
      </c>
      <c r="B356" s="30">
        <f t="shared" si="210"/>
        <v>6</v>
      </c>
      <c r="C356" s="30">
        <f t="shared" si="195"/>
        <v>20</v>
      </c>
      <c r="D356" s="30">
        <f t="shared" si="211"/>
        <v>2098</v>
      </c>
      <c r="E356" s="133">
        <f t="shared" si="212"/>
        <v>0</v>
      </c>
      <c r="F356" s="1"/>
      <c r="G356" s="133">
        <f t="shared" si="230"/>
        <v>0</v>
      </c>
      <c r="H356" s="133">
        <f t="shared" si="224"/>
        <v>0</v>
      </c>
      <c r="I356" s="30">
        <f t="shared" si="207"/>
        <v>29396</v>
      </c>
      <c r="J356" s="133">
        <f t="shared" si="228"/>
        <v>0</v>
      </c>
      <c r="K356" s="10">
        <f t="shared" si="213"/>
        <v>0</v>
      </c>
      <c r="L356" s="22">
        <f t="shared" si="225"/>
        <v>0</v>
      </c>
      <c r="M356" s="10">
        <f t="shared" si="226"/>
        <v>0</v>
      </c>
      <c r="O356" s="30" t="b">
        <f t="shared" si="214"/>
        <v>0</v>
      </c>
      <c r="P356" s="30" t="b">
        <f t="shared" si="215"/>
        <v>1</v>
      </c>
      <c r="Q356" s="30" t="b">
        <f t="shared" si="216"/>
        <v>0</v>
      </c>
      <c r="R356" s="30">
        <f t="shared" si="217"/>
        <v>0</v>
      </c>
      <c r="S356" s="32">
        <f t="shared" si="218"/>
        <v>0</v>
      </c>
      <c r="Z356" s="10"/>
      <c r="AA356" s="45">
        <f t="shared" si="219"/>
        <v>0</v>
      </c>
      <c r="AB356" s="3">
        <f t="shared" si="220"/>
        <v>-42054</v>
      </c>
      <c r="AC356" s="3">
        <f t="shared" si="221"/>
        <v>-116.81666666666666</v>
      </c>
      <c r="AD356" s="3">
        <f t="shared" si="229"/>
        <v>81.66666666666666</v>
      </c>
      <c r="AE356" s="48">
        <f t="shared" si="222"/>
        <v>0</v>
      </c>
      <c r="AF356" s="3">
        <f t="shared" si="223"/>
        <v>0</v>
      </c>
      <c r="AH356" s="4"/>
      <c r="AI356" s="4"/>
      <c r="AN356" s="108">
        <f t="shared" si="227"/>
        <v>0</v>
      </c>
    </row>
    <row r="357" spans="1:40" ht="12.75">
      <c r="A357" s="33">
        <f t="shared" si="203"/>
        <v>327</v>
      </c>
      <c r="B357" s="30">
        <f t="shared" si="210"/>
        <v>9</v>
      </c>
      <c r="C357" s="30">
        <f aca="true" t="shared" si="231" ref="C357:C404">IF(AND((OR(C$30=31,Q$30=1)),P357=1),30,IF(AND((OR(C$30=30,Q$30=1)),O357=1),31,IF(AND(AND(C356&gt;29,B357=2),R357=1),29,IF(AND(AND(C356&gt;29,B357=2),R357=0),28,C$30))))</f>
        <v>20</v>
      </c>
      <c r="D357" s="30">
        <f t="shared" si="211"/>
        <v>2098</v>
      </c>
      <c r="E357" s="133">
        <f t="shared" si="212"/>
        <v>0</v>
      </c>
      <c r="F357" s="1"/>
      <c r="G357" s="133">
        <f t="shared" si="230"/>
        <v>0</v>
      </c>
      <c r="H357" s="133">
        <f t="shared" si="224"/>
        <v>0</v>
      </c>
      <c r="I357" s="30">
        <f t="shared" si="207"/>
        <v>29486</v>
      </c>
      <c r="J357" s="133">
        <f t="shared" si="228"/>
        <v>0</v>
      </c>
      <c r="K357" s="10">
        <f t="shared" si="213"/>
        <v>0</v>
      </c>
      <c r="L357" s="22">
        <f t="shared" si="225"/>
        <v>0</v>
      </c>
      <c r="M357" s="10">
        <f t="shared" si="226"/>
        <v>0</v>
      </c>
      <c r="O357" s="30" t="b">
        <f t="shared" si="214"/>
        <v>0</v>
      </c>
      <c r="P357" s="30" t="b">
        <f t="shared" si="215"/>
        <v>1</v>
      </c>
      <c r="Q357" s="30" t="b">
        <f t="shared" si="216"/>
        <v>0</v>
      </c>
      <c r="R357" s="30">
        <f t="shared" si="217"/>
        <v>0</v>
      </c>
      <c r="S357" s="32">
        <f t="shared" si="218"/>
        <v>0</v>
      </c>
      <c r="Z357" s="10"/>
      <c r="AA357" s="45">
        <f t="shared" si="219"/>
        <v>0</v>
      </c>
      <c r="AB357" s="3">
        <f t="shared" si="220"/>
        <v>-42054</v>
      </c>
      <c r="AC357" s="3">
        <f t="shared" si="221"/>
        <v>-116.81666666666666</v>
      </c>
      <c r="AD357" s="3">
        <f t="shared" si="229"/>
        <v>81.91666666666666</v>
      </c>
      <c r="AE357" s="48">
        <f t="shared" si="222"/>
        <v>0</v>
      </c>
      <c r="AF357" s="3">
        <f t="shared" si="223"/>
        <v>0</v>
      </c>
      <c r="AH357" s="4"/>
      <c r="AI357" s="4"/>
      <c r="AN357" s="108">
        <f t="shared" si="227"/>
        <v>0</v>
      </c>
    </row>
    <row r="358" spans="1:40" ht="12.75">
      <c r="A358" s="33">
        <f t="shared" si="203"/>
        <v>328</v>
      </c>
      <c r="B358" s="30">
        <f t="shared" si="210"/>
        <v>12</v>
      </c>
      <c r="C358" s="30">
        <f t="shared" si="231"/>
        <v>20</v>
      </c>
      <c r="D358" s="30">
        <f t="shared" si="211"/>
        <v>2098</v>
      </c>
      <c r="E358" s="133">
        <f t="shared" si="212"/>
        <v>0</v>
      </c>
      <c r="F358" s="1"/>
      <c r="G358" s="133">
        <f t="shared" si="230"/>
        <v>0</v>
      </c>
      <c r="H358" s="133">
        <f t="shared" si="224"/>
        <v>0</v>
      </c>
      <c r="I358" s="30">
        <f t="shared" si="207"/>
        <v>29576</v>
      </c>
      <c r="J358" s="133">
        <f t="shared" si="228"/>
        <v>0</v>
      </c>
      <c r="K358" s="10">
        <f t="shared" si="213"/>
        <v>0</v>
      </c>
      <c r="L358" s="22">
        <f t="shared" si="225"/>
        <v>0</v>
      </c>
      <c r="M358" s="10">
        <f t="shared" si="226"/>
        <v>0</v>
      </c>
      <c r="O358" s="30" t="b">
        <f t="shared" si="214"/>
        <v>1</v>
      </c>
      <c r="P358" s="30" t="b">
        <f t="shared" si="215"/>
        <v>0</v>
      </c>
      <c r="Q358" s="30" t="b">
        <f t="shared" si="216"/>
        <v>0</v>
      </c>
      <c r="R358" s="30">
        <f t="shared" si="217"/>
        <v>0</v>
      </c>
      <c r="S358" s="32">
        <f t="shared" si="218"/>
        <v>0</v>
      </c>
      <c r="Z358" s="10"/>
      <c r="AA358" s="45">
        <f t="shared" si="219"/>
        <v>0</v>
      </c>
      <c r="AB358" s="3">
        <f t="shared" si="220"/>
        <v>-42054</v>
      </c>
      <c r="AC358" s="3">
        <f t="shared" si="221"/>
        <v>-116.81666666666666</v>
      </c>
      <c r="AD358" s="3">
        <f t="shared" si="229"/>
        <v>82.16666666666666</v>
      </c>
      <c r="AE358" s="48">
        <f t="shared" si="222"/>
        <v>0</v>
      </c>
      <c r="AF358" s="3">
        <f t="shared" si="223"/>
        <v>0</v>
      </c>
      <c r="AH358" s="4"/>
      <c r="AI358" s="4"/>
      <c r="AN358" s="108">
        <f t="shared" si="227"/>
        <v>0</v>
      </c>
    </row>
    <row r="359" spans="1:40" ht="12.75">
      <c r="A359" s="33">
        <f t="shared" si="203"/>
        <v>329</v>
      </c>
      <c r="B359" s="30">
        <f t="shared" si="210"/>
        <v>3</v>
      </c>
      <c r="C359" s="30">
        <f t="shared" si="231"/>
        <v>20</v>
      </c>
      <c r="D359" s="30">
        <f t="shared" si="211"/>
        <v>2099</v>
      </c>
      <c r="E359" s="133">
        <f t="shared" si="212"/>
        <v>0</v>
      </c>
      <c r="F359" s="1"/>
      <c r="G359" s="133">
        <f t="shared" si="230"/>
        <v>0</v>
      </c>
      <c r="H359" s="133">
        <f t="shared" si="224"/>
        <v>0</v>
      </c>
      <c r="I359" s="30">
        <f t="shared" si="207"/>
        <v>29666</v>
      </c>
      <c r="J359" s="133">
        <f t="shared" si="228"/>
        <v>0</v>
      </c>
      <c r="K359" s="10">
        <f t="shared" si="213"/>
        <v>0</v>
      </c>
      <c r="L359" s="22">
        <f t="shared" si="225"/>
        <v>0</v>
      </c>
      <c r="M359" s="10">
        <f t="shared" si="226"/>
        <v>0</v>
      </c>
      <c r="O359" s="30" t="b">
        <f t="shared" si="214"/>
        <v>1</v>
      </c>
      <c r="P359" s="30" t="b">
        <f t="shared" si="215"/>
        <v>0</v>
      </c>
      <c r="Q359" s="30" t="b">
        <f t="shared" si="216"/>
        <v>0</v>
      </c>
      <c r="R359" s="30">
        <f t="shared" si="217"/>
        <v>0</v>
      </c>
      <c r="S359" s="32">
        <f t="shared" si="218"/>
        <v>0</v>
      </c>
      <c r="Z359" s="10"/>
      <c r="AA359" s="45">
        <f t="shared" si="219"/>
        <v>0</v>
      </c>
      <c r="AB359" s="3">
        <f t="shared" si="220"/>
        <v>-42054</v>
      </c>
      <c r="AC359" s="3">
        <f t="shared" si="221"/>
        <v>-116.81666666666666</v>
      </c>
      <c r="AD359" s="3">
        <f t="shared" si="229"/>
        <v>82.41666666666666</v>
      </c>
      <c r="AE359" s="48">
        <f t="shared" si="222"/>
        <v>0</v>
      </c>
      <c r="AF359" s="3">
        <f t="shared" si="223"/>
        <v>0</v>
      </c>
      <c r="AH359" s="4"/>
      <c r="AI359" s="4"/>
      <c r="AN359" s="108">
        <f t="shared" si="227"/>
        <v>0</v>
      </c>
    </row>
    <row r="360" spans="1:40" ht="12.75">
      <c r="A360" s="33">
        <f t="shared" si="203"/>
        <v>330</v>
      </c>
      <c r="B360" s="30">
        <f t="shared" si="210"/>
        <v>6</v>
      </c>
      <c r="C360" s="30">
        <f t="shared" si="231"/>
        <v>20</v>
      </c>
      <c r="D360" s="30">
        <f t="shared" si="211"/>
        <v>2099</v>
      </c>
      <c r="E360" s="133">
        <f t="shared" si="212"/>
        <v>0</v>
      </c>
      <c r="F360" s="1"/>
      <c r="G360" s="133">
        <f t="shared" si="230"/>
        <v>0</v>
      </c>
      <c r="H360" s="133">
        <f t="shared" si="224"/>
        <v>0</v>
      </c>
      <c r="I360" s="30">
        <f t="shared" si="207"/>
        <v>29756</v>
      </c>
      <c r="J360" s="133">
        <f t="shared" si="228"/>
        <v>0</v>
      </c>
      <c r="K360" s="10">
        <f t="shared" si="213"/>
        <v>0</v>
      </c>
      <c r="L360" s="22">
        <f t="shared" si="225"/>
        <v>0</v>
      </c>
      <c r="M360" s="10">
        <f t="shared" si="226"/>
        <v>0</v>
      </c>
      <c r="O360" s="30" t="b">
        <f t="shared" si="214"/>
        <v>0</v>
      </c>
      <c r="P360" s="30" t="b">
        <f t="shared" si="215"/>
        <v>1</v>
      </c>
      <c r="Q360" s="30" t="b">
        <f t="shared" si="216"/>
        <v>0</v>
      </c>
      <c r="R360" s="30">
        <f t="shared" si="217"/>
        <v>0</v>
      </c>
      <c r="S360" s="32">
        <f t="shared" si="218"/>
        <v>0</v>
      </c>
      <c r="Z360" s="10"/>
      <c r="AA360" s="45">
        <f t="shared" si="219"/>
        <v>0</v>
      </c>
      <c r="AB360" s="3">
        <f t="shared" si="220"/>
        <v>-42054</v>
      </c>
      <c r="AC360" s="3">
        <f t="shared" si="221"/>
        <v>-116.81666666666666</v>
      </c>
      <c r="AD360" s="3">
        <f t="shared" si="229"/>
        <v>82.66666666666666</v>
      </c>
      <c r="AE360" s="48">
        <f t="shared" si="222"/>
        <v>0</v>
      </c>
      <c r="AF360" s="3">
        <f t="shared" si="223"/>
        <v>0</v>
      </c>
      <c r="AH360" s="4"/>
      <c r="AI360" s="4"/>
      <c r="AN360" s="108">
        <f t="shared" si="227"/>
        <v>0</v>
      </c>
    </row>
    <row r="361" spans="1:40" ht="12.75">
      <c r="A361" s="33">
        <f t="shared" si="203"/>
        <v>331</v>
      </c>
      <c r="B361" s="30">
        <f t="shared" si="210"/>
        <v>9</v>
      </c>
      <c r="C361" s="30">
        <f t="shared" si="231"/>
        <v>20</v>
      </c>
      <c r="D361" s="30">
        <f t="shared" si="211"/>
        <v>2099</v>
      </c>
      <c r="E361" s="133">
        <f t="shared" si="212"/>
        <v>0</v>
      </c>
      <c r="F361" s="1"/>
      <c r="G361" s="133">
        <f t="shared" si="230"/>
        <v>0</v>
      </c>
      <c r="H361" s="133">
        <f t="shared" si="224"/>
        <v>0</v>
      </c>
      <c r="I361" s="30">
        <f t="shared" si="207"/>
        <v>29846</v>
      </c>
      <c r="J361" s="133">
        <f t="shared" si="228"/>
        <v>0</v>
      </c>
      <c r="K361" s="10">
        <f t="shared" si="213"/>
        <v>0</v>
      </c>
      <c r="L361" s="22">
        <f t="shared" si="225"/>
        <v>0</v>
      </c>
      <c r="M361" s="10">
        <f t="shared" si="226"/>
        <v>0</v>
      </c>
      <c r="O361" s="30" t="b">
        <f t="shared" si="214"/>
        <v>0</v>
      </c>
      <c r="P361" s="30" t="b">
        <f t="shared" si="215"/>
        <v>1</v>
      </c>
      <c r="Q361" s="30" t="b">
        <f t="shared" si="216"/>
        <v>0</v>
      </c>
      <c r="R361" s="30">
        <f t="shared" si="217"/>
        <v>0</v>
      </c>
      <c r="S361" s="32">
        <f t="shared" si="218"/>
        <v>0</v>
      </c>
      <c r="Z361" s="10"/>
      <c r="AA361" s="45">
        <f t="shared" si="219"/>
        <v>0</v>
      </c>
      <c r="AB361" s="3">
        <f t="shared" si="220"/>
        <v>-42054</v>
      </c>
      <c r="AC361" s="3">
        <f t="shared" si="221"/>
        <v>-116.81666666666666</v>
      </c>
      <c r="AD361" s="3">
        <f t="shared" si="229"/>
        <v>82.91666666666666</v>
      </c>
      <c r="AE361" s="48">
        <f t="shared" si="222"/>
        <v>0</v>
      </c>
      <c r="AF361" s="3">
        <f t="shared" si="223"/>
        <v>0</v>
      </c>
      <c r="AH361" s="4"/>
      <c r="AI361" s="4"/>
      <c r="AN361" s="108">
        <f t="shared" si="227"/>
        <v>0</v>
      </c>
    </row>
    <row r="362" spans="1:40" ht="12.75">
      <c r="A362" s="33">
        <f t="shared" si="203"/>
        <v>332</v>
      </c>
      <c r="B362" s="30">
        <f t="shared" si="210"/>
        <v>12</v>
      </c>
      <c r="C362" s="30">
        <f t="shared" si="231"/>
        <v>20</v>
      </c>
      <c r="D362" s="30">
        <f t="shared" si="211"/>
        <v>2099</v>
      </c>
      <c r="E362" s="133">
        <f t="shared" si="212"/>
        <v>0</v>
      </c>
      <c r="F362" s="1"/>
      <c r="G362" s="133">
        <f t="shared" si="230"/>
        <v>0</v>
      </c>
      <c r="H362" s="133">
        <f t="shared" si="224"/>
        <v>0</v>
      </c>
      <c r="I362" s="30">
        <f t="shared" si="207"/>
        <v>29936</v>
      </c>
      <c r="J362" s="133">
        <f t="shared" si="228"/>
        <v>0</v>
      </c>
      <c r="K362" s="10">
        <f t="shared" si="213"/>
        <v>0</v>
      </c>
      <c r="L362" s="22">
        <f t="shared" si="225"/>
        <v>0</v>
      </c>
      <c r="M362" s="10">
        <f t="shared" si="226"/>
        <v>0</v>
      </c>
      <c r="O362" s="30" t="b">
        <f t="shared" si="214"/>
        <v>1</v>
      </c>
      <c r="P362" s="30" t="b">
        <f t="shared" si="215"/>
        <v>0</v>
      </c>
      <c r="Q362" s="30" t="b">
        <f t="shared" si="216"/>
        <v>0</v>
      </c>
      <c r="R362" s="30">
        <f t="shared" si="217"/>
        <v>0</v>
      </c>
      <c r="S362" s="32">
        <f t="shared" si="218"/>
        <v>0</v>
      </c>
      <c r="Z362" s="10"/>
      <c r="AA362" s="45">
        <f t="shared" si="219"/>
        <v>0</v>
      </c>
      <c r="AB362" s="3">
        <f t="shared" si="220"/>
        <v>-42054</v>
      </c>
      <c r="AC362" s="3">
        <f t="shared" si="221"/>
        <v>-116.81666666666666</v>
      </c>
      <c r="AD362" s="3">
        <f t="shared" si="229"/>
        <v>83.16666666666666</v>
      </c>
      <c r="AE362" s="48">
        <f t="shared" si="222"/>
        <v>0</v>
      </c>
      <c r="AF362" s="3">
        <f t="shared" si="223"/>
        <v>0</v>
      </c>
      <c r="AH362" s="4"/>
      <c r="AI362" s="4"/>
      <c r="AN362" s="108">
        <f t="shared" si="227"/>
        <v>0</v>
      </c>
    </row>
    <row r="363" spans="1:40" ht="12.75">
      <c r="A363" s="33">
        <f t="shared" si="203"/>
        <v>333</v>
      </c>
      <c r="B363" s="30">
        <f t="shared" si="210"/>
        <v>3</v>
      </c>
      <c r="C363" s="30">
        <f t="shared" si="231"/>
        <v>20</v>
      </c>
      <c r="D363" s="30">
        <f t="shared" si="211"/>
        <v>2100</v>
      </c>
      <c r="E363" s="133">
        <f t="shared" si="212"/>
        <v>0</v>
      </c>
      <c r="F363" s="1"/>
      <c r="G363" s="133">
        <f t="shared" si="230"/>
        <v>0</v>
      </c>
      <c r="H363" s="133">
        <f t="shared" si="224"/>
        <v>0</v>
      </c>
      <c r="I363" s="30">
        <f t="shared" si="207"/>
        <v>30026</v>
      </c>
      <c r="J363" s="133">
        <f t="shared" si="228"/>
        <v>0</v>
      </c>
      <c r="K363" s="10">
        <f t="shared" si="213"/>
        <v>0</v>
      </c>
      <c r="L363" s="22">
        <f t="shared" si="225"/>
        <v>0</v>
      </c>
      <c r="M363" s="10">
        <f t="shared" si="226"/>
        <v>0</v>
      </c>
      <c r="O363" s="30" t="b">
        <f t="shared" si="214"/>
        <v>1</v>
      </c>
      <c r="P363" s="30" t="b">
        <f t="shared" si="215"/>
        <v>0</v>
      </c>
      <c r="Q363" s="30" t="b">
        <f t="shared" si="216"/>
        <v>0</v>
      </c>
      <c r="R363" s="30">
        <f t="shared" si="217"/>
        <v>0</v>
      </c>
      <c r="S363" s="32">
        <f t="shared" si="218"/>
        <v>0</v>
      </c>
      <c r="Z363" s="10"/>
      <c r="AA363" s="45">
        <f t="shared" si="219"/>
        <v>0</v>
      </c>
      <c r="AB363" s="3">
        <f t="shared" si="220"/>
        <v>-42054</v>
      </c>
      <c r="AC363" s="3">
        <f t="shared" si="221"/>
        <v>-116.81666666666666</v>
      </c>
      <c r="AD363" s="3">
        <f t="shared" si="229"/>
        <v>83.41666666666666</v>
      </c>
      <c r="AE363" s="48">
        <f t="shared" si="222"/>
        <v>0</v>
      </c>
      <c r="AF363" s="3">
        <f t="shared" si="223"/>
        <v>0</v>
      </c>
      <c r="AH363" s="4"/>
      <c r="AI363" s="4"/>
      <c r="AN363" s="108">
        <f t="shared" si="227"/>
        <v>0</v>
      </c>
    </row>
    <row r="364" spans="1:40" ht="12.75">
      <c r="A364" s="33">
        <f t="shared" si="203"/>
        <v>334</v>
      </c>
      <c r="B364" s="30">
        <f t="shared" si="210"/>
        <v>6</v>
      </c>
      <c r="C364" s="30">
        <f t="shared" si="231"/>
        <v>20</v>
      </c>
      <c r="D364" s="30">
        <f t="shared" si="211"/>
        <v>2100</v>
      </c>
      <c r="E364" s="133">
        <f t="shared" si="212"/>
        <v>0</v>
      </c>
      <c r="F364" s="1"/>
      <c r="G364" s="133">
        <f t="shared" si="230"/>
        <v>0</v>
      </c>
      <c r="H364" s="133">
        <f t="shared" si="224"/>
        <v>0</v>
      </c>
      <c r="I364" s="30">
        <f t="shared" si="207"/>
        <v>30116</v>
      </c>
      <c r="J364" s="133">
        <f t="shared" si="228"/>
        <v>0</v>
      </c>
      <c r="K364" s="10">
        <f t="shared" si="213"/>
        <v>0</v>
      </c>
      <c r="L364" s="22">
        <f t="shared" si="225"/>
        <v>0</v>
      </c>
      <c r="M364" s="10">
        <f t="shared" si="226"/>
        <v>0</v>
      </c>
      <c r="O364" s="30" t="b">
        <f t="shared" si="214"/>
        <v>0</v>
      </c>
      <c r="P364" s="30" t="b">
        <f t="shared" si="215"/>
        <v>1</v>
      </c>
      <c r="Q364" s="30" t="b">
        <f t="shared" si="216"/>
        <v>0</v>
      </c>
      <c r="R364" s="30">
        <f t="shared" si="217"/>
        <v>0</v>
      </c>
      <c r="S364" s="32">
        <f t="shared" si="218"/>
        <v>0</v>
      </c>
      <c r="Z364" s="10"/>
      <c r="AA364" s="45">
        <f t="shared" si="219"/>
        <v>0</v>
      </c>
      <c r="AB364" s="3">
        <f t="shared" si="220"/>
        <v>-42054</v>
      </c>
      <c r="AC364" s="3">
        <f t="shared" si="221"/>
        <v>-116.81666666666666</v>
      </c>
      <c r="AD364" s="3">
        <f t="shared" si="229"/>
        <v>83.66666666666666</v>
      </c>
      <c r="AE364" s="48">
        <f t="shared" si="222"/>
        <v>0</v>
      </c>
      <c r="AF364" s="3">
        <f t="shared" si="223"/>
        <v>0</v>
      </c>
      <c r="AH364" s="4"/>
      <c r="AI364" s="4"/>
      <c r="AN364" s="108">
        <f t="shared" si="227"/>
        <v>0</v>
      </c>
    </row>
    <row r="365" spans="1:40" ht="12.75">
      <c r="A365" s="33">
        <f t="shared" si="203"/>
        <v>335</v>
      </c>
      <c r="B365" s="30">
        <f t="shared" si="210"/>
        <v>9</v>
      </c>
      <c r="C365" s="30">
        <f t="shared" si="231"/>
        <v>20</v>
      </c>
      <c r="D365" s="30">
        <f t="shared" si="211"/>
        <v>2100</v>
      </c>
      <c r="E365" s="133">
        <f t="shared" si="212"/>
        <v>0</v>
      </c>
      <c r="F365" s="1"/>
      <c r="G365" s="133">
        <f t="shared" si="230"/>
        <v>0</v>
      </c>
      <c r="H365" s="133">
        <f t="shared" si="224"/>
        <v>0</v>
      </c>
      <c r="I365" s="30">
        <f t="shared" si="207"/>
        <v>30206</v>
      </c>
      <c r="J365" s="133">
        <f t="shared" si="228"/>
        <v>0</v>
      </c>
      <c r="K365" s="10">
        <f t="shared" si="213"/>
        <v>0</v>
      </c>
      <c r="L365" s="22">
        <f t="shared" si="225"/>
        <v>0</v>
      </c>
      <c r="M365" s="10">
        <f t="shared" si="226"/>
        <v>0</v>
      </c>
      <c r="O365" s="30" t="b">
        <f t="shared" si="214"/>
        <v>0</v>
      </c>
      <c r="P365" s="30" t="b">
        <f t="shared" si="215"/>
        <v>1</v>
      </c>
      <c r="Q365" s="30" t="b">
        <f t="shared" si="216"/>
        <v>0</v>
      </c>
      <c r="R365" s="30">
        <f t="shared" si="217"/>
        <v>0</v>
      </c>
      <c r="S365" s="32">
        <f t="shared" si="218"/>
        <v>0</v>
      </c>
      <c r="Z365" s="10"/>
      <c r="AA365" s="45">
        <f t="shared" si="219"/>
        <v>0</v>
      </c>
      <c r="AB365" s="3">
        <f t="shared" si="220"/>
        <v>-42054</v>
      </c>
      <c r="AC365" s="3">
        <f t="shared" si="221"/>
        <v>-116.81666666666666</v>
      </c>
      <c r="AD365" s="3">
        <f t="shared" si="229"/>
        <v>83.91666666666666</v>
      </c>
      <c r="AE365" s="48">
        <f t="shared" si="222"/>
        <v>0</v>
      </c>
      <c r="AF365" s="3">
        <f t="shared" si="223"/>
        <v>0</v>
      </c>
      <c r="AH365" s="4"/>
      <c r="AI365" s="4"/>
      <c r="AN365" s="108">
        <f t="shared" si="227"/>
        <v>0</v>
      </c>
    </row>
    <row r="366" spans="1:40" ht="12.75">
      <c r="A366" s="33">
        <f t="shared" si="203"/>
        <v>336</v>
      </c>
      <c r="B366" s="30">
        <f t="shared" si="210"/>
        <v>12</v>
      </c>
      <c r="C366" s="30">
        <f t="shared" si="231"/>
        <v>20</v>
      </c>
      <c r="D366" s="30">
        <f t="shared" si="211"/>
        <v>2100</v>
      </c>
      <c r="E366" s="133">
        <f t="shared" si="212"/>
        <v>0</v>
      </c>
      <c r="F366" s="1"/>
      <c r="G366" s="133">
        <f t="shared" si="230"/>
        <v>0</v>
      </c>
      <c r="H366" s="133">
        <f t="shared" si="224"/>
        <v>0</v>
      </c>
      <c r="I366" s="30">
        <f t="shared" si="207"/>
        <v>30296</v>
      </c>
      <c r="J366" s="133">
        <f t="shared" si="228"/>
        <v>0</v>
      </c>
      <c r="K366" s="10">
        <f t="shared" si="213"/>
        <v>0</v>
      </c>
      <c r="L366" s="22">
        <f t="shared" si="225"/>
        <v>0</v>
      </c>
      <c r="M366" s="10">
        <f t="shared" si="226"/>
        <v>0</v>
      </c>
      <c r="O366" s="30" t="b">
        <f t="shared" si="214"/>
        <v>1</v>
      </c>
      <c r="P366" s="30" t="b">
        <f t="shared" si="215"/>
        <v>0</v>
      </c>
      <c r="Q366" s="30" t="b">
        <f t="shared" si="216"/>
        <v>0</v>
      </c>
      <c r="R366" s="30">
        <f t="shared" si="217"/>
        <v>0</v>
      </c>
      <c r="S366" s="32">
        <f t="shared" si="218"/>
        <v>0</v>
      </c>
      <c r="Z366" s="10"/>
      <c r="AA366" s="45">
        <f t="shared" si="219"/>
        <v>0</v>
      </c>
      <c r="AB366" s="3">
        <f t="shared" si="220"/>
        <v>-42054</v>
      </c>
      <c r="AC366" s="3">
        <f t="shared" si="221"/>
        <v>-116.81666666666666</v>
      </c>
      <c r="AD366" s="3">
        <f t="shared" si="229"/>
        <v>84.16666666666666</v>
      </c>
      <c r="AE366" s="48">
        <f t="shared" si="222"/>
        <v>0</v>
      </c>
      <c r="AF366" s="3">
        <f t="shared" si="223"/>
        <v>0</v>
      </c>
      <c r="AH366" s="4"/>
      <c r="AI366" s="4"/>
      <c r="AN366" s="108">
        <f t="shared" si="227"/>
        <v>0</v>
      </c>
    </row>
    <row r="367" spans="1:40" ht="12.75">
      <c r="A367" s="33">
        <f t="shared" si="203"/>
        <v>337</v>
      </c>
      <c r="B367" s="30">
        <f t="shared" si="210"/>
        <v>3</v>
      </c>
      <c r="C367" s="30">
        <f t="shared" si="231"/>
        <v>20</v>
      </c>
      <c r="D367" s="30">
        <f t="shared" si="211"/>
        <v>2101</v>
      </c>
      <c r="E367" s="133">
        <f t="shared" si="212"/>
        <v>0</v>
      </c>
      <c r="F367" s="1"/>
      <c r="G367" s="133">
        <f t="shared" si="230"/>
        <v>0</v>
      </c>
      <c r="H367" s="133">
        <f t="shared" si="224"/>
        <v>0</v>
      </c>
      <c r="I367" s="30">
        <f t="shared" si="207"/>
        <v>30386</v>
      </c>
      <c r="J367" s="133">
        <f t="shared" si="228"/>
        <v>0</v>
      </c>
      <c r="K367" s="10">
        <f t="shared" si="213"/>
        <v>0</v>
      </c>
      <c r="L367" s="22">
        <f t="shared" si="225"/>
        <v>0</v>
      </c>
      <c r="M367" s="10">
        <f t="shared" si="226"/>
        <v>0</v>
      </c>
      <c r="O367" s="30" t="b">
        <f t="shared" si="214"/>
        <v>1</v>
      </c>
      <c r="P367" s="30" t="b">
        <f t="shared" si="215"/>
        <v>0</v>
      </c>
      <c r="Q367" s="30" t="b">
        <f t="shared" si="216"/>
        <v>0</v>
      </c>
      <c r="R367" s="30">
        <f t="shared" si="217"/>
        <v>0</v>
      </c>
      <c r="S367" s="32">
        <f t="shared" si="218"/>
        <v>0</v>
      </c>
      <c r="Z367" s="10"/>
      <c r="AA367" s="45">
        <f t="shared" si="219"/>
        <v>0</v>
      </c>
      <c r="AB367" s="3">
        <f t="shared" si="220"/>
        <v>-42054</v>
      </c>
      <c r="AC367" s="3">
        <f t="shared" si="221"/>
        <v>-116.81666666666666</v>
      </c>
      <c r="AD367" s="3">
        <f t="shared" si="229"/>
        <v>84.41666666666666</v>
      </c>
      <c r="AE367" s="48">
        <f t="shared" si="222"/>
        <v>0</v>
      </c>
      <c r="AF367" s="3">
        <f t="shared" si="223"/>
        <v>0</v>
      </c>
      <c r="AH367" s="4"/>
      <c r="AI367" s="4"/>
      <c r="AN367" s="108">
        <f t="shared" si="227"/>
        <v>0</v>
      </c>
    </row>
    <row r="368" spans="1:40" ht="12.75">
      <c r="A368" s="33">
        <f t="shared" si="203"/>
        <v>338</v>
      </c>
      <c r="B368" s="30">
        <f t="shared" si="210"/>
        <v>6</v>
      </c>
      <c r="C368" s="30">
        <f t="shared" si="231"/>
        <v>20</v>
      </c>
      <c r="D368" s="30">
        <f t="shared" si="211"/>
        <v>2101</v>
      </c>
      <c r="E368" s="133">
        <f t="shared" si="212"/>
        <v>0</v>
      </c>
      <c r="F368" s="1"/>
      <c r="G368" s="133">
        <f t="shared" si="230"/>
        <v>0</v>
      </c>
      <c r="H368" s="133">
        <f t="shared" si="224"/>
        <v>0</v>
      </c>
      <c r="I368" s="30">
        <f t="shared" si="207"/>
        <v>30476</v>
      </c>
      <c r="J368" s="133">
        <f t="shared" si="228"/>
        <v>0</v>
      </c>
      <c r="K368" s="10">
        <f t="shared" si="213"/>
        <v>0</v>
      </c>
      <c r="L368" s="22">
        <f t="shared" si="225"/>
        <v>0</v>
      </c>
      <c r="M368" s="10">
        <f t="shared" si="226"/>
        <v>0</v>
      </c>
      <c r="O368" s="30" t="b">
        <f t="shared" si="214"/>
        <v>0</v>
      </c>
      <c r="P368" s="30" t="b">
        <f t="shared" si="215"/>
        <v>1</v>
      </c>
      <c r="Q368" s="30" t="b">
        <f t="shared" si="216"/>
        <v>0</v>
      </c>
      <c r="R368" s="30">
        <f t="shared" si="217"/>
        <v>0</v>
      </c>
      <c r="S368" s="32">
        <f t="shared" si="218"/>
        <v>0</v>
      </c>
      <c r="Z368" s="10"/>
      <c r="AA368" s="45">
        <f t="shared" si="219"/>
        <v>0</v>
      </c>
      <c r="AB368" s="3">
        <f t="shared" si="220"/>
        <v>-42054</v>
      </c>
      <c r="AC368" s="3">
        <f t="shared" si="221"/>
        <v>-116.81666666666666</v>
      </c>
      <c r="AD368" s="3">
        <f t="shared" si="229"/>
        <v>84.66666666666666</v>
      </c>
      <c r="AE368" s="48">
        <f t="shared" si="222"/>
        <v>0</v>
      </c>
      <c r="AF368" s="3">
        <f t="shared" si="223"/>
        <v>0</v>
      </c>
      <c r="AH368" s="4"/>
      <c r="AI368" s="4"/>
      <c r="AN368" s="108">
        <f t="shared" si="227"/>
        <v>0</v>
      </c>
    </row>
    <row r="369" spans="1:40" ht="12.75">
      <c r="A369" s="33">
        <f t="shared" si="203"/>
        <v>339</v>
      </c>
      <c r="B369" s="30">
        <f t="shared" si="210"/>
        <v>9</v>
      </c>
      <c r="C369" s="30">
        <f t="shared" si="231"/>
        <v>20</v>
      </c>
      <c r="D369" s="30">
        <f t="shared" si="211"/>
        <v>2101</v>
      </c>
      <c r="E369" s="133">
        <f t="shared" si="212"/>
        <v>0</v>
      </c>
      <c r="F369" s="1"/>
      <c r="G369" s="133">
        <f t="shared" si="230"/>
        <v>0</v>
      </c>
      <c r="H369" s="133">
        <f t="shared" si="224"/>
        <v>0</v>
      </c>
      <c r="I369" s="30">
        <f t="shared" si="207"/>
        <v>30566</v>
      </c>
      <c r="J369" s="133">
        <f t="shared" si="228"/>
        <v>0</v>
      </c>
      <c r="K369" s="10">
        <f t="shared" si="213"/>
        <v>0</v>
      </c>
      <c r="L369" s="22">
        <f t="shared" si="225"/>
        <v>0</v>
      </c>
      <c r="M369" s="10">
        <f t="shared" si="226"/>
        <v>0</v>
      </c>
      <c r="O369" s="30" t="b">
        <f t="shared" si="214"/>
        <v>0</v>
      </c>
      <c r="P369" s="30" t="b">
        <f t="shared" si="215"/>
        <v>1</v>
      </c>
      <c r="Q369" s="30" t="b">
        <f t="shared" si="216"/>
        <v>0</v>
      </c>
      <c r="R369" s="30">
        <f t="shared" si="217"/>
        <v>0</v>
      </c>
      <c r="S369" s="32">
        <f t="shared" si="218"/>
        <v>0</v>
      </c>
      <c r="Z369" s="10"/>
      <c r="AA369" s="45">
        <f t="shared" si="219"/>
        <v>0</v>
      </c>
      <c r="AB369" s="3">
        <f t="shared" si="220"/>
        <v>-42054</v>
      </c>
      <c r="AC369" s="3">
        <f t="shared" si="221"/>
        <v>-116.81666666666666</v>
      </c>
      <c r="AD369" s="3">
        <f t="shared" si="229"/>
        <v>84.91666666666666</v>
      </c>
      <c r="AE369" s="48">
        <f t="shared" si="222"/>
        <v>0</v>
      </c>
      <c r="AF369" s="3">
        <f t="shared" si="223"/>
        <v>0</v>
      </c>
      <c r="AH369" s="4"/>
      <c r="AI369" s="4"/>
      <c r="AN369" s="108">
        <f t="shared" si="227"/>
        <v>0</v>
      </c>
    </row>
    <row r="370" spans="1:40" ht="12.75">
      <c r="A370" s="33">
        <f t="shared" si="203"/>
        <v>340</v>
      </c>
      <c r="B370" s="30">
        <f t="shared" si="210"/>
        <v>12</v>
      </c>
      <c r="C370" s="30">
        <f t="shared" si="231"/>
        <v>20</v>
      </c>
      <c r="D370" s="30">
        <f t="shared" si="211"/>
        <v>2101</v>
      </c>
      <c r="E370" s="133">
        <f t="shared" si="212"/>
        <v>0</v>
      </c>
      <c r="F370" s="1"/>
      <c r="G370" s="133">
        <f t="shared" si="230"/>
        <v>0</v>
      </c>
      <c r="H370" s="133">
        <f t="shared" si="224"/>
        <v>0</v>
      </c>
      <c r="I370" s="30">
        <f t="shared" si="207"/>
        <v>30656</v>
      </c>
      <c r="J370" s="133">
        <f t="shared" si="228"/>
        <v>0</v>
      </c>
      <c r="K370" s="10">
        <f t="shared" si="213"/>
        <v>0</v>
      </c>
      <c r="L370" s="22">
        <f t="shared" si="225"/>
        <v>0</v>
      </c>
      <c r="M370" s="10">
        <f t="shared" si="226"/>
        <v>0</v>
      </c>
      <c r="O370" s="30" t="b">
        <f t="shared" si="214"/>
        <v>1</v>
      </c>
      <c r="P370" s="30" t="b">
        <f t="shared" si="215"/>
        <v>0</v>
      </c>
      <c r="Q370" s="30" t="b">
        <f t="shared" si="216"/>
        <v>0</v>
      </c>
      <c r="R370" s="30">
        <f t="shared" si="217"/>
        <v>0</v>
      </c>
      <c r="S370" s="32">
        <f t="shared" si="218"/>
        <v>0</v>
      </c>
      <c r="Z370" s="10"/>
      <c r="AA370" s="45">
        <f t="shared" si="219"/>
        <v>0</v>
      </c>
      <c r="AB370" s="3">
        <f t="shared" si="220"/>
        <v>-42054</v>
      </c>
      <c r="AC370" s="3">
        <f t="shared" si="221"/>
        <v>-116.81666666666666</v>
      </c>
      <c r="AD370" s="3">
        <f t="shared" si="229"/>
        <v>85.16666666666666</v>
      </c>
      <c r="AE370" s="48">
        <f t="shared" si="222"/>
        <v>0</v>
      </c>
      <c r="AF370" s="3">
        <f t="shared" si="223"/>
        <v>0</v>
      </c>
      <c r="AH370" s="4"/>
      <c r="AI370" s="4"/>
      <c r="AN370" s="108">
        <f t="shared" si="227"/>
        <v>0</v>
      </c>
    </row>
    <row r="371" spans="1:40" ht="12.75">
      <c r="A371" s="33">
        <f t="shared" si="203"/>
        <v>341</v>
      </c>
      <c r="B371" s="30">
        <f t="shared" si="210"/>
        <v>3</v>
      </c>
      <c r="C371" s="30">
        <f t="shared" si="231"/>
        <v>20</v>
      </c>
      <c r="D371" s="30">
        <f t="shared" si="211"/>
        <v>2102</v>
      </c>
      <c r="E371" s="133">
        <f t="shared" si="212"/>
        <v>0</v>
      </c>
      <c r="F371" s="1"/>
      <c r="G371" s="133">
        <f t="shared" si="230"/>
        <v>0</v>
      </c>
      <c r="H371" s="133">
        <f t="shared" si="224"/>
        <v>0</v>
      </c>
      <c r="I371" s="30">
        <f t="shared" si="207"/>
        <v>30746</v>
      </c>
      <c r="J371" s="133">
        <f t="shared" si="228"/>
        <v>0</v>
      </c>
      <c r="K371" s="10">
        <f t="shared" si="213"/>
        <v>0</v>
      </c>
      <c r="L371" s="22">
        <f t="shared" si="225"/>
        <v>0</v>
      </c>
      <c r="M371" s="10">
        <f t="shared" si="226"/>
        <v>0</v>
      </c>
      <c r="O371" s="30" t="b">
        <f t="shared" si="214"/>
        <v>1</v>
      </c>
      <c r="P371" s="30" t="b">
        <f t="shared" si="215"/>
        <v>0</v>
      </c>
      <c r="Q371" s="30" t="b">
        <f t="shared" si="216"/>
        <v>0</v>
      </c>
      <c r="R371" s="30">
        <f t="shared" si="217"/>
        <v>0</v>
      </c>
      <c r="S371" s="32">
        <f t="shared" si="218"/>
        <v>0</v>
      </c>
      <c r="Z371" s="10"/>
      <c r="AA371" s="45">
        <f t="shared" si="219"/>
        <v>0</v>
      </c>
      <c r="AB371" s="3">
        <f t="shared" si="220"/>
        <v>-42054</v>
      </c>
      <c r="AC371" s="3">
        <f t="shared" si="221"/>
        <v>-116.81666666666666</v>
      </c>
      <c r="AD371" s="3">
        <f t="shared" si="229"/>
        <v>85.41666666666666</v>
      </c>
      <c r="AE371" s="48">
        <f t="shared" si="222"/>
        <v>0</v>
      </c>
      <c r="AF371" s="3">
        <f t="shared" si="223"/>
        <v>0</v>
      </c>
      <c r="AH371" s="4"/>
      <c r="AI371" s="4"/>
      <c r="AN371" s="108">
        <f t="shared" si="227"/>
        <v>0</v>
      </c>
    </row>
    <row r="372" spans="1:40" ht="12.75">
      <c r="A372" s="33">
        <f t="shared" si="203"/>
        <v>342</v>
      </c>
      <c r="B372" s="30">
        <f t="shared" si="210"/>
        <v>6</v>
      </c>
      <c r="C372" s="30">
        <f t="shared" si="231"/>
        <v>20</v>
      </c>
      <c r="D372" s="30">
        <f t="shared" si="211"/>
        <v>2102</v>
      </c>
      <c r="E372" s="133">
        <f t="shared" si="212"/>
        <v>0</v>
      </c>
      <c r="F372" s="1"/>
      <c r="G372" s="133">
        <f t="shared" si="230"/>
        <v>0</v>
      </c>
      <c r="H372" s="133">
        <f t="shared" si="224"/>
        <v>0</v>
      </c>
      <c r="I372" s="30">
        <f t="shared" si="207"/>
        <v>30836</v>
      </c>
      <c r="J372" s="133">
        <f t="shared" si="228"/>
        <v>0</v>
      </c>
      <c r="K372" s="10">
        <f t="shared" si="213"/>
        <v>0</v>
      </c>
      <c r="L372" s="22">
        <f t="shared" si="225"/>
        <v>0</v>
      </c>
      <c r="M372" s="10">
        <f t="shared" si="226"/>
        <v>0</v>
      </c>
      <c r="O372" s="30" t="b">
        <f t="shared" si="214"/>
        <v>0</v>
      </c>
      <c r="P372" s="30" t="b">
        <f t="shared" si="215"/>
        <v>1</v>
      </c>
      <c r="Q372" s="30" t="b">
        <f t="shared" si="216"/>
        <v>0</v>
      </c>
      <c r="R372" s="30">
        <f t="shared" si="217"/>
        <v>0</v>
      </c>
      <c r="S372" s="32">
        <f t="shared" si="218"/>
        <v>0</v>
      </c>
      <c r="Z372" s="10"/>
      <c r="AA372" s="45">
        <f t="shared" si="219"/>
        <v>0</v>
      </c>
      <c r="AB372" s="3">
        <f t="shared" si="220"/>
        <v>-42054</v>
      </c>
      <c r="AC372" s="3">
        <f t="shared" si="221"/>
        <v>-116.81666666666666</v>
      </c>
      <c r="AD372" s="3">
        <f t="shared" si="229"/>
        <v>85.66666666666666</v>
      </c>
      <c r="AE372" s="48">
        <f t="shared" si="222"/>
        <v>0</v>
      </c>
      <c r="AF372" s="3">
        <f t="shared" si="223"/>
        <v>0</v>
      </c>
      <c r="AH372" s="4"/>
      <c r="AI372" s="4"/>
      <c r="AN372" s="108">
        <f t="shared" si="227"/>
        <v>0</v>
      </c>
    </row>
    <row r="373" spans="1:40" ht="12.75">
      <c r="A373" s="33">
        <f t="shared" si="203"/>
        <v>343</v>
      </c>
      <c r="B373" s="30">
        <f t="shared" si="210"/>
        <v>9</v>
      </c>
      <c r="C373" s="30">
        <f t="shared" si="231"/>
        <v>20</v>
      </c>
      <c r="D373" s="30">
        <f t="shared" si="211"/>
        <v>2102</v>
      </c>
      <c r="E373" s="133">
        <f t="shared" si="212"/>
        <v>0</v>
      </c>
      <c r="F373" s="1"/>
      <c r="G373" s="133">
        <f t="shared" si="230"/>
        <v>0</v>
      </c>
      <c r="H373" s="133">
        <f t="shared" si="224"/>
        <v>0</v>
      </c>
      <c r="I373" s="30">
        <f t="shared" si="207"/>
        <v>30926</v>
      </c>
      <c r="J373" s="133">
        <f t="shared" si="228"/>
        <v>0</v>
      </c>
      <c r="K373" s="10">
        <f t="shared" si="213"/>
        <v>0</v>
      </c>
      <c r="L373" s="22">
        <f t="shared" si="225"/>
        <v>0</v>
      </c>
      <c r="M373" s="10">
        <f t="shared" si="226"/>
        <v>0</v>
      </c>
      <c r="O373" s="30" t="b">
        <f t="shared" si="214"/>
        <v>0</v>
      </c>
      <c r="P373" s="30" t="b">
        <f t="shared" si="215"/>
        <v>1</v>
      </c>
      <c r="Q373" s="30" t="b">
        <f t="shared" si="216"/>
        <v>0</v>
      </c>
      <c r="R373" s="30">
        <f t="shared" si="217"/>
        <v>0</v>
      </c>
      <c r="S373" s="32">
        <f t="shared" si="218"/>
        <v>0</v>
      </c>
      <c r="Z373" s="10"/>
      <c r="AA373" s="45">
        <f t="shared" si="219"/>
        <v>0</v>
      </c>
      <c r="AB373" s="3">
        <f t="shared" si="220"/>
        <v>-42054</v>
      </c>
      <c r="AC373" s="3">
        <f t="shared" si="221"/>
        <v>-116.81666666666666</v>
      </c>
      <c r="AD373" s="3">
        <f t="shared" si="229"/>
        <v>85.91666666666666</v>
      </c>
      <c r="AE373" s="48">
        <f t="shared" si="222"/>
        <v>0</v>
      </c>
      <c r="AF373" s="3">
        <f t="shared" si="223"/>
        <v>0</v>
      </c>
      <c r="AH373" s="4"/>
      <c r="AI373" s="4"/>
      <c r="AN373" s="108">
        <f t="shared" si="227"/>
        <v>0</v>
      </c>
    </row>
    <row r="374" spans="1:40" ht="12.75">
      <c r="A374" s="33">
        <f t="shared" si="203"/>
        <v>344</v>
      </c>
      <c r="B374" s="30">
        <f t="shared" si="210"/>
        <v>12</v>
      </c>
      <c r="C374" s="30">
        <f t="shared" si="231"/>
        <v>20</v>
      </c>
      <c r="D374" s="30">
        <f t="shared" si="211"/>
        <v>2102</v>
      </c>
      <c r="E374" s="133">
        <f t="shared" si="212"/>
        <v>0</v>
      </c>
      <c r="F374" s="1"/>
      <c r="G374" s="133">
        <f t="shared" si="230"/>
        <v>0</v>
      </c>
      <c r="H374" s="133">
        <f t="shared" si="224"/>
        <v>0</v>
      </c>
      <c r="I374" s="30">
        <f t="shared" si="207"/>
        <v>31016</v>
      </c>
      <c r="J374" s="133">
        <f t="shared" si="228"/>
        <v>0</v>
      </c>
      <c r="K374" s="10">
        <f t="shared" si="213"/>
        <v>0</v>
      </c>
      <c r="L374" s="22">
        <f t="shared" si="225"/>
        <v>0</v>
      </c>
      <c r="M374" s="10">
        <f t="shared" si="226"/>
        <v>0</v>
      </c>
      <c r="O374" s="30" t="b">
        <f t="shared" si="214"/>
        <v>1</v>
      </c>
      <c r="P374" s="30" t="b">
        <f t="shared" si="215"/>
        <v>0</v>
      </c>
      <c r="Q374" s="30" t="b">
        <f t="shared" si="216"/>
        <v>0</v>
      </c>
      <c r="R374" s="30">
        <f t="shared" si="217"/>
        <v>0</v>
      </c>
      <c r="S374" s="32">
        <f t="shared" si="218"/>
        <v>0</v>
      </c>
      <c r="Z374" s="10"/>
      <c r="AA374" s="45">
        <f t="shared" si="219"/>
        <v>0</v>
      </c>
      <c r="AB374" s="3">
        <f t="shared" si="220"/>
        <v>-42054</v>
      </c>
      <c r="AC374" s="3">
        <f t="shared" si="221"/>
        <v>-116.81666666666666</v>
      </c>
      <c r="AD374" s="3">
        <f t="shared" si="229"/>
        <v>86.16666666666666</v>
      </c>
      <c r="AE374" s="48">
        <f t="shared" si="222"/>
        <v>0</v>
      </c>
      <c r="AF374" s="3">
        <f t="shared" si="223"/>
        <v>0</v>
      </c>
      <c r="AH374" s="4"/>
      <c r="AI374" s="4"/>
      <c r="AN374" s="108">
        <f t="shared" si="227"/>
        <v>0</v>
      </c>
    </row>
    <row r="375" spans="1:40" ht="12.75">
      <c r="A375" s="33">
        <f aca="true" t="shared" si="232" ref="A375:A404">A374+1</f>
        <v>345</v>
      </c>
      <c r="B375" s="30">
        <f t="shared" si="210"/>
        <v>3</v>
      </c>
      <c r="C375" s="30">
        <f t="shared" si="231"/>
        <v>20</v>
      </c>
      <c r="D375" s="30">
        <f t="shared" si="211"/>
        <v>2103</v>
      </c>
      <c r="E375" s="133">
        <f t="shared" si="212"/>
        <v>0</v>
      </c>
      <c r="F375" s="1"/>
      <c r="G375" s="133">
        <f t="shared" si="230"/>
        <v>0</v>
      </c>
      <c r="H375" s="133">
        <f t="shared" si="224"/>
        <v>0</v>
      </c>
      <c r="I375" s="30">
        <f aca="true" t="shared" si="233" ref="I375:I404">I374+(360/$F$14)</f>
        <v>31106</v>
      </c>
      <c r="J375" s="133">
        <f t="shared" si="228"/>
        <v>0</v>
      </c>
      <c r="K375" s="10">
        <f t="shared" si="213"/>
        <v>0</v>
      </c>
      <c r="L375" s="22">
        <f t="shared" si="225"/>
        <v>0</v>
      </c>
      <c r="M375" s="10">
        <f t="shared" si="226"/>
        <v>0</v>
      </c>
      <c r="O375" s="30" t="b">
        <f t="shared" si="214"/>
        <v>1</v>
      </c>
      <c r="P375" s="30" t="b">
        <f t="shared" si="215"/>
        <v>0</v>
      </c>
      <c r="Q375" s="30" t="b">
        <f t="shared" si="216"/>
        <v>0</v>
      </c>
      <c r="R375" s="30">
        <f t="shared" si="217"/>
        <v>0</v>
      </c>
      <c r="S375" s="32">
        <f t="shared" si="218"/>
        <v>0</v>
      </c>
      <c r="Z375" s="10"/>
      <c r="AA375" s="45">
        <f t="shared" si="219"/>
        <v>0</v>
      </c>
      <c r="AB375" s="3">
        <f t="shared" si="220"/>
        <v>-42054</v>
      </c>
      <c r="AC375" s="3">
        <f t="shared" si="221"/>
        <v>-116.81666666666666</v>
      </c>
      <c r="AD375" s="3">
        <f t="shared" si="229"/>
        <v>86.41666666666666</v>
      </c>
      <c r="AE375" s="48">
        <f t="shared" si="222"/>
        <v>0</v>
      </c>
      <c r="AF375" s="3">
        <f t="shared" si="223"/>
        <v>0</v>
      </c>
      <c r="AH375" s="4"/>
      <c r="AI375" s="4"/>
      <c r="AN375" s="108">
        <f t="shared" si="227"/>
        <v>0</v>
      </c>
    </row>
    <row r="376" spans="1:40" ht="12.75">
      <c r="A376" s="33">
        <f t="shared" si="232"/>
        <v>346</v>
      </c>
      <c r="B376" s="30">
        <f t="shared" si="210"/>
        <v>6</v>
      </c>
      <c r="C376" s="30">
        <f t="shared" si="231"/>
        <v>20</v>
      </c>
      <c r="D376" s="30">
        <f t="shared" si="211"/>
        <v>2103</v>
      </c>
      <c r="E376" s="133">
        <f t="shared" si="212"/>
        <v>0</v>
      </c>
      <c r="F376" s="1"/>
      <c r="G376" s="133">
        <f t="shared" si="230"/>
        <v>0</v>
      </c>
      <c r="H376" s="133">
        <f t="shared" si="224"/>
        <v>0</v>
      </c>
      <c r="I376" s="30">
        <f t="shared" si="233"/>
        <v>31196</v>
      </c>
      <c r="J376" s="133">
        <f t="shared" si="228"/>
        <v>0</v>
      </c>
      <c r="K376" s="10">
        <f t="shared" si="213"/>
        <v>0</v>
      </c>
      <c r="L376" s="22">
        <f t="shared" si="225"/>
        <v>0</v>
      </c>
      <c r="M376" s="10">
        <f t="shared" si="226"/>
        <v>0</v>
      </c>
      <c r="O376" s="30" t="b">
        <f t="shared" si="214"/>
        <v>0</v>
      </c>
      <c r="P376" s="30" t="b">
        <f t="shared" si="215"/>
        <v>1</v>
      </c>
      <c r="Q376" s="30" t="b">
        <f t="shared" si="216"/>
        <v>0</v>
      </c>
      <c r="R376" s="30">
        <f t="shared" si="217"/>
        <v>0</v>
      </c>
      <c r="S376" s="32">
        <f t="shared" si="218"/>
        <v>0</v>
      </c>
      <c r="Z376" s="10"/>
      <c r="AA376" s="45">
        <f t="shared" si="219"/>
        <v>0</v>
      </c>
      <c r="AB376" s="3">
        <f t="shared" si="220"/>
        <v>-42054</v>
      </c>
      <c r="AC376" s="3">
        <f t="shared" si="221"/>
        <v>-116.81666666666666</v>
      </c>
      <c r="AD376" s="3">
        <f t="shared" si="229"/>
        <v>86.66666666666666</v>
      </c>
      <c r="AE376" s="48">
        <f t="shared" si="222"/>
        <v>0</v>
      </c>
      <c r="AF376" s="3">
        <f t="shared" si="223"/>
        <v>0</v>
      </c>
      <c r="AH376" s="4"/>
      <c r="AI376" s="4"/>
      <c r="AN376" s="108">
        <f t="shared" si="227"/>
        <v>0</v>
      </c>
    </row>
    <row r="377" spans="1:40" ht="12.75">
      <c r="A377" s="33">
        <f t="shared" si="232"/>
        <v>347</v>
      </c>
      <c r="B377" s="30">
        <f t="shared" si="210"/>
        <v>9</v>
      </c>
      <c r="C377" s="30">
        <f t="shared" si="231"/>
        <v>20</v>
      </c>
      <c r="D377" s="30">
        <f t="shared" si="211"/>
        <v>2103</v>
      </c>
      <c r="E377" s="133">
        <f t="shared" si="212"/>
        <v>0</v>
      </c>
      <c r="F377" s="1"/>
      <c r="G377" s="133">
        <f t="shared" si="230"/>
        <v>0</v>
      </c>
      <c r="H377" s="133">
        <f t="shared" si="224"/>
        <v>0</v>
      </c>
      <c r="I377" s="30">
        <f t="shared" si="233"/>
        <v>31286</v>
      </c>
      <c r="J377" s="133">
        <f t="shared" si="228"/>
        <v>0</v>
      </c>
      <c r="K377" s="10">
        <f t="shared" si="213"/>
        <v>0</v>
      </c>
      <c r="L377" s="22">
        <f t="shared" si="225"/>
        <v>0</v>
      </c>
      <c r="M377" s="10">
        <f t="shared" si="226"/>
        <v>0</v>
      </c>
      <c r="O377" s="30" t="b">
        <f t="shared" si="214"/>
        <v>0</v>
      </c>
      <c r="P377" s="30" t="b">
        <f t="shared" si="215"/>
        <v>1</v>
      </c>
      <c r="Q377" s="30" t="b">
        <f t="shared" si="216"/>
        <v>0</v>
      </c>
      <c r="R377" s="30">
        <f t="shared" si="217"/>
        <v>0</v>
      </c>
      <c r="S377" s="32">
        <f t="shared" si="218"/>
        <v>0</v>
      </c>
      <c r="Z377" s="10"/>
      <c r="AA377" s="45">
        <f t="shared" si="219"/>
        <v>0</v>
      </c>
      <c r="AB377" s="3">
        <f t="shared" si="220"/>
        <v>-42054</v>
      </c>
      <c r="AC377" s="3">
        <f t="shared" si="221"/>
        <v>-116.81666666666666</v>
      </c>
      <c r="AD377" s="3">
        <f t="shared" si="229"/>
        <v>86.91666666666666</v>
      </c>
      <c r="AE377" s="48">
        <f t="shared" si="222"/>
        <v>0</v>
      </c>
      <c r="AF377" s="3">
        <f t="shared" si="223"/>
        <v>0</v>
      </c>
      <c r="AH377" s="4"/>
      <c r="AI377" s="4"/>
      <c r="AN377" s="108">
        <f t="shared" si="227"/>
        <v>0</v>
      </c>
    </row>
    <row r="378" spans="1:40" ht="12.75">
      <c r="A378" s="33">
        <f t="shared" si="232"/>
        <v>348</v>
      </c>
      <c r="B378" s="30">
        <f t="shared" si="210"/>
        <v>12</v>
      </c>
      <c r="C378" s="30">
        <f t="shared" si="231"/>
        <v>20</v>
      </c>
      <c r="D378" s="30">
        <f t="shared" si="211"/>
        <v>2103</v>
      </c>
      <c r="E378" s="133">
        <f t="shared" si="212"/>
        <v>0</v>
      </c>
      <c r="F378" s="1"/>
      <c r="G378" s="133">
        <f t="shared" si="230"/>
        <v>0</v>
      </c>
      <c r="H378" s="133">
        <f t="shared" si="224"/>
        <v>0</v>
      </c>
      <c r="I378" s="30">
        <f t="shared" si="233"/>
        <v>31376</v>
      </c>
      <c r="J378" s="133">
        <f t="shared" si="228"/>
        <v>0</v>
      </c>
      <c r="K378" s="10">
        <f t="shared" si="213"/>
        <v>0</v>
      </c>
      <c r="L378" s="22">
        <f t="shared" si="225"/>
        <v>0</v>
      </c>
      <c r="M378" s="10">
        <f t="shared" si="226"/>
        <v>0</v>
      </c>
      <c r="O378" s="30" t="b">
        <f t="shared" si="214"/>
        <v>1</v>
      </c>
      <c r="P378" s="30" t="b">
        <f t="shared" si="215"/>
        <v>0</v>
      </c>
      <c r="Q378" s="30" t="b">
        <f t="shared" si="216"/>
        <v>0</v>
      </c>
      <c r="R378" s="30">
        <f t="shared" si="217"/>
        <v>0</v>
      </c>
      <c r="S378" s="32">
        <f t="shared" si="218"/>
        <v>0</v>
      </c>
      <c r="Z378" s="10"/>
      <c r="AA378" s="45">
        <f t="shared" si="219"/>
        <v>0</v>
      </c>
      <c r="AB378" s="3">
        <f t="shared" si="220"/>
        <v>-42054</v>
      </c>
      <c r="AC378" s="3">
        <f t="shared" si="221"/>
        <v>-116.81666666666666</v>
      </c>
      <c r="AD378" s="3">
        <f t="shared" si="229"/>
        <v>87.16666666666666</v>
      </c>
      <c r="AE378" s="48">
        <f t="shared" si="222"/>
        <v>0</v>
      </c>
      <c r="AF378" s="3">
        <f t="shared" si="223"/>
        <v>0</v>
      </c>
      <c r="AH378" s="4"/>
      <c r="AI378" s="4"/>
      <c r="AN378" s="108">
        <f t="shared" si="227"/>
        <v>0</v>
      </c>
    </row>
    <row r="379" spans="1:40" ht="12.75">
      <c r="A379" s="33">
        <f t="shared" si="232"/>
        <v>349</v>
      </c>
      <c r="B379" s="30">
        <f t="shared" si="210"/>
        <v>3</v>
      </c>
      <c r="C379" s="30">
        <f t="shared" si="231"/>
        <v>20</v>
      </c>
      <c r="D379" s="30">
        <f t="shared" si="211"/>
        <v>2104</v>
      </c>
      <c r="E379" s="133">
        <f t="shared" si="212"/>
        <v>0</v>
      </c>
      <c r="F379" s="1"/>
      <c r="G379" s="133">
        <f t="shared" si="230"/>
        <v>0</v>
      </c>
      <c r="H379" s="133">
        <f t="shared" si="224"/>
        <v>0</v>
      </c>
      <c r="I379" s="30">
        <f t="shared" si="233"/>
        <v>31466</v>
      </c>
      <c r="J379" s="133">
        <f t="shared" si="228"/>
        <v>0</v>
      </c>
      <c r="K379" s="10">
        <f t="shared" si="213"/>
        <v>0</v>
      </c>
      <c r="L379" s="22">
        <f t="shared" si="225"/>
        <v>0</v>
      </c>
      <c r="M379" s="10">
        <f t="shared" si="226"/>
        <v>0</v>
      </c>
      <c r="O379" s="30" t="b">
        <f t="shared" si="214"/>
        <v>1</v>
      </c>
      <c r="P379" s="30" t="b">
        <f t="shared" si="215"/>
        <v>0</v>
      </c>
      <c r="Q379" s="30" t="b">
        <f t="shared" si="216"/>
        <v>0</v>
      </c>
      <c r="R379" s="30">
        <f t="shared" si="217"/>
        <v>0</v>
      </c>
      <c r="S379" s="32">
        <f t="shared" si="218"/>
        <v>0</v>
      </c>
      <c r="Z379" s="10"/>
      <c r="AA379" s="45">
        <f t="shared" si="219"/>
        <v>0</v>
      </c>
      <c r="AB379" s="3">
        <f t="shared" si="220"/>
        <v>-42054</v>
      </c>
      <c r="AC379" s="3">
        <f t="shared" si="221"/>
        <v>-116.81666666666666</v>
      </c>
      <c r="AD379" s="3">
        <f t="shared" si="229"/>
        <v>87.41666666666666</v>
      </c>
      <c r="AE379" s="48">
        <f t="shared" si="222"/>
        <v>0</v>
      </c>
      <c r="AF379" s="3">
        <f t="shared" si="223"/>
        <v>0</v>
      </c>
      <c r="AH379" s="4"/>
      <c r="AI379" s="4"/>
      <c r="AN379" s="108">
        <f t="shared" si="227"/>
        <v>0</v>
      </c>
    </row>
    <row r="380" spans="1:40" ht="12.75">
      <c r="A380" s="33">
        <f t="shared" si="232"/>
        <v>350</v>
      </c>
      <c r="B380" s="30">
        <f t="shared" si="210"/>
        <v>6</v>
      </c>
      <c r="C380" s="30">
        <f t="shared" si="231"/>
        <v>20</v>
      </c>
      <c r="D380" s="30">
        <f t="shared" si="211"/>
        <v>2104</v>
      </c>
      <c r="E380" s="133">
        <f t="shared" si="212"/>
        <v>0</v>
      </c>
      <c r="F380" s="1"/>
      <c r="G380" s="133">
        <f t="shared" si="230"/>
        <v>0</v>
      </c>
      <c r="H380" s="133">
        <f t="shared" si="224"/>
        <v>0</v>
      </c>
      <c r="I380" s="30">
        <f t="shared" si="233"/>
        <v>31556</v>
      </c>
      <c r="J380" s="133">
        <f t="shared" si="228"/>
        <v>0</v>
      </c>
      <c r="K380" s="10">
        <f t="shared" si="213"/>
        <v>0</v>
      </c>
      <c r="L380" s="22">
        <f t="shared" si="225"/>
        <v>0</v>
      </c>
      <c r="M380" s="10">
        <f t="shared" si="226"/>
        <v>0</v>
      </c>
      <c r="O380" s="30" t="b">
        <f t="shared" si="214"/>
        <v>0</v>
      </c>
      <c r="P380" s="30" t="b">
        <f t="shared" si="215"/>
        <v>1</v>
      </c>
      <c r="Q380" s="30" t="b">
        <f t="shared" si="216"/>
        <v>0</v>
      </c>
      <c r="R380" s="30">
        <f t="shared" si="217"/>
        <v>0</v>
      </c>
      <c r="S380" s="32">
        <f t="shared" si="218"/>
        <v>0</v>
      </c>
      <c r="Z380" s="10"/>
      <c r="AA380" s="45">
        <f t="shared" si="219"/>
        <v>0</v>
      </c>
      <c r="AB380" s="3">
        <f t="shared" si="220"/>
        <v>-42054</v>
      </c>
      <c r="AC380" s="3">
        <f t="shared" si="221"/>
        <v>-116.81666666666666</v>
      </c>
      <c r="AD380" s="3">
        <f t="shared" si="229"/>
        <v>87.66666666666666</v>
      </c>
      <c r="AE380" s="48">
        <f t="shared" si="222"/>
        <v>0</v>
      </c>
      <c r="AF380" s="3">
        <f t="shared" si="223"/>
        <v>0</v>
      </c>
      <c r="AH380" s="4"/>
      <c r="AI380" s="4"/>
      <c r="AN380" s="108">
        <f t="shared" si="227"/>
        <v>0</v>
      </c>
    </row>
    <row r="381" spans="1:40" ht="12.75">
      <c r="A381" s="33">
        <f t="shared" si="232"/>
        <v>351</v>
      </c>
      <c r="B381" s="30">
        <f t="shared" si="210"/>
        <v>9</v>
      </c>
      <c r="C381" s="30">
        <f t="shared" si="231"/>
        <v>20</v>
      </c>
      <c r="D381" s="30">
        <f t="shared" si="211"/>
        <v>2104</v>
      </c>
      <c r="E381" s="133">
        <f t="shared" si="212"/>
        <v>0</v>
      </c>
      <c r="F381" s="1"/>
      <c r="G381" s="133">
        <f t="shared" si="230"/>
        <v>0</v>
      </c>
      <c r="H381" s="133">
        <f t="shared" si="224"/>
        <v>0</v>
      </c>
      <c r="I381" s="30">
        <f t="shared" si="233"/>
        <v>31646</v>
      </c>
      <c r="J381" s="133">
        <f t="shared" si="228"/>
        <v>0</v>
      </c>
      <c r="K381" s="10">
        <f t="shared" si="213"/>
        <v>0</v>
      </c>
      <c r="L381" s="22">
        <f t="shared" si="225"/>
        <v>0</v>
      </c>
      <c r="M381" s="10">
        <f t="shared" si="226"/>
        <v>0</v>
      </c>
      <c r="O381" s="30" t="b">
        <f t="shared" si="214"/>
        <v>0</v>
      </c>
      <c r="P381" s="30" t="b">
        <f t="shared" si="215"/>
        <v>1</v>
      </c>
      <c r="Q381" s="30" t="b">
        <f t="shared" si="216"/>
        <v>0</v>
      </c>
      <c r="R381" s="30">
        <f t="shared" si="217"/>
        <v>0</v>
      </c>
      <c r="S381" s="32">
        <f t="shared" si="218"/>
        <v>0</v>
      </c>
      <c r="Z381" s="10"/>
      <c r="AA381" s="45">
        <f t="shared" si="219"/>
        <v>0</v>
      </c>
      <c r="AB381" s="3">
        <f t="shared" si="220"/>
        <v>-42054</v>
      </c>
      <c r="AC381" s="3">
        <f t="shared" si="221"/>
        <v>-116.81666666666666</v>
      </c>
      <c r="AD381" s="3">
        <f t="shared" si="229"/>
        <v>87.91666666666666</v>
      </c>
      <c r="AE381" s="48">
        <f t="shared" si="222"/>
        <v>0</v>
      </c>
      <c r="AF381" s="3">
        <f t="shared" si="223"/>
        <v>0</v>
      </c>
      <c r="AH381" s="4"/>
      <c r="AI381" s="4"/>
      <c r="AN381" s="108">
        <f t="shared" si="227"/>
        <v>0</v>
      </c>
    </row>
    <row r="382" spans="1:40" ht="12.75">
      <c r="A382" s="33">
        <f t="shared" si="232"/>
        <v>352</v>
      </c>
      <c r="B382" s="30">
        <f t="shared" si="210"/>
        <v>12</v>
      </c>
      <c r="C382" s="30">
        <f t="shared" si="231"/>
        <v>20</v>
      </c>
      <c r="D382" s="30">
        <f t="shared" si="211"/>
        <v>2104</v>
      </c>
      <c r="E382" s="133">
        <f t="shared" si="212"/>
        <v>0</v>
      </c>
      <c r="F382" s="1"/>
      <c r="G382" s="133">
        <f t="shared" si="230"/>
        <v>0</v>
      </c>
      <c r="H382" s="133">
        <f t="shared" si="224"/>
        <v>0</v>
      </c>
      <c r="I382" s="30">
        <f t="shared" si="233"/>
        <v>31736</v>
      </c>
      <c r="J382" s="133">
        <f t="shared" si="228"/>
        <v>0</v>
      </c>
      <c r="K382" s="10">
        <f t="shared" si="213"/>
        <v>0</v>
      </c>
      <c r="L382" s="22">
        <f t="shared" si="225"/>
        <v>0</v>
      </c>
      <c r="M382" s="10">
        <f t="shared" si="226"/>
        <v>0</v>
      </c>
      <c r="O382" s="30" t="b">
        <f t="shared" si="214"/>
        <v>1</v>
      </c>
      <c r="P382" s="30" t="b">
        <f t="shared" si="215"/>
        <v>0</v>
      </c>
      <c r="Q382" s="30" t="b">
        <f t="shared" si="216"/>
        <v>0</v>
      </c>
      <c r="R382" s="30">
        <f t="shared" si="217"/>
        <v>0</v>
      </c>
      <c r="S382" s="32">
        <f t="shared" si="218"/>
        <v>0</v>
      </c>
      <c r="Z382" s="10"/>
      <c r="AA382" s="45">
        <f t="shared" si="219"/>
        <v>0</v>
      </c>
      <c r="AB382" s="3">
        <f t="shared" si="220"/>
        <v>-42054</v>
      </c>
      <c r="AC382" s="3">
        <f t="shared" si="221"/>
        <v>-116.81666666666666</v>
      </c>
      <c r="AD382" s="3">
        <f t="shared" si="229"/>
        <v>88.16666666666666</v>
      </c>
      <c r="AE382" s="48">
        <f t="shared" si="222"/>
        <v>0</v>
      </c>
      <c r="AF382" s="3">
        <f t="shared" si="223"/>
        <v>0</v>
      </c>
      <c r="AH382" s="4"/>
      <c r="AI382" s="4"/>
      <c r="AN382" s="108">
        <f t="shared" si="227"/>
        <v>0</v>
      </c>
    </row>
    <row r="383" spans="1:40" ht="12.75">
      <c r="A383" s="33">
        <f t="shared" si="232"/>
        <v>353</v>
      </c>
      <c r="B383" s="30">
        <f t="shared" si="210"/>
        <v>3</v>
      </c>
      <c r="C383" s="30">
        <f t="shared" si="231"/>
        <v>20</v>
      </c>
      <c r="D383" s="30">
        <f t="shared" si="211"/>
        <v>2105</v>
      </c>
      <c r="E383" s="133">
        <f t="shared" si="212"/>
        <v>0</v>
      </c>
      <c r="F383" s="1"/>
      <c r="G383" s="133">
        <f t="shared" si="230"/>
        <v>0</v>
      </c>
      <c r="H383" s="133">
        <f t="shared" si="224"/>
        <v>0</v>
      </c>
      <c r="I383" s="30">
        <f t="shared" si="233"/>
        <v>31826</v>
      </c>
      <c r="J383" s="133">
        <f t="shared" si="228"/>
        <v>0</v>
      </c>
      <c r="K383" s="10">
        <f t="shared" si="213"/>
        <v>0</v>
      </c>
      <c r="L383" s="22">
        <f t="shared" si="225"/>
        <v>0</v>
      </c>
      <c r="M383" s="10">
        <f t="shared" si="226"/>
        <v>0</v>
      </c>
      <c r="O383" s="30" t="b">
        <f t="shared" si="214"/>
        <v>1</v>
      </c>
      <c r="P383" s="30" t="b">
        <f t="shared" si="215"/>
        <v>0</v>
      </c>
      <c r="Q383" s="30" t="b">
        <f t="shared" si="216"/>
        <v>0</v>
      </c>
      <c r="R383" s="30">
        <f t="shared" si="217"/>
        <v>0</v>
      </c>
      <c r="S383" s="32">
        <f t="shared" si="218"/>
        <v>0</v>
      </c>
      <c r="Z383" s="10"/>
      <c r="AA383" s="45">
        <f t="shared" si="219"/>
        <v>0</v>
      </c>
      <c r="AB383" s="3">
        <f t="shared" si="220"/>
        <v>-42054</v>
      </c>
      <c r="AC383" s="3">
        <f t="shared" si="221"/>
        <v>-116.81666666666666</v>
      </c>
      <c r="AD383" s="3">
        <f t="shared" si="229"/>
        <v>88.41666666666666</v>
      </c>
      <c r="AE383" s="48">
        <f t="shared" si="222"/>
        <v>0</v>
      </c>
      <c r="AF383" s="3">
        <f t="shared" si="223"/>
        <v>0</v>
      </c>
      <c r="AH383" s="4"/>
      <c r="AI383" s="4"/>
      <c r="AN383" s="108">
        <f t="shared" si="227"/>
        <v>0</v>
      </c>
    </row>
    <row r="384" spans="1:40" ht="12.75">
      <c r="A384" s="33">
        <f t="shared" si="232"/>
        <v>354</v>
      </c>
      <c r="B384" s="30">
        <f t="shared" si="210"/>
        <v>6</v>
      </c>
      <c r="C384" s="30">
        <f t="shared" si="231"/>
        <v>20</v>
      </c>
      <c r="D384" s="30">
        <f t="shared" si="211"/>
        <v>2105</v>
      </c>
      <c r="E384" s="133">
        <f t="shared" si="212"/>
        <v>0</v>
      </c>
      <c r="F384" s="1"/>
      <c r="G384" s="133">
        <f t="shared" si="230"/>
        <v>0</v>
      </c>
      <c r="H384" s="133">
        <f t="shared" si="224"/>
        <v>0</v>
      </c>
      <c r="I384" s="30">
        <f t="shared" si="233"/>
        <v>31916</v>
      </c>
      <c r="J384" s="133">
        <f t="shared" si="228"/>
        <v>0</v>
      </c>
      <c r="K384" s="10">
        <f t="shared" si="213"/>
        <v>0</v>
      </c>
      <c r="L384" s="22">
        <f t="shared" si="225"/>
        <v>0</v>
      </c>
      <c r="M384" s="10">
        <f t="shared" si="226"/>
        <v>0</v>
      </c>
      <c r="O384" s="30" t="b">
        <f t="shared" si="214"/>
        <v>0</v>
      </c>
      <c r="P384" s="30" t="b">
        <f t="shared" si="215"/>
        <v>1</v>
      </c>
      <c r="Q384" s="30" t="b">
        <f t="shared" si="216"/>
        <v>0</v>
      </c>
      <c r="R384" s="30">
        <f t="shared" si="217"/>
        <v>0</v>
      </c>
      <c r="S384" s="32">
        <f t="shared" si="218"/>
        <v>0</v>
      </c>
      <c r="Z384" s="10"/>
      <c r="AA384" s="45">
        <f t="shared" si="219"/>
        <v>0</v>
      </c>
      <c r="AB384" s="3">
        <f t="shared" si="220"/>
        <v>-42054</v>
      </c>
      <c r="AC384" s="3">
        <f t="shared" si="221"/>
        <v>-116.81666666666666</v>
      </c>
      <c r="AD384" s="3">
        <f t="shared" si="229"/>
        <v>88.66666666666666</v>
      </c>
      <c r="AE384" s="48">
        <f t="shared" si="222"/>
        <v>0</v>
      </c>
      <c r="AF384" s="3">
        <f t="shared" si="223"/>
        <v>0</v>
      </c>
      <c r="AH384" s="4"/>
      <c r="AI384" s="4"/>
      <c r="AN384" s="108">
        <f t="shared" si="227"/>
        <v>0</v>
      </c>
    </row>
    <row r="385" spans="1:40" ht="12.75">
      <c r="A385" s="33">
        <f t="shared" si="232"/>
        <v>355</v>
      </c>
      <c r="B385" s="30">
        <f t="shared" si="210"/>
        <v>9</v>
      </c>
      <c r="C385" s="30">
        <f t="shared" si="231"/>
        <v>20</v>
      </c>
      <c r="D385" s="30">
        <f t="shared" si="211"/>
        <v>2105</v>
      </c>
      <c r="E385" s="133">
        <f t="shared" si="212"/>
        <v>0</v>
      </c>
      <c r="F385" s="1"/>
      <c r="G385" s="133">
        <f t="shared" si="230"/>
        <v>0</v>
      </c>
      <c r="H385" s="133">
        <f t="shared" si="224"/>
        <v>0</v>
      </c>
      <c r="I385" s="30">
        <f t="shared" si="233"/>
        <v>32006</v>
      </c>
      <c r="J385" s="133">
        <f t="shared" si="228"/>
        <v>0</v>
      </c>
      <c r="K385" s="10">
        <f t="shared" si="213"/>
        <v>0</v>
      </c>
      <c r="L385" s="22">
        <f t="shared" si="225"/>
        <v>0</v>
      </c>
      <c r="M385" s="10">
        <f t="shared" si="226"/>
        <v>0</v>
      </c>
      <c r="O385" s="30" t="b">
        <f t="shared" si="214"/>
        <v>0</v>
      </c>
      <c r="P385" s="30" t="b">
        <f t="shared" si="215"/>
        <v>1</v>
      </c>
      <c r="Q385" s="30" t="b">
        <f t="shared" si="216"/>
        <v>0</v>
      </c>
      <c r="R385" s="30">
        <f t="shared" si="217"/>
        <v>0</v>
      </c>
      <c r="S385" s="32">
        <f t="shared" si="218"/>
        <v>0</v>
      </c>
      <c r="Z385" s="10"/>
      <c r="AA385" s="45">
        <f t="shared" si="219"/>
        <v>0</v>
      </c>
      <c r="AB385" s="3">
        <f t="shared" si="220"/>
        <v>-42054</v>
      </c>
      <c r="AC385" s="3">
        <f t="shared" si="221"/>
        <v>-116.81666666666666</v>
      </c>
      <c r="AD385" s="3">
        <f t="shared" si="229"/>
        <v>88.91666666666666</v>
      </c>
      <c r="AE385" s="48">
        <f t="shared" si="222"/>
        <v>0</v>
      </c>
      <c r="AF385" s="3">
        <f t="shared" si="223"/>
        <v>0</v>
      </c>
      <c r="AH385" s="4"/>
      <c r="AI385" s="4"/>
      <c r="AN385" s="108">
        <f t="shared" si="227"/>
        <v>0</v>
      </c>
    </row>
    <row r="386" spans="1:40" ht="12.75">
      <c r="A386" s="33">
        <f t="shared" si="232"/>
        <v>356</v>
      </c>
      <c r="B386" s="30">
        <f t="shared" si="210"/>
        <v>12</v>
      </c>
      <c r="C386" s="30">
        <f t="shared" si="231"/>
        <v>20</v>
      </c>
      <c r="D386" s="30">
        <f t="shared" si="211"/>
        <v>2105</v>
      </c>
      <c r="E386" s="133">
        <f t="shared" si="212"/>
        <v>0</v>
      </c>
      <c r="F386" s="1"/>
      <c r="G386" s="133">
        <f t="shared" si="230"/>
        <v>0</v>
      </c>
      <c r="H386" s="133">
        <f t="shared" si="224"/>
        <v>0</v>
      </c>
      <c r="I386" s="30">
        <f t="shared" si="233"/>
        <v>32096</v>
      </c>
      <c r="J386" s="133">
        <f t="shared" si="228"/>
        <v>0</v>
      </c>
      <c r="K386" s="10">
        <f t="shared" si="213"/>
        <v>0</v>
      </c>
      <c r="L386" s="22">
        <f t="shared" si="225"/>
        <v>0</v>
      </c>
      <c r="M386" s="10">
        <f t="shared" si="226"/>
        <v>0</v>
      </c>
      <c r="O386" s="30" t="b">
        <f t="shared" si="214"/>
        <v>1</v>
      </c>
      <c r="P386" s="30" t="b">
        <f t="shared" si="215"/>
        <v>0</v>
      </c>
      <c r="Q386" s="30" t="b">
        <f t="shared" si="216"/>
        <v>0</v>
      </c>
      <c r="R386" s="30">
        <f t="shared" si="217"/>
        <v>0</v>
      </c>
      <c r="S386" s="32">
        <f t="shared" si="218"/>
        <v>0</v>
      </c>
      <c r="Z386" s="10"/>
      <c r="AA386" s="45">
        <f t="shared" si="219"/>
        <v>0</v>
      </c>
      <c r="AB386" s="3">
        <f t="shared" si="220"/>
        <v>-42054</v>
      </c>
      <c r="AC386" s="3">
        <f t="shared" si="221"/>
        <v>-116.81666666666666</v>
      </c>
      <c r="AD386" s="3">
        <f t="shared" si="229"/>
        <v>89.16666666666666</v>
      </c>
      <c r="AE386" s="48">
        <f t="shared" si="222"/>
        <v>0</v>
      </c>
      <c r="AF386" s="3">
        <f t="shared" si="223"/>
        <v>0</v>
      </c>
      <c r="AH386" s="4"/>
      <c r="AI386" s="4"/>
      <c r="AN386" s="108">
        <f t="shared" si="227"/>
        <v>0</v>
      </c>
    </row>
    <row r="387" spans="1:40" ht="12.75">
      <c r="A387" s="33">
        <f t="shared" si="232"/>
        <v>357</v>
      </c>
      <c r="B387" s="30">
        <f t="shared" si="210"/>
        <v>3</v>
      </c>
      <c r="C387" s="30">
        <f t="shared" si="231"/>
        <v>20</v>
      </c>
      <c r="D387" s="30">
        <f t="shared" si="211"/>
        <v>2106</v>
      </c>
      <c r="E387" s="133">
        <f t="shared" si="212"/>
        <v>0</v>
      </c>
      <c r="F387" s="1"/>
      <c r="G387" s="133">
        <f t="shared" si="230"/>
        <v>0</v>
      </c>
      <c r="H387" s="133">
        <f t="shared" si="224"/>
        <v>0</v>
      </c>
      <c r="I387" s="30">
        <f t="shared" si="233"/>
        <v>32186</v>
      </c>
      <c r="J387" s="133">
        <f t="shared" si="228"/>
        <v>0</v>
      </c>
      <c r="K387" s="10">
        <f t="shared" si="213"/>
        <v>0</v>
      </c>
      <c r="L387" s="22">
        <f t="shared" si="225"/>
        <v>0</v>
      </c>
      <c r="M387" s="10">
        <f t="shared" si="226"/>
        <v>0</v>
      </c>
      <c r="O387" s="30" t="b">
        <f t="shared" si="214"/>
        <v>1</v>
      </c>
      <c r="P387" s="30" t="b">
        <f t="shared" si="215"/>
        <v>0</v>
      </c>
      <c r="Q387" s="30" t="b">
        <f t="shared" si="216"/>
        <v>0</v>
      </c>
      <c r="R387" s="30">
        <f t="shared" si="217"/>
        <v>0</v>
      </c>
      <c r="S387" s="32">
        <f t="shared" si="218"/>
        <v>0</v>
      </c>
      <c r="Z387" s="10"/>
      <c r="AA387" s="45">
        <f t="shared" si="219"/>
        <v>0</v>
      </c>
      <c r="AB387" s="3">
        <f t="shared" si="220"/>
        <v>-42054</v>
      </c>
      <c r="AC387" s="3">
        <f t="shared" si="221"/>
        <v>-116.81666666666666</v>
      </c>
      <c r="AD387" s="3">
        <f t="shared" si="229"/>
        <v>89.41666666666666</v>
      </c>
      <c r="AE387" s="48">
        <f t="shared" si="222"/>
        <v>0</v>
      </c>
      <c r="AF387" s="3">
        <f t="shared" si="223"/>
        <v>0</v>
      </c>
      <c r="AH387" s="4"/>
      <c r="AI387" s="4"/>
      <c r="AN387" s="108">
        <f t="shared" si="227"/>
        <v>0</v>
      </c>
    </row>
    <row r="388" spans="1:40" ht="12.75">
      <c r="A388" s="33">
        <f t="shared" si="232"/>
        <v>358</v>
      </c>
      <c r="B388" s="30">
        <f aca="true" t="shared" si="234" ref="B388:B404">IF(F$14=12,MOD(B387,12)+1,IF(F$14=4,IF(AND(MOD(B387,12)+3&gt;12,B387=11),2,IF(MOD(B387,12)+3&gt;12,1,MOD(B387,12)+3)),IF(F$14=2,IF((B387+6)&gt;12,(B387+6)-12,MOD(B387,12)+6),+B387)))</f>
        <v>6</v>
      </c>
      <c r="C388" s="30">
        <f t="shared" si="231"/>
        <v>20</v>
      </c>
      <c r="D388" s="30">
        <f aca="true" t="shared" si="235" ref="D388:D404">IF(F$14=1,D387+1,IF(AND(F$14=2,B388&lt;B387),D387+1,IF(AND(F$14=4,B388&lt;B387),D387+1,IF(OR(B388=1,B387=12),D387+1,D387))))</f>
        <v>2106</v>
      </c>
      <c r="E388" s="133">
        <f aca="true" t="shared" si="236" ref="E388:E404">ROUND(IF((+E387-F388)&lt;=-1,#VALUE!,E387-F388),2)</f>
        <v>0</v>
      </c>
      <c r="F388" s="1"/>
      <c r="G388" s="133">
        <f t="shared" si="230"/>
        <v>0</v>
      </c>
      <c r="H388" s="133">
        <f t="shared" si="224"/>
        <v>0</v>
      </c>
      <c r="I388" s="30">
        <f t="shared" si="233"/>
        <v>32276</v>
      </c>
      <c r="J388" s="133">
        <f t="shared" si="228"/>
        <v>0</v>
      </c>
      <c r="K388" s="10">
        <f aca="true" t="shared" si="237" ref="K388:K404">F388*((A388/$F$14)+$E$9/IF($M$3,365,360))</f>
        <v>0</v>
      </c>
      <c r="L388" s="22">
        <f t="shared" si="225"/>
        <v>0</v>
      </c>
      <c r="M388" s="10">
        <f t="shared" si="226"/>
        <v>0</v>
      </c>
      <c r="O388" s="30" t="b">
        <f aca="true" t="shared" si="238" ref="O388:O404">(OR(OR(OR(OR(OR(OR(B388=1,B388=3),B388=5),B388=7),B388=8),B388=10),B388=12))</f>
        <v>0</v>
      </c>
      <c r="P388" s="30" t="b">
        <f aca="true" t="shared" si="239" ref="P388:P404">(OR(OR(OR(B388=4,B388=6),B388=9),B388=11))</f>
        <v>1</v>
      </c>
      <c r="Q388" s="30" t="b">
        <f aca="true" t="shared" si="240" ref="Q388:Q404">OR((AND(B388=2,C388=28)),(AND(B388=2,C388=29)))</f>
        <v>0</v>
      </c>
      <c r="R388" s="30">
        <f aca="true" t="shared" si="241" ref="R388:R404">IF(AND(D388/4=(ROUND(D388/4,0)),B388=2),1,0)</f>
        <v>0</v>
      </c>
      <c r="S388" s="32">
        <f aca="true" t="shared" si="242" ref="S388:S404">IF(D388&gt;2078,0,DATE(+D388-1900,+B388,+C388))</f>
        <v>0</v>
      </c>
      <c r="Z388" s="10"/>
      <c r="AA388" s="45">
        <f aca="true" t="shared" si="243" ref="AA388:AA404">S388</f>
        <v>0</v>
      </c>
      <c r="AB388" s="3">
        <f aca="true" t="shared" si="244" ref="AB388:AB404">DAYS360($Z$29,AA388)</f>
        <v>-42054</v>
      </c>
      <c r="AC388" s="3">
        <f aca="true" t="shared" si="245" ref="AC388:AC404">AB388/360</f>
        <v>-116.81666666666666</v>
      </c>
      <c r="AD388" s="3">
        <f t="shared" si="229"/>
        <v>89.66666666666666</v>
      </c>
      <c r="AE388" s="48">
        <f aca="true" t="shared" si="246" ref="AE388:AE404">F388</f>
        <v>0</v>
      </c>
      <c r="AF388" s="3">
        <f aca="true" t="shared" si="247" ref="AF388:AF404">AE388*AD388</f>
        <v>0</v>
      </c>
      <c r="AH388" s="4"/>
      <c r="AI388" s="4"/>
      <c r="AN388" s="108">
        <f t="shared" si="227"/>
        <v>0</v>
      </c>
    </row>
    <row r="389" spans="1:40" ht="12.75">
      <c r="A389" s="33">
        <f t="shared" si="232"/>
        <v>359</v>
      </c>
      <c r="B389" s="30">
        <f t="shared" si="234"/>
        <v>9</v>
      </c>
      <c r="C389" s="30">
        <f t="shared" si="231"/>
        <v>20</v>
      </c>
      <c r="D389" s="30">
        <f t="shared" si="235"/>
        <v>2106</v>
      </c>
      <c r="E389" s="133">
        <f t="shared" si="236"/>
        <v>0</v>
      </c>
      <c r="F389" s="1"/>
      <c r="G389" s="133">
        <f t="shared" si="230"/>
        <v>0</v>
      </c>
      <c r="H389" s="133">
        <f t="shared" si="224"/>
        <v>0</v>
      </c>
      <c r="I389" s="30">
        <f t="shared" si="233"/>
        <v>32366</v>
      </c>
      <c r="J389" s="133">
        <f t="shared" si="228"/>
        <v>0</v>
      </c>
      <c r="K389" s="10">
        <f t="shared" si="237"/>
        <v>0</v>
      </c>
      <c r="L389" s="22">
        <f t="shared" si="225"/>
        <v>0</v>
      </c>
      <c r="M389" s="10">
        <f t="shared" si="226"/>
        <v>0</v>
      </c>
      <c r="O389" s="30" t="b">
        <f t="shared" si="238"/>
        <v>0</v>
      </c>
      <c r="P389" s="30" t="b">
        <f t="shared" si="239"/>
        <v>1</v>
      </c>
      <c r="Q389" s="30" t="b">
        <f t="shared" si="240"/>
        <v>0</v>
      </c>
      <c r="R389" s="30">
        <f t="shared" si="241"/>
        <v>0</v>
      </c>
      <c r="S389" s="32">
        <f t="shared" si="242"/>
        <v>0</v>
      </c>
      <c r="Z389" s="10"/>
      <c r="AA389" s="45">
        <f t="shared" si="243"/>
        <v>0</v>
      </c>
      <c r="AB389" s="3">
        <f t="shared" si="244"/>
        <v>-42054</v>
      </c>
      <c r="AC389" s="3">
        <f t="shared" si="245"/>
        <v>-116.81666666666666</v>
      </c>
      <c r="AD389" s="3">
        <f t="shared" si="229"/>
        <v>89.91666666666666</v>
      </c>
      <c r="AE389" s="48">
        <f t="shared" si="246"/>
        <v>0</v>
      </c>
      <c r="AF389" s="3">
        <f t="shared" si="247"/>
        <v>0</v>
      </c>
      <c r="AH389" s="4"/>
      <c r="AI389" s="4"/>
      <c r="AN389" s="108">
        <f t="shared" si="227"/>
        <v>0</v>
      </c>
    </row>
    <row r="390" spans="1:40" ht="12.75">
      <c r="A390" s="33">
        <f t="shared" si="232"/>
        <v>360</v>
      </c>
      <c r="B390" s="30">
        <f t="shared" si="234"/>
        <v>12</v>
      </c>
      <c r="C390" s="30">
        <f t="shared" si="231"/>
        <v>20</v>
      </c>
      <c r="D390" s="30">
        <f t="shared" si="235"/>
        <v>2106</v>
      </c>
      <c r="E390" s="133">
        <f t="shared" si="236"/>
        <v>0</v>
      </c>
      <c r="F390" s="1"/>
      <c r="G390" s="133">
        <f t="shared" si="230"/>
        <v>0</v>
      </c>
      <c r="H390" s="133">
        <f t="shared" si="224"/>
        <v>0</v>
      </c>
      <c r="I390" s="30">
        <f t="shared" si="233"/>
        <v>32456</v>
      </c>
      <c r="J390" s="133">
        <f t="shared" si="228"/>
        <v>0</v>
      </c>
      <c r="K390" s="10">
        <f t="shared" si="237"/>
        <v>0</v>
      </c>
      <c r="L390" s="22">
        <f t="shared" si="225"/>
        <v>0</v>
      </c>
      <c r="M390" s="10">
        <f t="shared" si="226"/>
        <v>0</v>
      </c>
      <c r="O390" s="30" t="b">
        <f t="shared" si="238"/>
        <v>1</v>
      </c>
      <c r="P390" s="30" t="b">
        <f t="shared" si="239"/>
        <v>0</v>
      </c>
      <c r="Q390" s="30" t="b">
        <f t="shared" si="240"/>
        <v>0</v>
      </c>
      <c r="R390" s="30">
        <f t="shared" si="241"/>
        <v>0</v>
      </c>
      <c r="S390" s="32">
        <f t="shared" si="242"/>
        <v>0</v>
      </c>
      <c r="Z390" s="10"/>
      <c r="AA390" s="45">
        <f t="shared" si="243"/>
        <v>0</v>
      </c>
      <c r="AB390" s="3">
        <f t="shared" si="244"/>
        <v>-42054</v>
      </c>
      <c r="AC390" s="3">
        <f t="shared" si="245"/>
        <v>-116.81666666666666</v>
      </c>
      <c r="AD390" s="3">
        <f t="shared" si="229"/>
        <v>90.16666666666666</v>
      </c>
      <c r="AE390" s="48">
        <f t="shared" si="246"/>
        <v>0</v>
      </c>
      <c r="AF390" s="3">
        <f t="shared" si="247"/>
        <v>0</v>
      </c>
      <c r="AH390" s="4"/>
      <c r="AI390" s="4"/>
      <c r="AN390" s="108">
        <f t="shared" si="227"/>
        <v>0</v>
      </c>
    </row>
    <row r="391" spans="1:40" ht="12.75">
      <c r="A391" s="33">
        <f t="shared" si="232"/>
        <v>361</v>
      </c>
      <c r="B391" s="30">
        <f t="shared" si="234"/>
        <v>3</v>
      </c>
      <c r="C391" s="30">
        <f t="shared" si="231"/>
        <v>20</v>
      </c>
      <c r="D391" s="30">
        <f t="shared" si="235"/>
        <v>2107</v>
      </c>
      <c r="E391" s="133">
        <f t="shared" si="236"/>
        <v>0</v>
      </c>
      <c r="F391" s="1"/>
      <c r="G391" s="133">
        <f t="shared" si="230"/>
        <v>0</v>
      </c>
      <c r="H391" s="133">
        <f t="shared" si="224"/>
        <v>0</v>
      </c>
      <c r="I391" s="30">
        <f t="shared" si="233"/>
        <v>32546</v>
      </c>
      <c r="J391" s="133">
        <f t="shared" si="228"/>
        <v>0</v>
      </c>
      <c r="K391" s="10">
        <f t="shared" si="237"/>
        <v>0</v>
      </c>
      <c r="L391" s="22">
        <f t="shared" si="225"/>
        <v>0</v>
      </c>
      <c r="M391" s="10">
        <f t="shared" si="226"/>
        <v>0</v>
      </c>
      <c r="O391" s="30" t="b">
        <f t="shared" si="238"/>
        <v>1</v>
      </c>
      <c r="P391" s="30" t="b">
        <f t="shared" si="239"/>
        <v>0</v>
      </c>
      <c r="Q391" s="30" t="b">
        <f t="shared" si="240"/>
        <v>0</v>
      </c>
      <c r="R391" s="30">
        <f t="shared" si="241"/>
        <v>0</v>
      </c>
      <c r="S391" s="32">
        <f t="shared" si="242"/>
        <v>0</v>
      </c>
      <c r="Z391" s="10"/>
      <c r="AA391" s="45">
        <f t="shared" si="243"/>
        <v>0</v>
      </c>
      <c r="AB391" s="3">
        <f t="shared" si="244"/>
        <v>-42054</v>
      </c>
      <c r="AC391" s="3">
        <f t="shared" si="245"/>
        <v>-116.81666666666666</v>
      </c>
      <c r="AD391" s="3">
        <f t="shared" si="229"/>
        <v>90.41666666666666</v>
      </c>
      <c r="AE391" s="48">
        <f t="shared" si="246"/>
        <v>0</v>
      </c>
      <c r="AF391" s="3">
        <f t="shared" si="247"/>
        <v>0</v>
      </c>
      <c r="AH391" s="4"/>
      <c r="AI391" s="4"/>
      <c r="AN391" s="108">
        <f t="shared" si="227"/>
        <v>0</v>
      </c>
    </row>
    <row r="392" spans="1:40" ht="12.75">
      <c r="A392" s="33">
        <f t="shared" si="232"/>
        <v>362</v>
      </c>
      <c r="B392" s="30">
        <f t="shared" si="234"/>
        <v>6</v>
      </c>
      <c r="C392" s="30">
        <f t="shared" si="231"/>
        <v>20</v>
      </c>
      <c r="D392" s="30">
        <f t="shared" si="235"/>
        <v>2107</v>
      </c>
      <c r="E392" s="133">
        <f t="shared" si="236"/>
        <v>0</v>
      </c>
      <c r="F392" s="1"/>
      <c r="G392" s="133">
        <f t="shared" si="230"/>
        <v>0</v>
      </c>
      <c r="H392" s="133">
        <f t="shared" si="224"/>
        <v>0</v>
      </c>
      <c r="I392" s="30">
        <f t="shared" si="233"/>
        <v>32636</v>
      </c>
      <c r="J392" s="133">
        <f t="shared" si="228"/>
        <v>0</v>
      </c>
      <c r="K392" s="10">
        <f t="shared" si="237"/>
        <v>0</v>
      </c>
      <c r="L392" s="22">
        <f t="shared" si="225"/>
        <v>0</v>
      </c>
      <c r="M392" s="10">
        <f t="shared" si="226"/>
        <v>0</v>
      </c>
      <c r="O392" s="30" t="b">
        <f t="shared" si="238"/>
        <v>0</v>
      </c>
      <c r="P392" s="30" t="b">
        <f t="shared" si="239"/>
        <v>1</v>
      </c>
      <c r="Q392" s="30" t="b">
        <f t="shared" si="240"/>
        <v>0</v>
      </c>
      <c r="R392" s="30">
        <f t="shared" si="241"/>
        <v>0</v>
      </c>
      <c r="S392" s="32">
        <f t="shared" si="242"/>
        <v>0</v>
      </c>
      <c r="Z392" s="10"/>
      <c r="AA392" s="45">
        <f t="shared" si="243"/>
        <v>0</v>
      </c>
      <c r="AB392" s="3">
        <f t="shared" si="244"/>
        <v>-42054</v>
      </c>
      <c r="AC392" s="3">
        <f t="shared" si="245"/>
        <v>-116.81666666666666</v>
      </c>
      <c r="AD392" s="3">
        <f t="shared" si="229"/>
        <v>90.66666666666666</v>
      </c>
      <c r="AE392" s="48">
        <f t="shared" si="246"/>
        <v>0</v>
      </c>
      <c r="AF392" s="3">
        <f t="shared" si="247"/>
        <v>0</v>
      </c>
      <c r="AH392" s="4"/>
      <c r="AI392" s="4"/>
      <c r="AN392" s="108">
        <f t="shared" si="227"/>
        <v>0</v>
      </c>
    </row>
    <row r="393" spans="1:40" ht="12.75">
      <c r="A393" s="33">
        <f t="shared" si="232"/>
        <v>363</v>
      </c>
      <c r="B393" s="30">
        <f t="shared" si="234"/>
        <v>9</v>
      </c>
      <c r="C393" s="30">
        <f t="shared" si="231"/>
        <v>20</v>
      </c>
      <c r="D393" s="30">
        <f t="shared" si="235"/>
        <v>2107</v>
      </c>
      <c r="E393" s="133">
        <f t="shared" si="236"/>
        <v>0</v>
      </c>
      <c r="F393" s="1"/>
      <c r="G393" s="133">
        <f t="shared" si="230"/>
        <v>0</v>
      </c>
      <c r="H393" s="133">
        <f t="shared" si="224"/>
        <v>0</v>
      </c>
      <c r="I393" s="30">
        <f t="shared" si="233"/>
        <v>32726</v>
      </c>
      <c r="J393" s="133">
        <f t="shared" si="228"/>
        <v>0</v>
      </c>
      <c r="K393" s="10">
        <f t="shared" si="237"/>
        <v>0</v>
      </c>
      <c r="L393" s="22">
        <f t="shared" si="225"/>
        <v>0</v>
      </c>
      <c r="M393" s="10">
        <f t="shared" si="226"/>
        <v>0</v>
      </c>
      <c r="O393" s="30" t="b">
        <f t="shared" si="238"/>
        <v>0</v>
      </c>
      <c r="P393" s="30" t="b">
        <f t="shared" si="239"/>
        <v>1</v>
      </c>
      <c r="Q393" s="30" t="b">
        <f t="shared" si="240"/>
        <v>0</v>
      </c>
      <c r="R393" s="30">
        <f t="shared" si="241"/>
        <v>0</v>
      </c>
      <c r="S393" s="32">
        <f t="shared" si="242"/>
        <v>0</v>
      </c>
      <c r="Z393" s="10"/>
      <c r="AA393" s="45">
        <f t="shared" si="243"/>
        <v>0</v>
      </c>
      <c r="AB393" s="3">
        <f t="shared" si="244"/>
        <v>-42054</v>
      </c>
      <c r="AC393" s="3">
        <f t="shared" si="245"/>
        <v>-116.81666666666666</v>
      </c>
      <c r="AD393" s="3">
        <f t="shared" si="229"/>
        <v>90.91666666666666</v>
      </c>
      <c r="AE393" s="48">
        <f t="shared" si="246"/>
        <v>0</v>
      </c>
      <c r="AF393" s="3">
        <f t="shared" si="247"/>
        <v>0</v>
      </c>
      <c r="AH393" s="4"/>
      <c r="AI393" s="4"/>
      <c r="AN393" s="108">
        <f t="shared" si="227"/>
        <v>0</v>
      </c>
    </row>
    <row r="394" spans="1:40" ht="12.75">
      <c r="A394" s="33">
        <f t="shared" si="232"/>
        <v>364</v>
      </c>
      <c r="B394" s="30">
        <f t="shared" si="234"/>
        <v>12</v>
      </c>
      <c r="C394" s="30">
        <f t="shared" si="231"/>
        <v>20</v>
      </c>
      <c r="D394" s="30">
        <f t="shared" si="235"/>
        <v>2107</v>
      </c>
      <c r="E394" s="133">
        <f t="shared" si="236"/>
        <v>0</v>
      </c>
      <c r="F394" s="1"/>
      <c r="G394" s="133">
        <f t="shared" si="230"/>
        <v>0</v>
      </c>
      <c r="H394" s="133">
        <f t="shared" si="224"/>
        <v>0</v>
      </c>
      <c r="I394" s="30">
        <f t="shared" si="233"/>
        <v>32816</v>
      </c>
      <c r="J394" s="133">
        <f t="shared" si="228"/>
        <v>0</v>
      </c>
      <c r="K394" s="10">
        <f t="shared" si="237"/>
        <v>0</v>
      </c>
      <c r="L394" s="22">
        <f t="shared" si="225"/>
        <v>0</v>
      </c>
      <c r="M394" s="10">
        <f t="shared" si="226"/>
        <v>0</v>
      </c>
      <c r="O394" s="30" t="b">
        <f t="shared" si="238"/>
        <v>1</v>
      </c>
      <c r="P394" s="30" t="b">
        <f t="shared" si="239"/>
        <v>0</v>
      </c>
      <c r="Q394" s="30" t="b">
        <f t="shared" si="240"/>
        <v>0</v>
      </c>
      <c r="R394" s="30">
        <f t="shared" si="241"/>
        <v>0</v>
      </c>
      <c r="S394" s="32">
        <f t="shared" si="242"/>
        <v>0</v>
      </c>
      <c r="Z394" s="10"/>
      <c r="AA394" s="45">
        <f t="shared" si="243"/>
        <v>0</v>
      </c>
      <c r="AB394" s="3">
        <f t="shared" si="244"/>
        <v>-42054</v>
      </c>
      <c r="AC394" s="3">
        <f t="shared" si="245"/>
        <v>-116.81666666666666</v>
      </c>
      <c r="AD394" s="3">
        <f t="shared" si="229"/>
        <v>91.16666666666666</v>
      </c>
      <c r="AE394" s="48">
        <f t="shared" si="246"/>
        <v>0</v>
      </c>
      <c r="AF394" s="3">
        <f t="shared" si="247"/>
        <v>0</v>
      </c>
      <c r="AH394" s="4"/>
      <c r="AI394" s="4"/>
      <c r="AN394" s="108">
        <f t="shared" si="227"/>
        <v>0</v>
      </c>
    </row>
    <row r="395" spans="1:40" ht="12.75">
      <c r="A395" s="33">
        <f t="shared" si="232"/>
        <v>365</v>
      </c>
      <c r="B395" s="30">
        <f t="shared" si="234"/>
        <v>3</v>
      </c>
      <c r="C395" s="30">
        <f t="shared" si="231"/>
        <v>20</v>
      </c>
      <c r="D395" s="30">
        <f t="shared" si="235"/>
        <v>2108</v>
      </c>
      <c r="E395" s="133">
        <f t="shared" si="236"/>
        <v>0</v>
      </c>
      <c r="F395" s="1"/>
      <c r="G395" s="133">
        <f t="shared" si="230"/>
        <v>0</v>
      </c>
      <c r="H395" s="133">
        <f t="shared" si="224"/>
        <v>0</v>
      </c>
      <c r="I395" s="30">
        <f t="shared" si="233"/>
        <v>32906</v>
      </c>
      <c r="J395" s="133">
        <f t="shared" si="228"/>
        <v>0</v>
      </c>
      <c r="K395" s="10">
        <f t="shared" si="237"/>
        <v>0</v>
      </c>
      <c r="L395" s="22">
        <f t="shared" si="225"/>
        <v>0</v>
      </c>
      <c r="M395" s="10">
        <f t="shared" si="226"/>
        <v>0</v>
      </c>
      <c r="O395" s="30" t="b">
        <f t="shared" si="238"/>
        <v>1</v>
      </c>
      <c r="P395" s="30" t="b">
        <f t="shared" si="239"/>
        <v>0</v>
      </c>
      <c r="Q395" s="30" t="b">
        <f t="shared" si="240"/>
        <v>0</v>
      </c>
      <c r="R395" s="30">
        <f t="shared" si="241"/>
        <v>0</v>
      </c>
      <c r="S395" s="32">
        <f t="shared" si="242"/>
        <v>0</v>
      </c>
      <c r="Z395" s="10"/>
      <c r="AA395" s="45">
        <f t="shared" si="243"/>
        <v>0</v>
      </c>
      <c r="AB395" s="3">
        <f t="shared" si="244"/>
        <v>-42054</v>
      </c>
      <c r="AC395" s="3">
        <f t="shared" si="245"/>
        <v>-116.81666666666666</v>
      </c>
      <c r="AD395" s="3">
        <f t="shared" si="229"/>
        <v>91.41666666666666</v>
      </c>
      <c r="AE395" s="48">
        <f t="shared" si="246"/>
        <v>0</v>
      </c>
      <c r="AF395" s="3">
        <f t="shared" si="247"/>
        <v>0</v>
      </c>
      <c r="AH395" s="4"/>
      <c r="AI395" s="4"/>
      <c r="AN395" s="108">
        <f t="shared" si="227"/>
        <v>0</v>
      </c>
    </row>
    <row r="396" spans="1:40" ht="12.75">
      <c r="A396" s="33">
        <f t="shared" si="232"/>
        <v>366</v>
      </c>
      <c r="B396" s="30">
        <f t="shared" si="234"/>
        <v>6</v>
      </c>
      <c r="C396" s="30">
        <f t="shared" si="231"/>
        <v>20</v>
      </c>
      <c r="D396" s="30">
        <f t="shared" si="235"/>
        <v>2108</v>
      </c>
      <c r="E396" s="133">
        <f t="shared" si="236"/>
        <v>0</v>
      </c>
      <c r="F396" s="1"/>
      <c r="G396" s="133">
        <f t="shared" si="230"/>
        <v>0</v>
      </c>
      <c r="H396" s="133">
        <f t="shared" si="224"/>
        <v>0</v>
      </c>
      <c r="I396" s="30">
        <f t="shared" si="233"/>
        <v>32996</v>
      </c>
      <c r="J396" s="133">
        <f t="shared" si="228"/>
        <v>0</v>
      </c>
      <c r="K396" s="10">
        <f t="shared" si="237"/>
        <v>0</v>
      </c>
      <c r="L396" s="22">
        <f t="shared" si="225"/>
        <v>0</v>
      </c>
      <c r="M396" s="10">
        <f t="shared" si="226"/>
        <v>0</v>
      </c>
      <c r="O396" s="30" t="b">
        <f t="shared" si="238"/>
        <v>0</v>
      </c>
      <c r="P396" s="30" t="b">
        <f t="shared" si="239"/>
        <v>1</v>
      </c>
      <c r="Q396" s="30" t="b">
        <f t="shared" si="240"/>
        <v>0</v>
      </c>
      <c r="R396" s="30">
        <f t="shared" si="241"/>
        <v>0</v>
      </c>
      <c r="S396" s="32">
        <f t="shared" si="242"/>
        <v>0</v>
      </c>
      <c r="Z396" s="10"/>
      <c r="AA396" s="45">
        <f t="shared" si="243"/>
        <v>0</v>
      </c>
      <c r="AB396" s="3">
        <f t="shared" si="244"/>
        <v>-42054</v>
      </c>
      <c r="AC396" s="3">
        <f t="shared" si="245"/>
        <v>-116.81666666666666</v>
      </c>
      <c r="AD396" s="3">
        <f t="shared" si="229"/>
        <v>91.66666666666666</v>
      </c>
      <c r="AE396" s="48">
        <f t="shared" si="246"/>
        <v>0</v>
      </c>
      <c r="AF396" s="3">
        <f t="shared" si="247"/>
        <v>0</v>
      </c>
      <c r="AH396" s="4"/>
      <c r="AI396" s="4"/>
      <c r="AN396" s="108">
        <f t="shared" si="227"/>
        <v>0</v>
      </c>
    </row>
    <row r="397" spans="1:40" ht="12.75">
      <c r="A397" s="33">
        <f t="shared" si="232"/>
        <v>367</v>
      </c>
      <c r="B397" s="30">
        <f t="shared" si="234"/>
        <v>9</v>
      </c>
      <c r="C397" s="30">
        <f t="shared" si="231"/>
        <v>20</v>
      </c>
      <c r="D397" s="30">
        <f t="shared" si="235"/>
        <v>2108</v>
      </c>
      <c r="E397" s="133">
        <f t="shared" si="236"/>
        <v>0</v>
      </c>
      <c r="F397" s="1"/>
      <c r="G397" s="133">
        <f t="shared" si="230"/>
        <v>0</v>
      </c>
      <c r="H397" s="133">
        <f t="shared" si="224"/>
        <v>0</v>
      </c>
      <c r="I397" s="30">
        <f t="shared" si="233"/>
        <v>33086</v>
      </c>
      <c r="J397" s="133">
        <f t="shared" si="228"/>
        <v>0</v>
      </c>
      <c r="K397" s="10">
        <f t="shared" si="237"/>
        <v>0</v>
      </c>
      <c r="L397" s="22">
        <f t="shared" si="225"/>
        <v>0</v>
      </c>
      <c r="M397" s="10">
        <f t="shared" si="226"/>
        <v>0</v>
      </c>
      <c r="O397" s="30" t="b">
        <f t="shared" si="238"/>
        <v>0</v>
      </c>
      <c r="P397" s="30" t="b">
        <f t="shared" si="239"/>
        <v>1</v>
      </c>
      <c r="Q397" s="30" t="b">
        <f t="shared" si="240"/>
        <v>0</v>
      </c>
      <c r="R397" s="30">
        <f t="shared" si="241"/>
        <v>0</v>
      </c>
      <c r="S397" s="32">
        <f t="shared" si="242"/>
        <v>0</v>
      </c>
      <c r="Z397" s="10"/>
      <c r="AA397" s="45">
        <f t="shared" si="243"/>
        <v>0</v>
      </c>
      <c r="AB397" s="3">
        <f t="shared" si="244"/>
        <v>-42054</v>
      </c>
      <c r="AC397" s="3">
        <f t="shared" si="245"/>
        <v>-116.81666666666666</v>
      </c>
      <c r="AD397" s="3">
        <f t="shared" si="229"/>
        <v>91.91666666666666</v>
      </c>
      <c r="AE397" s="48">
        <f t="shared" si="246"/>
        <v>0</v>
      </c>
      <c r="AF397" s="3">
        <f t="shared" si="247"/>
        <v>0</v>
      </c>
      <c r="AH397" s="4"/>
      <c r="AI397" s="4"/>
      <c r="AN397" s="108">
        <f t="shared" si="227"/>
        <v>0</v>
      </c>
    </row>
    <row r="398" spans="1:40" ht="12.75">
      <c r="A398" s="33">
        <f t="shared" si="232"/>
        <v>368</v>
      </c>
      <c r="B398" s="30">
        <f t="shared" si="234"/>
        <v>12</v>
      </c>
      <c r="C398" s="30">
        <f t="shared" si="231"/>
        <v>20</v>
      </c>
      <c r="D398" s="30">
        <f t="shared" si="235"/>
        <v>2108</v>
      </c>
      <c r="E398" s="133">
        <f t="shared" si="236"/>
        <v>0</v>
      </c>
      <c r="F398" s="1"/>
      <c r="G398" s="133">
        <f t="shared" si="230"/>
        <v>0</v>
      </c>
      <c r="H398" s="133">
        <f t="shared" si="224"/>
        <v>0</v>
      </c>
      <c r="I398" s="30">
        <f t="shared" si="233"/>
        <v>33176</v>
      </c>
      <c r="J398" s="133">
        <f t="shared" si="228"/>
        <v>0</v>
      </c>
      <c r="K398" s="10">
        <f t="shared" si="237"/>
        <v>0</v>
      </c>
      <c r="L398" s="22">
        <f t="shared" si="225"/>
        <v>0</v>
      </c>
      <c r="M398" s="10">
        <f t="shared" si="226"/>
        <v>0</v>
      </c>
      <c r="O398" s="30" t="b">
        <f t="shared" si="238"/>
        <v>1</v>
      </c>
      <c r="P398" s="30" t="b">
        <f t="shared" si="239"/>
        <v>0</v>
      </c>
      <c r="Q398" s="30" t="b">
        <f t="shared" si="240"/>
        <v>0</v>
      </c>
      <c r="R398" s="30">
        <f t="shared" si="241"/>
        <v>0</v>
      </c>
      <c r="S398" s="32">
        <f t="shared" si="242"/>
        <v>0</v>
      </c>
      <c r="Z398" s="10"/>
      <c r="AA398" s="45">
        <f t="shared" si="243"/>
        <v>0</v>
      </c>
      <c r="AB398" s="3">
        <f t="shared" si="244"/>
        <v>-42054</v>
      </c>
      <c r="AC398" s="3">
        <f t="shared" si="245"/>
        <v>-116.81666666666666</v>
      </c>
      <c r="AD398" s="3">
        <f t="shared" si="229"/>
        <v>92.16666666666666</v>
      </c>
      <c r="AE398" s="48">
        <f t="shared" si="246"/>
        <v>0</v>
      </c>
      <c r="AF398" s="3">
        <f t="shared" si="247"/>
        <v>0</v>
      </c>
      <c r="AH398" s="4"/>
      <c r="AI398" s="4"/>
      <c r="AN398" s="108">
        <f t="shared" si="227"/>
        <v>0</v>
      </c>
    </row>
    <row r="399" spans="1:40" ht="12.75">
      <c r="A399" s="33">
        <f t="shared" si="232"/>
        <v>369</v>
      </c>
      <c r="B399" s="30">
        <f t="shared" si="234"/>
        <v>3</v>
      </c>
      <c r="C399" s="30">
        <f t="shared" si="231"/>
        <v>20</v>
      </c>
      <c r="D399" s="30">
        <f t="shared" si="235"/>
        <v>2109</v>
      </c>
      <c r="E399" s="133">
        <f t="shared" si="236"/>
        <v>0</v>
      </c>
      <c r="F399" s="1"/>
      <c r="G399" s="133">
        <f t="shared" si="230"/>
        <v>0</v>
      </c>
      <c r="H399" s="133">
        <f t="shared" si="224"/>
        <v>0</v>
      </c>
      <c r="I399" s="30">
        <f t="shared" si="233"/>
        <v>33266</v>
      </c>
      <c r="J399" s="133">
        <f t="shared" si="228"/>
        <v>0</v>
      </c>
      <c r="K399" s="10">
        <f t="shared" si="237"/>
        <v>0</v>
      </c>
      <c r="L399" s="22">
        <f t="shared" si="225"/>
        <v>0</v>
      </c>
      <c r="M399" s="10">
        <f t="shared" si="226"/>
        <v>0</v>
      </c>
      <c r="O399" s="30" t="b">
        <f t="shared" si="238"/>
        <v>1</v>
      </c>
      <c r="P399" s="30" t="b">
        <f t="shared" si="239"/>
        <v>0</v>
      </c>
      <c r="Q399" s="30" t="b">
        <f t="shared" si="240"/>
        <v>0</v>
      </c>
      <c r="R399" s="30">
        <f t="shared" si="241"/>
        <v>0</v>
      </c>
      <c r="S399" s="32">
        <f t="shared" si="242"/>
        <v>0</v>
      </c>
      <c r="Z399" s="10"/>
      <c r="AA399" s="45">
        <f t="shared" si="243"/>
        <v>0</v>
      </c>
      <c r="AB399" s="3">
        <f t="shared" si="244"/>
        <v>-42054</v>
      </c>
      <c r="AC399" s="3">
        <f t="shared" si="245"/>
        <v>-116.81666666666666</v>
      </c>
      <c r="AD399" s="3">
        <f t="shared" si="229"/>
        <v>92.41666666666666</v>
      </c>
      <c r="AE399" s="48">
        <f t="shared" si="246"/>
        <v>0</v>
      </c>
      <c r="AF399" s="3">
        <f t="shared" si="247"/>
        <v>0</v>
      </c>
      <c r="AH399" s="4"/>
      <c r="AI399" s="4"/>
      <c r="AN399" s="108">
        <f t="shared" si="227"/>
        <v>0</v>
      </c>
    </row>
    <row r="400" spans="1:40" ht="12.75">
      <c r="A400" s="33">
        <f t="shared" si="232"/>
        <v>370</v>
      </c>
      <c r="B400" s="30">
        <f t="shared" si="234"/>
        <v>6</v>
      </c>
      <c r="C400" s="30">
        <f t="shared" si="231"/>
        <v>20</v>
      </c>
      <c r="D400" s="30">
        <f t="shared" si="235"/>
        <v>2109</v>
      </c>
      <c r="E400" s="133">
        <f t="shared" si="236"/>
        <v>0</v>
      </c>
      <c r="F400" s="1"/>
      <c r="G400" s="133">
        <f t="shared" si="230"/>
        <v>0</v>
      </c>
      <c r="H400" s="133">
        <f t="shared" si="224"/>
        <v>0</v>
      </c>
      <c r="I400" s="30">
        <f t="shared" si="233"/>
        <v>33356</v>
      </c>
      <c r="J400" s="133">
        <f t="shared" si="228"/>
        <v>0</v>
      </c>
      <c r="K400" s="10">
        <f t="shared" si="237"/>
        <v>0</v>
      </c>
      <c r="L400" s="22">
        <f t="shared" si="225"/>
        <v>0</v>
      </c>
      <c r="M400" s="10">
        <f t="shared" si="226"/>
        <v>0</v>
      </c>
      <c r="O400" s="30" t="b">
        <f t="shared" si="238"/>
        <v>0</v>
      </c>
      <c r="P400" s="30" t="b">
        <f t="shared" si="239"/>
        <v>1</v>
      </c>
      <c r="Q400" s="30" t="b">
        <f t="shared" si="240"/>
        <v>0</v>
      </c>
      <c r="R400" s="30">
        <f t="shared" si="241"/>
        <v>0</v>
      </c>
      <c r="S400" s="32">
        <f t="shared" si="242"/>
        <v>0</v>
      </c>
      <c r="Z400" s="10"/>
      <c r="AA400" s="45">
        <f t="shared" si="243"/>
        <v>0</v>
      </c>
      <c r="AB400" s="3">
        <f t="shared" si="244"/>
        <v>-42054</v>
      </c>
      <c r="AC400" s="3">
        <f t="shared" si="245"/>
        <v>-116.81666666666666</v>
      </c>
      <c r="AD400" s="3">
        <f t="shared" si="229"/>
        <v>92.66666666666666</v>
      </c>
      <c r="AE400" s="48">
        <f t="shared" si="246"/>
        <v>0</v>
      </c>
      <c r="AF400" s="3">
        <f t="shared" si="247"/>
        <v>0</v>
      </c>
      <c r="AH400" s="4"/>
      <c r="AI400" s="4"/>
      <c r="AN400" s="108">
        <f t="shared" si="227"/>
        <v>0</v>
      </c>
    </row>
    <row r="401" spans="1:40" ht="12.75">
      <c r="A401" s="33">
        <f t="shared" si="232"/>
        <v>371</v>
      </c>
      <c r="B401" s="30">
        <f t="shared" si="234"/>
        <v>9</v>
      </c>
      <c r="C401" s="30">
        <f t="shared" si="231"/>
        <v>20</v>
      </c>
      <c r="D401" s="30">
        <f t="shared" si="235"/>
        <v>2109</v>
      </c>
      <c r="E401" s="133">
        <f t="shared" si="236"/>
        <v>0</v>
      </c>
      <c r="F401" s="1"/>
      <c r="G401" s="133">
        <f t="shared" si="230"/>
        <v>0</v>
      </c>
      <c r="H401" s="133">
        <f t="shared" si="224"/>
        <v>0</v>
      </c>
      <c r="I401" s="30">
        <f t="shared" si="233"/>
        <v>33446</v>
      </c>
      <c r="J401" s="133">
        <f t="shared" si="228"/>
        <v>0</v>
      </c>
      <c r="K401" s="10">
        <f t="shared" si="237"/>
        <v>0</v>
      </c>
      <c r="L401" s="22">
        <f t="shared" si="225"/>
        <v>0</v>
      </c>
      <c r="M401" s="10">
        <f t="shared" si="226"/>
        <v>0</v>
      </c>
      <c r="O401" s="30" t="b">
        <f t="shared" si="238"/>
        <v>0</v>
      </c>
      <c r="P401" s="30" t="b">
        <f t="shared" si="239"/>
        <v>1</v>
      </c>
      <c r="Q401" s="30" t="b">
        <f t="shared" si="240"/>
        <v>0</v>
      </c>
      <c r="R401" s="30">
        <f t="shared" si="241"/>
        <v>0</v>
      </c>
      <c r="S401" s="32">
        <f t="shared" si="242"/>
        <v>0</v>
      </c>
      <c r="Z401" s="10"/>
      <c r="AA401" s="45">
        <f t="shared" si="243"/>
        <v>0</v>
      </c>
      <c r="AB401" s="3">
        <f t="shared" si="244"/>
        <v>-42054</v>
      </c>
      <c r="AC401" s="3">
        <f t="shared" si="245"/>
        <v>-116.81666666666666</v>
      </c>
      <c r="AD401" s="3">
        <f t="shared" si="229"/>
        <v>92.91666666666666</v>
      </c>
      <c r="AE401" s="48">
        <f t="shared" si="246"/>
        <v>0</v>
      </c>
      <c r="AF401" s="3">
        <f t="shared" si="247"/>
        <v>0</v>
      </c>
      <c r="AH401" s="4"/>
      <c r="AI401" s="4"/>
      <c r="AN401" s="108">
        <f t="shared" si="227"/>
        <v>0</v>
      </c>
    </row>
    <row r="402" spans="1:40" ht="12.75">
      <c r="A402" s="33">
        <f t="shared" si="232"/>
        <v>372</v>
      </c>
      <c r="B402" s="30">
        <f t="shared" si="234"/>
        <v>12</v>
      </c>
      <c r="C402" s="30">
        <f t="shared" si="231"/>
        <v>20</v>
      </c>
      <c r="D402" s="30">
        <f t="shared" si="235"/>
        <v>2109</v>
      </c>
      <c r="E402" s="133">
        <f t="shared" si="236"/>
        <v>0</v>
      </c>
      <c r="F402" s="1"/>
      <c r="G402" s="133">
        <f t="shared" si="230"/>
        <v>0</v>
      </c>
      <c r="H402" s="133">
        <f t="shared" si="224"/>
        <v>0</v>
      </c>
      <c r="I402" s="30">
        <f t="shared" si="233"/>
        <v>33536</v>
      </c>
      <c r="J402" s="133">
        <f t="shared" si="228"/>
        <v>0</v>
      </c>
      <c r="K402" s="10">
        <f t="shared" si="237"/>
        <v>0</v>
      </c>
      <c r="L402" s="22">
        <f t="shared" si="225"/>
        <v>0</v>
      </c>
      <c r="M402" s="10">
        <f t="shared" si="226"/>
        <v>0</v>
      </c>
      <c r="O402" s="30" t="b">
        <f t="shared" si="238"/>
        <v>1</v>
      </c>
      <c r="P402" s="30" t="b">
        <f t="shared" si="239"/>
        <v>0</v>
      </c>
      <c r="Q402" s="30" t="b">
        <f t="shared" si="240"/>
        <v>0</v>
      </c>
      <c r="R402" s="30">
        <f t="shared" si="241"/>
        <v>0</v>
      </c>
      <c r="S402" s="32">
        <f t="shared" si="242"/>
        <v>0</v>
      </c>
      <c r="Z402" s="10"/>
      <c r="AA402" s="45">
        <f t="shared" si="243"/>
        <v>0</v>
      </c>
      <c r="AB402" s="3">
        <f t="shared" si="244"/>
        <v>-42054</v>
      </c>
      <c r="AC402" s="3">
        <f t="shared" si="245"/>
        <v>-116.81666666666666</v>
      </c>
      <c r="AD402" s="3">
        <f t="shared" si="229"/>
        <v>93.16666666666666</v>
      </c>
      <c r="AE402" s="48">
        <f t="shared" si="246"/>
        <v>0</v>
      </c>
      <c r="AF402" s="3">
        <f t="shared" si="247"/>
        <v>0</v>
      </c>
      <c r="AH402" s="4"/>
      <c r="AI402" s="4"/>
      <c r="AN402" s="108">
        <f t="shared" si="227"/>
        <v>0</v>
      </c>
    </row>
    <row r="403" spans="1:40" ht="12.75">
      <c r="A403" s="33">
        <f t="shared" si="232"/>
        <v>373</v>
      </c>
      <c r="B403" s="30">
        <f t="shared" si="234"/>
        <v>3</v>
      </c>
      <c r="C403" s="30">
        <f t="shared" si="231"/>
        <v>20</v>
      </c>
      <c r="D403" s="30">
        <f t="shared" si="235"/>
        <v>2110</v>
      </c>
      <c r="E403" s="133">
        <f t="shared" si="236"/>
        <v>0</v>
      </c>
      <c r="F403" s="1"/>
      <c r="G403" s="133">
        <f t="shared" si="230"/>
        <v>0</v>
      </c>
      <c r="H403" s="133">
        <f t="shared" si="224"/>
        <v>0</v>
      </c>
      <c r="I403" s="30">
        <f t="shared" si="233"/>
        <v>33626</v>
      </c>
      <c r="J403" s="133">
        <f t="shared" si="228"/>
        <v>0</v>
      </c>
      <c r="K403" s="10">
        <f t="shared" si="237"/>
        <v>0</v>
      </c>
      <c r="L403" s="22">
        <f t="shared" si="225"/>
        <v>0</v>
      </c>
      <c r="M403" s="10">
        <f t="shared" si="226"/>
        <v>0</v>
      </c>
      <c r="O403" s="30" t="b">
        <f t="shared" si="238"/>
        <v>1</v>
      </c>
      <c r="P403" s="30" t="b">
        <f t="shared" si="239"/>
        <v>0</v>
      </c>
      <c r="Q403" s="30" t="b">
        <f t="shared" si="240"/>
        <v>0</v>
      </c>
      <c r="R403" s="30">
        <f t="shared" si="241"/>
        <v>0</v>
      </c>
      <c r="S403" s="32">
        <f t="shared" si="242"/>
        <v>0</v>
      </c>
      <c r="Z403" s="10"/>
      <c r="AA403" s="45">
        <f t="shared" si="243"/>
        <v>0</v>
      </c>
      <c r="AB403" s="3">
        <f t="shared" si="244"/>
        <v>-42054</v>
      </c>
      <c r="AC403" s="3">
        <f t="shared" si="245"/>
        <v>-116.81666666666666</v>
      </c>
      <c r="AD403" s="3">
        <f t="shared" si="229"/>
        <v>93.41666666666666</v>
      </c>
      <c r="AE403" s="48">
        <f t="shared" si="246"/>
        <v>0</v>
      </c>
      <c r="AF403" s="3">
        <f t="shared" si="247"/>
        <v>0</v>
      </c>
      <c r="AH403" s="4"/>
      <c r="AI403" s="4"/>
      <c r="AN403" s="108">
        <f t="shared" si="227"/>
        <v>0</v>
      </c>
    </row>
    <row r="404" spans="1:40" ht="12.75">
      <c r="A404" s="33">
        <f t="shared" si="232"/>
        <v>374</v>
      </c>
      <c r="B404" s="30">
        <f t="shared" si="234"/>
        <v>6</v>
      </c>
      <c r="C404" s="30">
        <f t="shared" si="231"/>
        <v>20</v>
      </c>
      <c r="D404" s="30">
        <f t="shared" si="235"/>
        <v>2110</v>
      </c>
      <c r="E404" s="133">
        <f t="shared" si="236"/>
        <v>0</v>
      </c>
      <c r="F404" s="1"/>
      <c r="G404" s="133">
        <f t="shared" si="230"/>
        <v>0</v>
      </c>
      <c r="H404" s="133">
        <f t="shared" si="224"/>
        <v>0</v>
      </c>
      <c r="I404" s="30">
        <f t="shared" si="233"/>
        <v>33716</v>
      </c>
      <c r="J404" s="133">
        <f t="shared" si="228"/>
        <v>0</v>
      </c>
      <c r="K404" s="10">
        <f t="shared" si="237"/>
        <v>0</v>
      </c>
      <c r="L404" s="22">
        <f t="shared" si="225"/>
        <v>0</v>
      </c>
      <c r="M404" s="10">
        <f t="shared" si="226"/>
        <v>0</v>
      </c>
      <c r="O404" s="30" t="b">
        <f t="shared" si="238"/>
        <v>0</v>
      </c>
      <c r="P404" s="30" t="b">
        <f t="shared" si="239"/>
        <v>1</v>
      </c>
      <c r="Q404" s="30" t="b">
        <f t="shared" si="240"/>
        <v>0</v>
      </c>
      <c r="R404" s="30">
        <f t="shared" si="241"/>
        <v>0</v>
      </c>
      <c r="S404" s="32">
        <f t="shared" si="242"/>
        <v>0</v>
      </c>
      <c r="Z404" s="10"/>
      <c r="AA404" s="45">
        <f t="shared" si="243"/>
        <v>0</v>
      </c>
      <c r="AB404" s="3">
        <f t="shared" si="244"/>
        <v>-42054</v>
      </c>
      <c r="AC404" s="3">
        <f t="shared" si="245"/>
        <v>-116.81666666666666</v>
      </c>
      <c r="AD404" s="3">
        <f t="shared" si="229"/>
        <v>93.66666666666666</v>
      </c>
      <c r="AE404" s="48">
        <f t="shared" si="246"/>
        <v>0</v>
      </c>
      <c r="AF404" s="3">
        <f t="shared" si="247"/>
        <v>0</v>
      </c>
      <c r="AH404" s="4"/>
      <c r="AI404" s="4"/>
      <c r="AN404" s="108">
        <f t="shared" si="227"/>
        <v>0</v>
      </c>
    </row>
    <row r="405" spans="1:31" ht="13.5" thickBot="1">
      <c r="A405" s="9"/>
      <c r="E405" s="22"/>
      <c r="F405" s="76"/>
      <c r="G405" s="39"/>
      <c r="H405" s="39"/>
      <c r="I405" s="40"/>
      <c r="J405" s="40"/>
      <c r="K405" s="41"/>
      <c r="L405" s="40"/>
      <c r="M405" s="40"/>
      <c r="AA405" s="45"/>
      <c r="AE405" s="48"/>
    </row>
    <row r="406" spans="1:32" ht="13.5" thickTop="1">
      <c r="A406" s="3" t="s">
        <v>103</v>
      </c>
      <c r="E406" s="22"/>
      <c r="F406" s="48">
        <f>SUM(F30:F405)</f>
        <v>52000000</v>
      </c>
      <c r="G406" s="22">
        <f aca="true" t="shared" si="248" ref="G406:M406">SUM(G30:G405)</f>
        <v>25904586.67</v>
      </c>
      <c r="H406" s="22">
        <f t="shared" si="248"/>
        <v>77904586.67</v>
      </c>
      <c r="J406" s="21">
        <f t="shared" si="248"/>
        <v>62066934.086732924</v>
      </c>
      <c r="K406" s="10">
        <f t="shared" si="248"/>
        <v>608088888.8888888</v>
      </c>
      <c r="L406" s="22">
        <f t="shared" si="248"/>
        <v>51999343.7504739</v>
      </c>
      <c r="M406" s="10">
        <f t="shared" si="248"/>
        <v>1858519351.2680516</v>
      </c>
      <c r="AA406" s="45"/>
      <c r="AE406" s="48"/>
      <c r="AF406" s="10">
        <f>SUM(AF30:AF404)</f>
        <v>608666666.6666666</v>
      </c>
    </row>
    <row r="407" spans="1:31" ht="12.75">
      <c r="A407" s="13"/>
      <c r="B407" s="13"/>
      <c r="C407" s="13"/>
      <c r="D407" s="13"/>
      <c r="E407" s="13"/>
      <c r="F407" s="13"/>
      <c r="G407" s="13"/>
      <c r="H407" s="13"/>
      <c r="I407" s="13"/>
      <c r="K407" s="10"/>
      <c r="AA407" s="45"/>
      <c r="AE407" s="48"/>
    </row>
    <row r="408" spans="27:31" ht="12.75">
      <c r="AA408" s="45"/>
      <c r="AE408" s="48"/>
    </row>
    <row r="409" spans="6:31" ht="12.75">
      <c r="F409" s="2"/>
      <c r="G409" s="11"/>
      <c r="AA409" s="45"/>
      <c r="AE409" s="48"/>
    </row>
    <row r="410" spans="5:31" ht="12.75">
      <c r="E410" s="34"/>
      <c r="AA410" s="45"/>
      <c r="AE410" s="48"/>
    </row>
    <row r="411" spans="5:31" ht="12.75">
      <c r="E411" s="34"/>
      <c r="AA411" s="45"/>
      <c r="AE411" s="48"/>
    </row>
    <row r="412" spans="5:31" ht="12.75">
      <c r="E412" s="34"/>
      <c r="AA412" s="45"/>
      <c r="AE412" s="48"/>
    </row>
    <row r="413" spans="6:31" ht="12.75">
      <c r="F413" s="2"/>
      <c r="AA413" s="45"/>
      <c r="AE413" s="48"/>
    </row>
    <row r="414" spans="8:31" ht="12.75">
      <c r="H414" s="4"/>
      <c r="AA414" s="45"/>
      <c r="AE414" s="48"/>
    </row>
    <row r="415" spans="27:31" ht="12.75">
      <c r="AA415" s="45"/>
      <c r="AE415" s="48"/>
    </row>
    <row r="416" spans="27:31" ht="12.75">
      <c r="AA416" s="45"/>
      <c r="AE416" s="48"/>
    </row>
    <row r="417" spans="6:31" ht="12.75">
      <c r="F417" s="2"/>
      <c r="AA417" s="45"/>
      <c r="AE417" s="48"/>
    </row>
    <row r="418" spans="6:31" ht="12.75">
      <c r="F418" s="2"/>
      <c r="AA418" s="45"/>
      <c r="AE418" s="48"/>
    </row>
    <row r="419" spans="6:31" ht="12.75">
      <c r="F419" s="2"/>
      <c r="AA419" s="45"/>
      <c r="AE419" s="48"/>
    </row>
    <row r="420" spans="6:31" ht="12.75">
      <c r="F420" s="2"/>
      <c r="AA420" s="45"/>
      <c r="AE420" s="48"/>
    </row>
    <row r="421" spans="5:31" ht="12.75">
      <c r="E421" s="35"/>
      <c r="F421" s="2"/>
      <c r="AA421" s="45"/>
      <c r="AE421" s="48"/>
    </row>
    <row r="422" spans="6:31" ht="12.75">
      <c r="F422" s="2"/>
      <c r="AA422" s="45"/>
      <c r="AE422" s="48"/>
    </row>
    <row r="423" spans="5:31" ht="12.75">
      <c r="E423" s="35"/>
      <c r="F423" s="2"/>
      <c r="AA423" s="45"/>
      <c r="AE423" s="48"/>
    </row>
    <row r="424" spans="6:31" ht="12.75">
      <c r="F424" s="2"/>
      <c r="AA424" s="45"/>
      <c r="AE424" s="48"/>
    </row>
    <row r="425" spans="6:31" ht="12.75">
      <c r="F425" s="2"/>
      <c r="Q425" s="4"/>
      <c r="AA425" s="45"/>
      <c r="AE425" s="48"/>
    </row>
    <row r="426" spans="6:31" ht="12.75">
      <c r="F426" s="2"/>
      <c r="AA426" s="45"/>
      <c r="AE426" s="48"/>
    </row>
    <row r="427" spans="6:31" ht="12.75">
      <c r="F427" s="2"/>
      <c r="AA427" s="45"/>
      <c r="AE427" s="48"/>
    </row>
    <row r="428" spans="5:31" ht="12.75">
      <c r="E428" s="22"/>
      <c r="F428" s="2"/>
      <c r="U428" s="20"/>
      <c r="AA428" s="45"/>
      <c r="AE428" s="48"/>
    </row>
    <row r="429" spans="1:31" ht="12.75">
      <c r="A429" s="9"/>
      <c r="E429" s="22"/>
      <c r="F429" s="2"/>
      <c r="G429" s="22"/>
      <c r="H429" s="22"/>
      <c r="Q429" s="2"/>
      <c r="S429" s="2"/>
      <c r="U429" s="20"/>
      <c r="AA429" s="45"/>
      <c r="AE429" s="48"/>
    </row>
    <row r="430" spans="1:31" ht="12.75">
      <c r="A430" s="9"/>
      <c r="E430" s="22"/>
      <c r="F430" s="2"/>
      <c r="G430" s="22"/>
      <c r="H430" s="22"/>
      <c r="Q430" s="2"/>
      <c r="S430" s="2"/>
      <c r="U430" s="20"/>
      <c r="AA430" s="45"/>
      <c r="AE430" s="48"/>
    </row>
    <row r="431" spans="1:31" ht="12.75">
      <c r="A431" s="9"/>
      <c r="E431" s="22"/>
      <c r="F431" s="2"/>
      <c r="G431" s="22"/>
      <c r="H431" s="22"/>
      <c r="Q431" s="2"/>
      <c r="S431" s="2"/>
      <c r="U431" s="20"/>
      <c r="AA431" s="45"/>
      <c r="AE431" s="48"/>
    </row>
    <row r="432" spans="1:31" ht="12.75">
      <c r="A432" s="9"/>
      <c r="E432" s="22"/>
      <c r="F432" s="2"/>
      <c r="G432" s="22"/>
      <c r="H432" s="22"/>
      <c r="Q432" s="2"/>
      <c r="S432" s="2"/>
      <c r="U432" s="20"/>
      <c r="AA432" s="45"/>
      <c r="AE432" s="48"/>
    </row>
    <row r="433" spans="1:31" ht="12.75">
      <c r="A433" s="9"/>
      <c r="E433" s="22"/>
      <c r="F433" s="2"/>
      <c r="G433" s="22"/>
      <c r="H433" s="22"/>
      <c r="Q433" s="2"/>
      <c r="S433" s="2"/>
      <c r="U433" s="20"/>
      <c r="AA433" s="45"/>
      <c r="AE433" s="48"/>
    </row>
    <row r="434" spans="1:31" ht="12.75">
      <c r="A434" s="9"/>
      <c r="E434" s="22"/>
      <c r="F434" s="2"/>
      <c r="G434" s="22"/>
      <c r="H434" s="22"/>
      <c r="Q434" s="2"/>
      <c r="S434" s="2"/>
      <c r="U434" s="20"/>
      <c r="AA434" s="45"/>
      <c r="AE434" s="48"/>
    </row>
    <row r="435" spans="1:31" ht="12.75">
      <c r="A435" s="9"/>
      <c r="E435" s="22"/>
      <c r="F435" s="2"/>
      <c r="G435" s="22"/>
      <c r="H435" s="22"/>
      <c r="Q435" s="2"/>
      <c r="S435" s="2"/>
      <c r="U435" s="20"/>
      <c r="AA435" s="45"/>
      <c r="AE435" s="48"/>
    </row>
    <row r="436" spans="1:31" ht="12.75">
      <c r="A436" s="9"/>
      <c r="E436" s="22"/>
      <c r="F436" s="2"/>
      <c r="G436" s="22"/>
      <c r="H436" s="22"/>
      <c r="Q436" s="2"/>
      <c r="S436" s="2"/>
      <c r="U436" s="20"/>
      <c r="AA436" s="45"/>
      <c r="AE436" s="48"/>
    </row>
    <row r="437" spans="1:31" ht="12.75">
      <c r="A437" s="9"/>
      <c r="E437" s="22"/>
      <c r="F437" s="2"/>
      <c r="G437" s="22"/>
      <c r="H437" s="22"/>
      <c r="Q437" s="2"/>
      <c r="S437" s="2"/>
      <c r="U437" s="20"/>
      <c r="AA437" s="45"/>
      <c r="AE437" s="48"/>
    </row>
    <row r="438" spans="1:31" ht="12.75">
      <c r="A438" s="9"/>
      <c r="E438" s="22"/>
      <c r="F438" s="2"/>
      <c r="G438" s="22"/>
      <c r="H438" s="22"/>
      <c r="Q438" s="2"/>
      <c r="S438" s="2"/>
      <c r="U438" s="20"/>
      <c r="AA438" s="45"/>
      <c r="AE438" s="48"/>
    </row>
    <row r="439" spans="1:31" ht="12.75">
      <c r="A439" s="9"/>
      <c r="E439" s="22"/>
      <c r="F439" s="2"/>
      <c r="G439" s="22"/>
      <c r="H439" s="22"/>
      <c r="Q439" s="2"/>
      <c r="S439" s="2"/>
      <c r="U439" s="20"/>
      <c r="AA439" s="45"/>
      <c r="AE439" s="48"/>
    </row>
    <row r="440" spans="1:31" ht="12.75">
      <c r="A440" s="9"/>
      <c r="E440" s="22"/>
      <c r="F440" s="2"/>
      <c r="G440" s="22"/>
      <c r="H440" s="22"/>
      <c r="Q440" s="2"/>
      <c r="S440" s="2"/>
      <c r="U440" s="20"/>
      <c r="AA440" s="45"/>
      <c r="AE440" s="48"/>
    </row>
    <row r="441" spans="1:31" ht="12.75">
      <c r="A441" s="9"/>
      <c r="E441" s="22"/>
      <c r="F441" s="2"/>
      <c r="G441" s="22"/>
      <c r="H441" s="22"/>
      <c r="Q441" s="2"/>
      <c r="S441" s="2"/>
      <c r="U441" s="20"/>
      <c r="AA441" s="45"/>
      <c r="AE441" s="48"/>
    </row>
    <row r="442" spans="1:31" ht="12.75">
      <c r="A442" s="9"/>
      <c r="E442" s="22"/>
      <c r="F442" s="2"/>
      <c r="G442" s="22"/>
      <c r="H442" s="22"/>
      <c r="Q442" s="2"/>
      <c r="S442" s="2"/>
      <c r="U442" s="20"/>
      <c r="AA442" s="45"/>
      <c r="AE442" s="48"/>
    </row>
    <row r="443" spans="6:31" ht="12.75">
      <c r="F443" s="2"/>
      <c r="AA443" s="45"/>
      <c r="AE443" s="48"/>
    </row>
    <row r="444" spans="6:31" ht="12.75">
      <c r="F444" s="2"/>
      <c r="Q444" s="22"/>
      <c r="R444" s="35"/>
      <c r="S444" s="22"/>
      <c r="T444" s="35"/>
      <c r="AA444" s="45"/>
      <c r="AE444" s="48"/>
    </row>
    <row r="445" spans="6:31" ht="12.75">
      <c r="F445" s="2"/>
      <c r="AA445" s="45"/>
      <c r="AE445" s="48"/>
    </row>
    <row r="446" spans="6:31" ht="12.75">
      <c r="F446" s="2"/>
      <c r="AA446" s="45"/>
      <c r="AE446" s="48"/>
    </row>
    <row r="447" spans="6:31" ht="12.75">
      <c r="F447" s="2"/>
      <c r="AA447" s="45"/>
      <c r="AE447" s="48"/>
    </row>
    <row r="448" spans="6:31" ht="12.75">
      <c r="F448" s="2"/>
      <c r="AA448" s="45"/>
      <c r="AE448" s="48"/>
    </row>
    <row r="449" spans="6:31" ht="12.75">
      <c r="F449" s="2"/>
      <c r="AA449" s="45"/>
      <c r="AE449" s="48"/>
    </row>
    <row r="450" spans="6:31" ht="12.75">
      <c r="F450" s="2"/>
      <c r="AA450" s="45"/>
      <c r="AE450" s="48"/>
    </row>
    <row r="451" spans="6:31" ht="12.75">
      <c r="F451" s="2"/>
      <c r="AA451" s="45"/>
      <c r="AE451" s="48"/>
    </row>
    <row r="452" spans="6:31" ht="12.75">
      <c r="F452" s="2"/>
      <c r="AA452" s="45"/>
      <c r="AE452" s="48"/>
    </row>
    <row r="453" spans="6:31" ht="12.75">
      <c r="F453" s="2"/>
      <c r="AA453" s="45"/>
      <c r="AE453" s="48"/>
    </row>
    <row r="454" spans="6:31" ht="12.75">
      <c r="F454" s="2"/>
      <c r="AA454" s="45"/>
      <c r="AE454" s="48"/>
    </row>
    <row r="455" spans="6:31" ht="12.75">
      <c r="F455" s="2"/>
      <c r="AA455" s="45"/>
      <c r="AE455" s="48"/>
    </row>
    <row r="456" spans="6:31" ht="12.75">
      <c r="F456" s="2"/>
      <c r="AA456" s="45"/>
      <c r="AE456" s="48"/>
    </row>
    <row r="457" spans="6:31" ht="12.75">
      <c r="F457" s="2"/>
      <c r="AA457" s="45"/>
      <c r="AE457" s="48"/>
    </row>
    <row r="458" spans="6:31" ht="12.75">
      <c r="F458" s="2"/>
      <c r="AA458" s="45"/>
      <c r="AE458" s="48"/>
    </row>
    <row r="459" spans="6:31" ht="12.75">
      <c r="F459" s="2"/>
      <c r="AA459" s="45"/>
      <c r="AE459" s="48"/>
    </row>
    <row r="460" spans="6:31" ht="12.75">
      <c r="F460" s="2"/>
      <c r="AA460" s="45"/>
      <c r="AE460" s="48"/>
    </row>
    <row r="461" spans="6:31" ht="12.75">
      <c r="F461" s="2"/>
      <c r="AA461" s="45"/>
      <c r="AE461" s="48"/>
    </row>
    <row r="462" spans="6:31" ht="12.75">
      <c r="F462" s="2"/>
      <c r="AA462" s="45"/>
      <c r="AE462" s="48"/>
    </row>
    <row r="463" spans="6:31" ht="12.75">
      <c r="F463" s="2"/>
      <c r="AA463" s="45"/>
      <c r="AE463" s="48"/>
    </row>
    <row r="464" spans="6:31" ht="12.75">
      <c r="F464" s="2"/>
      <c r="AA464" s="45"/>
      <c r="AE464" s="48"/>
    </row>
    <row r="465" spans="6:31" ht="12.75">
      <c r="F465" s="2"/>
      <c r="AA465" s="45"/>
      <c r="AE465" s="48"/>
    </row>
    <row r="466" spans="6:31" ht="12.75">
      <c r="F466" s="2"/>
      <c r="AA466" s="45"/>
      <c r="AE466" s="48"/>
    </row>
    <row r="467" spans="6:31" ht="12.75">
      <c r="F467" s="2"/>
      <c r="AA467" s="45"/>
      <c r="AE467" s="48"/>
    </row>
    <row r="468" spans="6:31" ht="12.75">
      <c r="F468" s="2"/>
      <c r="AA468" s="45"/>
      <c r="AE468" s="48"/>
    </row>
    <row r="469" spans="27:31" ht="12.75">
      <c r="AA469" s="45"/>
      <c r="AE469" s="48"/>
    </row>
    <row r="470" spans="27:31" ht="12.75">
      <c r="AA470" s="45"/>
      <c r="AE470" s="48"/>
    </row>
    <row r="471" spans="27:31" ht="12.75">
      <c r="AA471" s="45"/>
      <c r="AE471" s="48"/>
    </row>
    <row r="472" spans="27:31" ht="12.75">
      <c r="AA472" s="45"/>
      <c r="AE472" s="48"/>
    </row>
    <row r="473" spans="27:31" ht="12.75">
      <c r="AA473" s="45"/>
      <c r="AE473" s="48"/>
    </row>
    <row r="474" spans="27:31" ht="12.75">
      <c r="AA474" s="45"/>
      <c r="AE474" s="48"/>
    </row>
    <row r="475" spans="27:31" ht="12.75">
      <c r="AA475" s="45"/>
      <c r="AE475" s="48"/>
    </row>
    <row r="476" spans="27:31" ht="12.75">
      <c r="AA476" s="45"/>
      <c r="AE476" s="48"/>
    </row>
    <row r="477" spans="27:31" ht="12.75">
      <c r="AA477" s="45"/>
      <c r="AE477" s="48"/>
    </row>
    <row r="478" spans="27:31" ht="12.75">
      <c r="AA478" s="45"/>
      <c r="AE478" s="48"/>
    </row>
    <row r="479" spans="27:31" ht="12.75">
      <c r="AA479" s="45"/>
      <c r="AE479" s="48"/>
    </row>
    <row r="480" spans="27:31" ht="12.75">
      <c r="AA480" s="45"/>
      <c r="AE480" s="48"/>
    </row>
    <row r="481" spans="27:31" ht="12.75">
      <c r="AA481" s="45"/>
      <c r="AE481" s="48"/>
    </row>
    <row r="482" spans="27:31" ht="12.75">
      <c r="AA482" s="45"/>
      <c r="AE482" s="48"/>
    </row>
    <row r="483" spans="27:31" ht="12.75">
      <c r="AA483" s="45"/>
      <c r="AE483" s="48"/>
    </row>
    <row r="484" spans="27:31" ht="12.75">
      <c r="AA484" s="45"/>
      <c r="AE484" s="48"/>
    </row>
    <row r="485" spans="27:31" ht="12.75">
      <c r="AA485" s="45"/>
      <c r="AE485" s="48"/>
    </row>
    <row r="486" spans="27:31" ht="12.75">
      <c r="AA486" s="45"/>
      <c r="AE486" s="48"/>
    </row>
    <row r="487" spans="27:31" ht="12.75">
      <c r="AA487" s="45"/>
      <c r="AE487" s="48"/>
    </row>
    <row r="488" spans="27:31" ht="12.75">
      <c r="AA488" s="45"/>
      <c r="AE488" s="48"/>
    </row>
    <row r="489" spans="27:31" ht="12.75">
      <c r="AA489" s="45"/>
      <c r="AE489" s="48"/>
    </row>
    <row r="490" spans="27:31" ht="12.75">
      <c r="AA490" s="45"/>
      <c r="AE490" s="48"/>
    </row>
    <row r="491" spans="27:31" ht="12.75">
      <c r="AA491" s="45"/>
      <c r="AE491" s="48"/>
    </row>
    <row r="492" spans="27:31" ht="12.75">
      <c r="AA492" s="45"/>
      <c r="AE492" s="48"/>
    </row>
    <row r="493" spans="27:31" ht="12.75">
      <c r="AA493" s="45"/>
      <c r="AE493" s="48"/>
    </row>
    <row r="494" spans="27:31" ht="12.75">
      <c r="AA494" s="45"/>
      <c r="AE494" s="48"/>
    </row>
    <row r="495" spans="27:31" ht="12.75">
      <c r="AA495" s="45"/>
      <c r="AE495" s="48"/>
    </row>
    <row r="496" spans="27:31" ht="12.75">
      <c r="AA496" s="45"/>
      <c r="AE496" s="48"/>
    </row>
    <row r="497" spans="27:31" ht="12.75">
      <c r="AA497" s="45"/>
      <c r="AE497" s="48"/>
    </row>
    <row r="498" spans="27:31" ht="12.75">
      <c r="AA498" s="45"/>
      <c r="AE498" s="48"/>
    </row>
    <row r="499" spans="27:31" ht="12.75">
      <c r="AA499" s="45"/>
      <c r="AE499" s="48"/>
    </row>
    <row r="500" spans="27:31" ht="12.75">
      <c r="AA500" s="45"/>
      <c r="AE500" s="48"/>
    </row>
    <row r="501" spans="27:31" ht="12.75">
      <c r="AA501" s="45"/>
      <c r="AE501" s="48"/>
    </row>
    <row r="502" spans="27:31" ht="12.75">
      <c r="AA502" s="45"/>
      <c r="AE502" s="48"/>
    </row>
    <row r="503" spans="27:31" ht="12.75">
      <c r="AA503" s="45"/>
      <c r="AE503" s="48"/>
    </row>
    <row r="504" spans="27:31" ht="12.75">
      <c r="AA504" s="45"/>
      <c r="AE504" s="48"/>
    </row>
    <row r="505" spans="27:31" ht="12.75">
      <c r="AA505" s="45"/>
      <c r="AE505" s="48"/>
    </row>
    <row r="506" spans="27:31" ht="12.75">
      <c r="AA506" s="45"/>
      <c r="AE506" s="48"/>
    </row>
    <row r="507" spans="27:31" ht="12.75">
      <c r="AA507" s="45"/>
      <c r="AE507" s="48"/>
    </row>
    <row r="508" spans="27:31" ht="12.75">
      <c r="AA508" s="45"/>
      <c r="AE508" s="48"/>
    </row>
    <row r="509" spans="27:31" ht="12.75">
      <c r="AA509" s="45"/>
      <c r="AE509" s="48"/>
    </row>
    <row r="510" spans="27:31" ht="12.75">
      <c r="AA510" s="45"/>
      <c r="AE510" s="48"/>
    </row>
    <row r="511" spans="27:31" ht="12.75">
      <c r="AA511" s="45"/>
      <c r="AE511" s="48"/>
    </row>
    <row r="512" spans="27:31" ht="12.75">
      <c r="AA512" s="45"/>
      <c r="AE512" s="48"/>
    </row>
    <row r="513" spans="27:31" ht="12.75">
      <c r="AA513" s="45"/>
      <c r="AE513" s="48"/>
    </row>
    <row r="514" spans="27:31" ht="12.75">
      <c r="AA514" s="45"/>
      <c r="AE514" s="48"/>
    </row>
    <row r="515" spans="27:31" ht="12.75">
      <c r="AA515" s="45"/>
      <c r="AE515" s="48"/>
    </row>
    <row r="516" spans="27:31" ht="12.75">
      <c r="AA516" s="45"/>
      <c r="AE516" s="48"/>
    </row>
    <row r="517" spans="27:31" ht="12.75">
      <c r="AA517" s="45"/>
      <c r="AE517" s="48"/>
    </row>
    <row r="518" spans="27:31" ht="12.75">
      <c r="AA518" s="45"/>
      <c r="AE518" s="48"/>
    </row>
    <row r="519" spans="27:31" ht="12.75">
      <c r="AA519" s="45"/>
      <c r="AE519" s="48"/>
    </row>
    <row r="520" spans="27:31" ht="12.75">
      <c r="AA520" s="45"/>
      <c r="AE520" s="48"/>
    </row>
    <row r="521" spans="27:31" ht="12.75">
      <c r="AA521" s="45"/>
      <c r="AE521" s="48"/>
    </row>
    <row r="522" spans="27:31" ht="12.75">
      <c r="AA522" s="45"/>
      <c r="AE522" s="48"/>
    </row>
    <row r="523" spans="27:31" ht="12.75">
      <c r="AA523" s="45"/>
      <c r="AE523" s="48"/>
    </row>
    <row r="524" spans="27:31" ht="12.75">
      <c r="AA524" s="45"/>
      <c r="AE524" s="48"/>
    </row>
    <row r="525" spans="27:31" ht="12.75">
      <c r="AA525" s="45"/>
      <c r="AE525" s="48"/>
    </row>
    <row r="526" spans="27:31" ht="12.75">
      <c r="AA526" s="45"/>
      <c r="AE526" s="48"/>
    </row>
    <row r="527" spans="27:31" ht="12.75">
      <c r="AA527" s="45"/>
      <c r="AE527" s="48"/>
    </row>
    <row r="528" spans="27:31" ht="12.75">
      <c r="AA528" s="45"/>
      <c r="AE528" s="48"/>
    </row>
    <row r="529" spans="27:31" ht="12.75">
      <c r="AA529" s="45"/>
      <c r="AE529" s="48"/>
    </row>
    <row r="530" spans="27:31" ht="12.75">
      <c r="AA530" s="45"/>
      <c r="AE530" s="48"/>
    </row>
  </sheetData>
  <sheetProtection password="CB59" sheet="1"/>
  <mergeCells count="1">
    <mergeCell ref="F27:G27"/>
  </mergeCells>
  <printOptions/>
  <pageMargins left="0.5" right="0.5" top="0.5" bottom="0.55" header="0.5" footer="0.5"/>
  <pageSetup fitToHeight="1" fitToWidth="1" horizontalDpi="600" verticalDpi="600" orientation="portrait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8.421875" style="0" customWidth="1"/>
    <col min="3" max="3" width="26.421875" style="0" customWidth="1"/>
  </cols>
  <sheetData>
    <row r="2" ht="12.75">
      <c r="B2" t="s">
        <v>117</v>
      </c>
    </row>
    <row r="4" spans="2:3" ht="12.75">
      <c r="B4" s="154" t="s">
        <v>118</v>
      </c>
      <c r="C4" s="154" t="s">
        <v>119</v>
      </c>
    </row>
    <row r="5" ht="12.75">
      <c r="B5" s="153"/>
    </row>
    <row r="6" spans="2:3" ht="12.75">
      <c r="B6" t="s">
        <v>110</v>
      </c>
      <c r="C6" s="150">
        <f>+'Prepayment Model'!J9</f>
        <v>10066934.090000004</v>
      </c>
    </row>
    <row r="7" spans="2:3" ht="12.75">
      <c r="B7" t="s">
        <v>111</v>
      </c>
      <c r="C7" s="150">
        <f>+'Prepayment Model'!J5</f>
        <v>52000000</v>
      </c>
    </row>
    <row r="8" spans="2:3" ht="12.75">
      <c r="B8" t="s">
        <v>112</v>
      </c>
      <c r="C8" s="150">
        <f>+'Prepayment Model'!J7</f>
        <v>62066934.09</v>
      </c>
    </row>
    <row r="9" spans="2:3" ht="12.75">
      <c r="B9" t="s">
        <v>113</v>
      </c>
      <c r="C9" s="151">
        <f>+'Prepayment Model'!F19</f>
        <v>0.02323253118683155</v>
      </c>
    </row>
    <row r="10" spans="2:3" ht="12.75">
      <c r="B10" t="s">
        <v>114</v>
      </c>
      <c r="C10" s="152">
        <f>+'Prepayment Model'!F21</f>
        <v>11.71</v>
      </c>
    </row>
    <row r="11" spans="2:3" ht="12.75">
      <c r="B11" t="s">
        <v>115</v>
      </c>
      <c r="C11" s="150">
        <f>+'Prepayment Model'!F406</f>
        <v>52000000</v>
      </c>
    </row>
    <row r="12" spans="2:3" ht="12.75">
      <c r="B12" t="s">
        <v>116</v>
      </c>
      <c r="C12" s="149">
        <f>+'Prepayment Model'!E8</f>
        <v>42667</v>
      </c>
    </row>
    <row r="16" ht="12.75">
      <c r="C16" s="149"/>
    </row>
    <row r="17" ht="12.75">
      <c r="C17" s="149"/>
    </row>
    <row r="18" ht="12.75">
      <c r="C18" s="149"/>
    </row>
    <row r="20" ht="12.75">
      <c r="C20" s="150"/>
    </row>
    <row r="21" ht="12.75">
      <c r="C21" s="150"/>
    </row>
    <row r="22" ht="12.75">
      <c r="C22" s="150"/>
    </row>
    <row r="24" ht="12.75">
      <c r="C24" s="144"/>
    </row>
    <row r="26" ht="12.75">
      <c r="C26" s="145"/>
    </row>
    <row r="28" ht="12.75">
      <c r="C28" s="145"/>
    </row>
    <row r="29" ht="12.75">
      <c r="C29" s="146"/>
    </row>
    <row r="30" ht="12.75">
      <c r="C30" s="145"/>
    </row>
    <row r="31" ht="12.75">
      <c r="C31" s="145"/>
    </row>
    <row r="32" ht="12.75">
      <c r="C32" s="147"/>
    </row>
    <row r="33" ht="12.75">
      <c r="C33" s="147"/>
    </row>
    <row r="34" ht="12.75">
      <c r="C34" s="147"/>
    </row>
    <row r="35" ht="12.75">
      <c r="C35" s="148"/>
    </row>
    <row r="36" ht="12.75">
      <c r="C36" s="148"/>
    </row>
    <row r="37" ht="12.75">
      <c r="C37" s="145"/>
    </row>
    <row r="38" spans="3:8" ht="12.75">
      <c r="C38" s="144"/>
      <c r="H38" s="1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X032814</dc:creator>
  <cp:keywords/>
  <dc:description/>
  <cp:lastModifiedBy>SKO</cp:lastModifiedBy>
  <cp:lastPrinted>2017-11-03T15:55:42Z</cp:lastPrinted>
  <dcterms:created xsi:type="dcterms:W3CDTF">1996-09-20T12:12:17Z</dcterms:created>
  <dcterms:modified xsi:type="dcterms:W3CDTF">2017-11-03T15:58:17Z</dcterms:modified>
  <cp:category/>
  <cp:version/>
  <cp:contentType/>
  <cp:contentStatus/>
</cp:coreProperties>
</file>