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"/>
    </mc:Choice>
  </mc:AlternateContent>
  <bookViews>
    <workbookView xWindow="0" yWindow="0" windowWidth="28800" windowHeight="1243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B'!$A$1:$D$181</definedName>
    <definedName name="_xlnm.Print_Area" localSheetId="4">'C.2.2 B 02'!$A$14:$P$47</definedName>
    <definedName name="_xlnm.Print_Area" localSheetId="3">'C.2.2 B 09'!$A$12:$P$115</definedName>
    <definedName name="_xlnm.Print_Area" localSheetId="5">'C.2.2 B 12'!$A$12:$P$37</definedName>
    <definedName name="_xlnm.Print_Area" localSheetId="6">'C.2.2 B 91'!$A$14:$P$60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5" l="1"/>
  <c r="J43" i="5" s="1"/>
  <c r="K42" i="5"/>
  <c r="K43" i="5" s="1"/>
  <c r="L42" i="5"/>
  <c r="L43" i="5" s="1"/>
  <c r="A17" i="5" l="1"/>
  <c r="A19" i="5"/>
  <c r="A21" i="5"/>
  <c r="A23" i="5"/>
  <c r="A25" i="5"/>
  <c r="A27" i="5"/>
  <c r="A29" i="5"/>
  <c r="A31" i="5"/>
  <c r="A33" i="5"/>
  <c r="A35" i="5"/>
  <c r="A37" i="5"/>
  <c r="A39" i="5"/>
  <c r="A41" i="5"/>
  <c r="A43" i="5"/>
  <c r="G32" i="8" l="1"/>
  <c r="E32" i="8"/>
  <c r="E17" i="8" s="1"/>
  <c r="E21" i="8"/>
  <c r="G17" i="8"/>
  <c r="L55" i="7"/>
  <c r="L56" i="7" s="1"/>
  <c r="C55" i="7"/>
  <c r="B55" i="7"/>
  <c r="L53" i="7"/>
  <c r="K53" i="7"/>
  <c r="K55" i="7" s="1"/>
  <c r="K56" i="7" s="1"/>
  <c r="D53" i="7"/>
  <c r="D55" i="7" s="1"/>
  <c r="D56" i="7" s="1"/>
  <c r="I51" i="7"/>
  <c r="H51" i="7"/>
  <c r="G51" i="7"/>
  <c r="F51" i="7"/>
  <c r="E51" i="7"/>
  <c r="D51" i="7"/>
  <c r="P50" i="7"/>
  <c r="P49" i="7"/>
  <c r="P48" i="7"/>
  <c r="P47" i="7"/>
  <c r="P46" i="7"/>
  <c r="O45" i="7"/>
  <c r="O55" i="7" s="1"/>
  <c r="O57" i="7" s="1"/>
  <c r="M55" i="7"/>
  <c r="M56" i="7" s="1"/>
  <c r="P44" i="7"/>
  <c r="P43" i="7"/>
  <c r="P42" i="7"/>
  <c r="P41" i="7"/>
  <c r="P40" i="7"/>
  <c r="P39" i="7"/>
  <c r="P38" i="7"/>
  <c r="P37" i="7"/>
  <c r="P36" i="7"/>
  <c r="P35" i="7"/>
  <c r="P34" i="7"/>
  <c r="P32" i="7"/>
  <c r="P31" i="7"/>
  <c r="P30" i="7"/>
  <c r="P29" i="7"/>
  <c r="P28" i="7"/>
  <c r="P27" i="7"/>
  <c r="P26" i="7"/>
  <c r="P25" i="7"/>
  <c r="P24" i="7"/>
  <c r="P23" i="7"/>
  <c r="P22" i="7"/>
  <c r="I21" i="7"/>
  <c r="I53" i="7" s="1"/>
  <c r="I55" i="7" s="1"/>
  <c r="I56" i="7" s="1"/>
  <c r="H21" i="7"/>
  <c r="H53" i="7" s="1"/>
  <c r="H55" i="7" s="1"/>
  <c r="H56" i="7" s="1"/>
  <c r="G21" i="7"/>
  <c r="G53" i="7" s="1"/>
  <c r="G55" i="7" s="1"/>
  <c r="G56" i="7" s="1"/>
  <c r="F21" i="7"/>
  <c r="E21" i="7"/>
  <c r="P21" i="7" s="1"/>
  <c r="D21" i="7"/>
  <c r="P20" i="7"/>
  <c r="P19" i="7"/>
  <c r="P18" i="7"/>
  <c r="P17" i="7"/>
  <c r="P16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P15" i="7"/>
  <c r="A15" i="7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I9" i="7"/>
  <c r="H9" i="7"/>
  <c r="G9" i="7"/>
  <c r="F9" i="7"/>
  <c r="E9" i="7"/>
  <c r="D9" i="7"/>
  <c r="P8" i="7"/>
  <c r="I32" i="6"/>
  <c r="I33" i="6" s="1"/>
  <c r="H32" i="6"/>
  <c r="H33" i="6" s="1"/>
  <c r="G32" i="6"/>
  <c r="G33" i="6" s="1"/>
  <c r="F32" i="6"/>
  <c r="F33" i="6" s="1"/>
  <c r="E32" i="6"/>
  <c r="E33" i="6" s="1"/>
  <c r="D32" i="6"/>
  <c r="D33" i="6" s="1"/>
  <c r="C32" i="6"/>
  <c r="B32" i="6"/>
  <c r="N30" i="6"/>
  <c r="M30" i="6"/>
  <c r="E30" i="6"/>
  <c r="P28" i="6"/>
  <c r="P27" i="6"/>
  <c r="P26" i="6"/>
  <c r="P25" i="6"/>
  <c r="P24" i="6"/>
  <c r="P23" i="6"/>
  <c r="O22" i="6"/>
  <c r="O32" i="6" s="1"/>
  <c r="O34" i="6" s="1"/>
  <c r="N32" i="6"/>
  <c r="N33" i="6" s="1"/>
  <c r="M32" i="6"/>
  <c r="M33" i="6" s="1"/>
  <c r="L30" i="6"/>
  <c r="K30" i="6"/>
  <c r="K32" i="6" s="1"/>
  <c r="K33" i="6" s="1"/>
  <c r="J30" i="6"/>
  <c r="J32" i="6" s="1"/>
  <c r="J33" i="6" s="1"/>
  <c r="P21" i="6"/>
  <c r="P20" i="6"/>
  <c r="P19" i="6"/>
  <c r="P18" i="6"/>
  <c r="P17" i="6"/>
  <c r="I16" i="6"/>
  <c r="I30" i="6" s="1"/>
  <c r="H16" i="6"/>
  <c r="G16" i="6"/>
  <c r="F16" i="6"/>
  <c r="E16" i="6"/>
  <c r="D16" i="6"/>
  <c r="P16" i="6" s="1"/>
  <c r="P15" i="6"/>
  <c r="I14" i="6"/>
  <c r="H14" i="6"/>
  <c r="G14" i="6"/>
  <c r="G30" i="6" s="1"/>
  <c r="F14" i="6"/>
  <c r="E14" i="6"/>
  <c r="D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P13" i="6"/>
  <c r="A13" i="6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I9" i="6"/>
  <c r="H9" i="6"/>
  <c r="G9" i="6"/>
  <c r="F9" i="6"/>
  <c r="E9" i="6"/>
  <c r="D9" i="6"/>
  <c r="P8" i="6"/>
  <c r="I42" i="5"/>
  <c r="I43" i="5" s="1"/>
  <c r="H42" i="5"/>
  <c r="H43" i="5" s="1"/>
  <c r="G42" i="5"/>
  <c r="G43" i="5" s="1"/>
  <c r="F42" i="5"/>
  <c r="F43" i="5" s="1"/>
  <c r="E42" i="5"/>
  <c r="E43" i="5" s="1"/>
  <c r="D42" i="5"/>
  <c r="D43" i="5" s="1"/>
  <c r="C42" i="5"/>
  <c r="B42" i="5"/>
  <c r="N40" i="5"/>
  <c r="P39" i="5"/>
  <c r="P38" i="5"/>
  <c r="P37" i="5"/>
  <c r="I36" i="5"/>
  <c r="H36" i="5"/>
  <c r="G36" i="5"/>
  <c r="F36" i="5"/>
  <c r="E36" i="5"/>
  <c r="E40" i="5" s="1"/>
  <c r="D36" i="5"/>
  <c r="P35" i="5"/>
  <c r="P34" i="5"/>
  <c r="P33" i="5"/>
  <c r="P32" i="5"/>
  <c r="O31" i="5"/>
  <c r="O42" i="5" s="1"/>
  <c r="O44" i="5" s="1"/>
  <c r="N42" i="5"/>
  <c r="N43" i="5" s="1"/>
  <c r="M40" i="5"/>
  <c r="L40" i="5"/>
  <c r="K40" i="5"/>
  <c r="P30" i="5"/>
  <c r="P29" i="5"/>
  <c r="P28" i="5"/>
  <c r="P27" i="5"/>
  <c r="P25" i="5"/>
  <c r="P24" i="5"/>
  <c r="P23" i="5"/>
  <c r="P22" i="5"/>
  <c r="I21" i="5"/>
  <c r="H21" i="5"/>
  <c r="G21" i="5"/>
  <c r="F21" i="5"/>
  <c r="E21" i="5"/>
  <c r="D21" i="5"/>
  <c r="P21" i="5" s="1"/>
  <c r="P20" i="5"/>
  <c r="P19" i="5"/>
  <c r="I18" i="5"/>
  <c r="I40" i="5" s="1"/>
  <c r="H18" i="5"/>
  <c r="G18" i="5"/>
  <c r="F18" i="5"/>
  <c r="F40" i="5" s="1"/>
  <c r="E18" i="5"/>
  <c r="D18" i="5"/>
  <c r="P16" i="5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I9" i="5"/>
  <c r="H9" i="5"/>
  <c r="G9" i="5"/>
  <c r="F9" i="5"/>
  <c r="E9" i="5"/>
  <c r="D9" i="5"/>
  <c r="P8" i="5"/>
  <c r="I110" i="4"/>
  <c r="H110" i="4"/>
  <c r="G110" i="4"/>
  <c r="F110" i="4"/>
  <c r="E110" i="4"/>
  <c r="D110" i="4"/>
  <c r="P109" i="4"/>
  <c r="P108" i="4"/>
  <c r="D165" i="3" s="1"/>
  <c r="I107" i="4"/>
  <c r="H107" i="4"/>
  <c r="G107" i="4"/>
  <c r="F107" i="4"/>
  <c r="E107" i="4"/>
  <c r="D107" i="4"/>
  <c r="P106" i="4"/>
  <c r="D163" i="3" s="1"/>
  <c r="P105" i="4"/>
  <c r="D162" i="3" s="1"/>
  <c r="P104" i="4"/>
  <c r="P103" i="4"/>
  <c r="D160" i="3" s="1"/>
  <c r="P102" i="4"/>
  <c r="D159" i="3" s="1"/>
  <c r="P100" i="4"/>
  <c r="D157" i="3" s="1"/>
  <c r="P99" i="4"/>
  <c r="P98" i="4"/>
  <c r="P97" i="4"/>
  <c r="P96" i="4"/>
  <c r="D149" i="3" s="1"/>
  <c r="I95" i="4"/>
  <c r="H95" i="4"/>
  <c r="G95" i="4"/>
  <c r="F95" i="4"/>
  <c r="E95" i="4"/>
  <c r="D95" i="4"/>
  <c r="P94" i="4"/>
  <c r="D144" i="3" s="1"/>
  <c r="P93" i="4"/>
  <c r="D138" i="3" s="1"/>
  <c r="P92" i="4"/>
  <c r="D137" i="3" s="1"/>
  <c r="P91" i="4"/>
  <c r="P90" i="4"/>
  <c r="D135" i="3" s="1"/>
  <c r="P89" i="4"/>
  <c r="D130" i="3" s="1"/>
  <c r="P88" i="4"/>
  <c r="D129" i="3" s="1"/>
  <c r="P87" i="4"/>
  <c r="P86" i="4"/>
  <c r="D127" i="3" s="1"/>
  <c r="P85" i="4"/>
  <c r="D126" i="3" s="1"/>
  <c r="P84" i="4"/>
  <c r="D125" i="3" s="1"/>
  <c r="P83" i="4"/>
  <c r="P82" i="4"/>
  <c r="D123" i="3" s="1"/>
  <c r="P81" i="4"/>
  <c r="D122" i="3" s="1"/>
  <c r="P80" i="4"/>
  <c r="D118" i="3" s="1"/>
  <c r="P79" i="4"/>
  <c r="P78" i="4"/>
  <c r="D116" i="3" s="1"/>
  <c r="P77" i="4"/>
  <c r="D115" i="3" s="1"/>
  <c r="P76" i="4"/>
  <c r="D114" i="3" s="1"/>
  <c r="P75" i="4"/>
  <c r="D113" i="3" s="1"/>
  <c r="P74" i="4"/>
  <c r="D112" i="3" s="1"/>
  <c r="P73" i="4"/>
  <c r="D111" i="3" s="1"/>
  <c r="I72" i="4"/>
  <c r="H72" i="4"/>
  <c r="G72" i="4"/>
  <c r="F72" i="4"/>
  <c r="E72" i="4"/>
  <c r="D72" i="4"/>
  <c r="P71" i="4"/>
  <c r="D109" i="3" s="1"/>
  <c r="P70" i="4"/>
  <c r="D108" i="3" s="1"/>
  <c r="P69" i="4"/>
  <c r="P67" i="4"/>
  <c r="D80" i="3" s="1"/>
  <c r="I66" i="4"/>
  <c r="H66" i="4"/>
  <c r="G66" i="4"/>
  <c r="F66" i="4"/>
  <c r="E66" i="4"/>
  <c r="D66" i="4"/>
  <c r="P65" i="4"/>
  <c r="D78" i="3" s="1"/>
  <c r="P64" i="4"/>
  <c r="D71" i="3" s="1"/>
  <c r="P63" i="4"/>
  <c r="D70" i="3" s="1"/>
  <c r="P62" i="4"/>
  <c r="D69" i="3" s="1"/>
  <c r="I61" i="4"/>
  <c r="H61" i="4"/>
  <c r="G61" i="4"/>
  <c r="F61" i="4"/>
  <c r="E61" i="4"/>
  <c r="D61" i="4"/>
  <c r="P61" i="4" s="1"/>
  <c r="D68" i="3" s="1"/>
  <c r="P60" i="4"/>
  <c r="D63" i="3" s="1"/>
  <c r="I59" i="4"/>
  <c r="H59" i="4"/>
  <c r="G59" i="4"/>
  <c r="F59" i="4"/>
  <c r="E59" i="4"/>
  <c r="D59" i="4"/>
  <c r="P59" i="4" s="1"/>
  <c r="D62" i="3" s="1"/>
  <c r="I58" i="4"/>
  <c r="H58" i="4"/>
  <c r="G58" i="4"/>
  <c r="F58" i="4"/>
  <c r="E58" i="4"/>
  <c r="D58" i="4"/>
  <c r="I57" i="4"/>
  <c r="H57" i="4"/>
  <c r="G57" i="4"/>
  <c r="F57" i="4"/>
  <c r="E57" i="4"/>
  <c r="D57" i="4"/>
  <c r="P56" i="4"/>
  <c r="D59" i="3" s="1"/>
  <c r="P55" i="4"/>
  <c r="P54" i="4"/>
  <c r="I53" i="4"/>
  <c r="H53" i="4"/>
  <c r="G53" i="4"/>
  <c r="F53" i="4"/>
  <c r="E53" i="4"/>
  <c r="D53" i="4"/>
  <c r="P53" i="4" s="1"/>
  <c r="D52" i="3" s="1"/>
  <c r="P52" i="4"/>
  <c r="P51" i="4"/>
  <c r="P50" i="4"/>
  <c r="D49" i="3" s="1"/>
  <c r="P49" i="4"/>
  <c r="D48" i="3" s="1"/>
  <c r="P48" i="4"/>
  <c r="D47" i="3" s="1"/>
  <c r="P47" i="4"/>
  <c r="D46" i="3" s="1"/>
  <c r="I46" i="4"/>
  <c r="H46" i="4"/>
  <c r="G46" i="4"/>
  <c r="F46" i="4"/>
  <c r="E46" i="4"/>
  <c r="D46" i="4"/>
  <c r="P46" i="4" s="1"/>
  <c r="D44" i="3" s="1"/>
  <c r="P45" i="4"/>
  <c r="D103" i="3" s="1"/>
  <c r="P44" i="4"/>
  <c r="D101" i="3" s="1"/>
  <c r="P43" i="4"/>
  <c r="D99" i="3" s="1"/>
  <c r="P42" i="4"/>
  <c r="D98" i="3" s="1"/>
  <c r="P41" i="4"/>
  <c r="P40" i="4"/>
  <c r="D96" i="3" s="1"/>
  <c r="P39" i="4"/>
  <c r="D95" i="3" s="1"/>
  <c r="P38" i="4"/>
  <c r="D93" i="3" s="1"/>
  <c r="P37" i="4"/>
  <c r="P36" i="4"/>
  <c r="D91" i="3" s="1"/>
  <c r="P35" i="4"/>
  <c r="D90" i="3" s="1"/>
  <c r="P34" i="4"/>
  <c r="D89" i="3" s="1"/>
  <c r="P33" i="4"/>
  <c r="D87" i="3" s="1"/>
  <c r="P32" i="4"/>
  <c r="D86" i="3" s="1"/>
  <c r="I31" i="4"/>
  <c r="H31" i="4"/>
  <c r="G31" i="4"/>
  <c r="F31" i="4"/>
  <c r="E31" i="4"/>
  <c r="D31" i="4"/>
  <c r="I30" i="4"/>
  <c r="H30" i="4"/>
  <c r="G30" i="4"/>
  <c r="F30" i="4"/>
  <c r="E30" i="4"/>
  <c r="D30" i="4"/>
  <c r="I29" i="4"/>
  <c r="H29" i="4"/>
  <c r="G29" i="4"/>
  <c r="F29" i="4"/>
  <c r="E29" i="4"/>
  <c r="D29" i="4"/>
  <c r="P29" i="4" s="1"/>
  <c r="D36" i="3" s="1"/>
  <c r="I28" i="4"/>
  <c r="H28" i="4"/>
  <c r="G28" i="4"/>
  <c r="G112" i="4" s="1"/>
  <c r="F28" i="4"/>
  <c r="E28" i="4"/>
  <c r="D28" i="4"/>
  <c r="P27" i="4"/>
  <c r="D28" i="3" s="1"/>
  <c r="P26" i="4"/>
  <c r="D27" i="3" s="1"/>
  <c r="P25" i="4"/>
  <c r="D26" i="3" s="1"/>
  <c r="P24" i="4"/>
  <c r="P23" i="4"/>
  <c r="D21" i="3" s="1"/>
  <c r="P22" i="4"/>
  <c r="D20" i="3" s="1"/>
  <c r="P21" i="4"/>
  <c r="D19" i="3" s="1"/>
  <c r="P20" i="4"/>
  <c r="P19" i="4"/>
  <c r="D17" i="3" s="1"/>
  <c r="P18" i="4"/>
  <c r="D16" i="3" s="1"/>
  <c r="P17" i="4"/>
  <c r="D15" i="3" s="1"/>
  <c r="P16" i="4"/>
  <c r="D176" i="3" s="1"/>
  <c r="D27" i="2" s="1"/>
  <c r="P14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I12" i="4"/>
  <c r="G12" i="4"/>
  <c r="F12" i="4"/>
  <c r="E12" i="4"/>
  <c r="D12" i="4"/>
  <c r="P8" i="4"/>
  <c r="A8" i="4"/>
  <c r="A7" i="4"/>
  <c r="A6" i="4"/>
  <c r="D166" i="3"/>
  <c r="D161" i="3"/>
  <c r="D156" i="3"/>
  <c r="D151" i="3"/>
  <c r="D150" i="3"/>
  <c r="D136" i="3"/>
  <c r="D128" i="3"/>
  <c r="D124" i="3"/>
  <c r="D117" i="3"/>
  <c r="D107" i="3"/>
  <c r="F104" i="3"/>
  <c r="D97" i="3"/>
  <c r="D92" i="3"/>
  <c r="D57" i="3"/>
  <c r="D53" i="3"/>
  <c r="D51" i="3"/>
  <c r="D50" i="3"/>
  <c r="D42" i="3"/>
  <c r="F32" i="3"/>
  <c r="D22" i="3"/>
  <c r="D18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D8" i="3"/>
  <c r="H31" i="2"/>
  <c r="H33" i="2" s="1"/>
  <c r="O27" i="2"/>
  <c r="F21" i="1" s="1"/>
  <c r="M26" i="2"/>
  <c r="O25" i="2"/>
  <c r="O21" i="2"/>
  <c r="O20" i="2"/>
  <c r="O19" i="2"/>
  <c r="O18" i="2"/>
  <c r="O17" i="2"/>
  <c r="K31" i="2"/>
  <c r="O14" i="2"/>
  <c r="O9" i="2"/>
  <c r="A9" i="2"/>
  <c r="A8" i="2"/>
  <c r="A7" i="2"/>
  <c r="P58" i="4" l="1"/>
  <c r="D61" i="3" s="1"/>
  <c r="E112" i="4"/>
  <c r="I112" i="4"/>
  <c r="F112" i="4"/>
  <c r="O101" i="4"/>
  <c r="O53" i="7"/>
  <c r="D38" i="3"/>
  <c r="P31" i="4"/>
  <c r="D85" i="3" s="1"/>
  <c r="D153" i="3"/>
  <c r="D24" i="2" s="1"/>
  <c r="P36" i="5"/>
  <c r="P14" i="6"/>
  <c r="P51" i="7"/>
  <c r="P30" i="4"/>
  <c r="D37" i="3" s="1"/>
  <c r="P72" i="4"/>
  <c r="D110" i="3" s="1"/>
  <c r="P95" i="4"/>
  <c r="D145" i="3" s="1"/>
  <c r="D146" i="3" s="1"/>
  <c r="D23" i="2" s="1"/>
  <c r="F23" i="2" s="1"/>
  <c r="P107" i="4"/>
  <c r="D164" i="3" s="1"/>
  <c r="P110" i="4"/>
  <c r="D170" i="3" s="1"/>
  <c r="D171" i="3" s="1"/>
  <c r="D30" i="6"/>
  <c r="H30" i="6"/>
  <c r="F53" i="7"/>
  <c r="F55" i="7" s="1"/>
  <c r="F56" i="7" s="1"/>
  <c r="E53" i="7"/>
  <c r="E55" i="7" s="1"/>
  <c r="E56" i="7" s="1"/>
  <c r="P31" i="5"/>
  <c r="D132" i="3"/>
  <c r="D54" i="3"/>
  <c r="D119" i="3"/>
  <c r="D139" i="3"/>
  <c r="D22" i="2" s="1"/>
  <c r="F22" i="2" s="1"/>
  <c r="D104" i="3"/>
  <c r="D17" i="2" s="1"/>
  <c r="D23" i="3"/>
  <c r="F24" i="2"/>
  <c r="L32" i="6"/>
  <c r="L33" i="6" s="1"/>
  <c r="M42" i="5"/>
  <c r="M43" i="5" s="1"/>
  <c r="D74" i="3"/>
  <c r="D18" i="2"/>
  <c r="D21" i="1"/>
  <c r="F27" i="2"/>
  <c r="K33" i="2"/>
  <c r="K112" i="4"/>
  <c r="F20" i="1"/>
  <c r="J20" i="1" s="1"/>
  <c r="J21" i="1"/>
  <c r="H23" i="1"/>
  <c r="O22" i="2"/>
  <c r="O23" i="2"/>
  <c r="A8" i="6"/>
  <c r="A8" i="5"/>
  <c r="D112" i="4"/>
  <c r="P28" i="4"/>
  <c r="D29" i="3" s="1"/>
  <c r="D30" i="3" s="1"/>
  <c r="D32" i="3" s="1"/>
  <c r="H112" i="4"/>
  <c r="F17" i="8"/>
  <c r="O24" i="2"/>
  <c r="G15" i="8" s="1"/>
  <c r="P57" i="4"/>
  <c r="D60" i="3" s="1"/>
  <c r="D64" i="3" s="1"/>
  <c r="F15" i="1"/>
  <c r="F18" i="1"/>
  <c r="P34" i="6"/>
  <c r="A8" i="7"/>
  <c r="G40" i="5"/>
  <c r="P22" i="6"/>
  <c r="P30" i="6" s="1"/>
  <c r="F30" i="6"/>
  <c r="A6" i="7"/>
  <c r="A6" i="6"/>
  <c r="A6" i="5"/>
  <c r="D40" i="5"/>
  <c r="P18" i="5"/>
  <c r="P40" i="5" s="1"/>
  <c r="H40" i="5"/>
  <c r="J40" i="5"/>
  <c r="P32" i="6"/>
  <c r="P45" i="7"/>
  <c r="P53" i="7" s="1"/>
  <c r="J53" i="7"/>
  <c r="J55" i="7" s="1"/>
  <c r="J56" i="7" s="1"/>
  <c r="N55" i="7"/>
  <c r="N56" i="7" s="1"/>
  <c r="N53" i="7"/>
  <c r="M53" i="7"/>
  <c r="A7" i="6"/>
  <c r="A7" i="5"/>
  <c r="P66" i="4"/>
  <c r="D79" i="3" s="1"/>
  <c r="D82" i="3" s="1"/>
  <c r="A7" i="7"/>
  <c r="O40" i="5"/>
  <c r="O30" i="6"/>
  <c r="F19" i="1" l="1"/>
  <c r="J19" i="1" s="1"/>
  <c r="D21" i="2"/>
  <c r="F21" i="2" s="1"/>
  <c r="G104" i="3"/>
  <c r="G32" i="3"/>
  <c r="D14" i="2"/>
  <c r="P44" i="5"/>
  <c r="G19" i="8"/>
  <c r="G23" i="8" s="1"/>
  <c r="D20" i="2"/>
  <c r="F20" i="2" s="1"/>
  <c r="P57" i="7"/>
  <c r="L112" i="4"/>
  <c r="H24" i="1"/>
  <c r="H26" i="1" s="1"/>
  <c r="D19" i="2"/>
  <c r="F19" i="2" s="1"/>
  <c r="P55" i="7"/>
  <c r="J18" i="1"/>
  <c r="F17" i="2"/>
  <c r="D18" i="1"/>
  <c r="F18" i="2"/>
  <c r="P42" i="5"/>
  <c r="P33" i="6"/>
  <c r="J15" i="1"/>
  <c r="P56" i="7" l="1"/>
  <c r="P43" i="5"/>
  <c r="F14" i="2"/>
  <c r="D15" i="1"/>
  <c r="P101" i="4"/>
  <c r="D158" i="3" s="1"/>
  <c r="D167" i="3" s="1"/>
  <c r="J112" i="4"/>
  <c r="O28" i="2"/>
  <c r="F23" i="1"/>
  <c r="M112" i="4"/>
  <c r="O15" i="4" l="1"/>
  <c r="O112" i="4" s="1"/>
  <c r="N112" i="4"/>
  <c r="J23" i="1"/>
  <c r="J24" i="1" s="1"/>
  <c r="J26" i="1" s="1"/>
  <c r="J30" i="1" s="1"/>
  <c r="F24" i="1"/>
  <c r="F26" i="1" s="1"/>
  <c r="F30" i="1" s="1"/>
  <c r="D25" i="2"/>
  <c r="D173" i="3"/>
  <c r="M28" i="2"/>
  <c r="M31" i="2" s="1"/>
  <c r="M33" i="2" s="1"/>
  <c r="O31" i="2"/>
  <c r="O33" i="2" s="1"/>
  <c r="P15" i="4" l="1"/>
  <c r="D175" i="3" s="1"/>
  <c r="D26" i="2" s="1"/>
  <c r="D20" i="1" s="1"/>
  <c r="F25" i="2"/>
  <c r="D19" i="1"/>
  <c r="E15" i="8" l="1"/>
  <c r="F15" i="8" s="1"/>
  <c r="F19" i="8" s="1"/>
  <c r="F26" i="2"/>
  <c r="E19" i="8" l="1"/>
  <c r="E23" i="8" s="1"/>
  <c r="D23" i="1" s="1"/>
  <c r="D24" i="1" s="1"/>
  <c r="D26" i="1" s="1"/>
  <c r="D30" i="1" s="1"/>
  <c r="O12" i="4" l="1"/>
  <c r="P12" i="4" s="1"/>
  <c r="P112" i="4" s="1"/>
  <c r="F23" i="8"/>
  <c r="D177" i="3"/>
  <c r="D179" i="3" s="1"/>
  <c r="D181" i="3" s="1"/>
  <c r="D28" i="2" l="1"/>
  <c r="F28" i="2" s="1"/>
  <c r="F31" i="2" s="1"/>
  <c r="F33" i="2" s="1"/>
  <c r="D31" i="2" l="1"/>
  <c r="D33" i="2" s="1"/>
</calcChain>
</file>

<file path=xl/sharedStrings.xml><?xml version="1.0" encoding="utf-8"?>
<sst xmlns="http://schemas.openxmlformats.org/spreadsheetml/2006/main" count="635" uniqueCount="358">
  <si>
    <t>Operating Income Summary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</si>
  <si>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</si>
  <si>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</si>
  <si>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</si>
  <si>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</si>
  <si>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</si>
  <si>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Martin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</si>
  <si>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</si>
  <si>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</si>
  <si>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</si>
  <si>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</si>
  <si>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</si>
  <si>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</si>
  <si>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</si>
  <si>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</si>
  <si>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</si>
  <si>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</si>
  <si>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</si>
  <si>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</si>
  <si>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</si>
  <si>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</si>
  <si>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</si>
  <si>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</si>
  <si>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</si>
  <si>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</si>
  <si>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</si>
  <si>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</si>
  <si>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</si>
  <si>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</si>
  <si>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</si>
  <si>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</si>
  <si>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</si>
  <si>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</si>
  <si>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</si>
  <si>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</si>
  <si>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</si>
  <si>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</si>
  <si>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</si>
  <si>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</si>
  <si>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</si>
  <si>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</si>
  <si>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</si>
  <si>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</si>
  <si>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</si>
  <si>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</si>
  <si>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</si>
  <si>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</si>
  <si>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</si>
  <si>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</si>
  <si>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</si>
  <si>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</si>
  <si>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</si>
  <si>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</si>
  <si>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</si>
  <si>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</si>
  <si>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</si>
  <si>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</si>
  <si>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</si>
  <si>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</si>
  <si>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</si>
  <si>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</si>
  <si>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</si>
  <si>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</si>
  <si>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</si>
  <si>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</si>
  <si>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</si>
  <si>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</si>
  <si>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</si>
  <si>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</si>
  <si>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</si>
  <si>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</si>
  <si>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</si>
  <si>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</si>
  <si>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</si>
  <si>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</si>
  <si>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</si>
  <si>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</si>
  <si>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</si>
  <si>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</si>
  <si>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</si>
  <si>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</si>
  <si>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</si>
  <si>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</si>
  <si>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</si>
  <si>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</si>
  <si>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</si>
  <si>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</si>
  <si>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</si>
  <si>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</si>
  <si>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</si>
  <si>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</si>
  <si>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</si>
  <si>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</si>
  <si>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</si>
  <si>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</si>
  <si>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</si>
  <si>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</si>
  <si>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</si>
  <si>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</si>
  <si>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</si>
  <si>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</si>
  <si>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</si>
  <si>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</si>
  <si>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</si>
  <si>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</si>
  <si>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</si>
  <si>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</si>
  <si>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</si>
  <si>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</si>
  <si>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</si>
  <si>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</si>
  <si>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</si>
  <si>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</si>
  <si>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</si>
  <si>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</si>
  <si>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</si>
  <si>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</si>
  <si>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</si>
  <si>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</si>
  <si>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</si>
  <si>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</si>
  <si>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</si>
  <si>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</si>
  <si>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</si>
  <si>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</si>
  <si>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</si>
  <si>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</si>
  <si>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</si>
  <si>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</si>
  <si>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</si>
  <si>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</si>
  <si>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</si>
  <si>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</si>
  <si>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</si>
  <si>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</si>
  <si>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</si>
  <si>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</si>
  <si>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</si>
  <si>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</si>
  <si>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</si>
  <si>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</si>
  <si>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</si>
  <si>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</si>
  <si>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</si>
  <si>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</si>
  <si>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</si>
  <si>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</si>
  <si>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</si>
  <si>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</si>
  <si>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</si>
  <si>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</si>
  <si>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</si>
  <si>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</si>
  <si>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</si>
  <si>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</si>
  <si>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</si>
  <si>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</si>
  <si>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</si>
  <si>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</si>
  <si>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</si>
  <si>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</si>
  <si>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</si>
  <si>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</si>
  <si>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</si>
  <si>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</si>
  <si>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</si>
  <si>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</si>
  <si>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</si>
  <si>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</si>
  <si>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</si>
  <si>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</si>
  <si>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</si>
  <si>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</si>
  <si>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</si>
  <si>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</si>
  <si>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</si>
  <si>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</si>
  <si>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</si>
  <si>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</si>
  <si>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</si>
  <si>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</si>
  <si>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</si>
  <si>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</si>
  <si>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</si>
  <si>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</si>
  <si>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</si>
  <si>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</si>
  <si>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</si>
  <si>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</si>
  <si>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</si>
  <si>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</si>
  <si>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</si>
  <si>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</si>
  <si>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</si>
  <si>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</si>
  <si>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</si>
  <si>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</si>
  <si>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</si>
  <si>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</si>
  <si>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</si>
  <si>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</si>
  <si>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</si>
  <si>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</si>
  <si>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</si>
  <si>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</si>
  <si>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</si>
  <si>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</si>
  <si>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</si>
  <si>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</si>
  <si>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</si>
  <si>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</si>
  <si>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</si>
  <si>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</si>
  <si>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</si>
  <si>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</si>
  <si>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</si>
  <si>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</si>
  <si>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</si>
  <si>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</si>
  <si>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</si>
  <si>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</si>
  <si>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</si>
  <si>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 xml:space="preserve"> 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</si>
  <si>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</si>
  <si>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</si>
  <si>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</si>
  <si>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</si>
  <si>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</si>
  <si>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</si>
  <si>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</si>
  <si>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</si>
  <si>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</si>
  <si>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</si>
  <si>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</si>
  <si>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</si>
  <si>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</si>
  <si>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</si>
  <si>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</si>
  <si>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</si>
  <si>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</si>
  <si>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</si>
  <si>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</si>
  <si>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</si>
  <si>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</si>
  <si>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</si>
  <si>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</si>
  <si>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</si>
  <si>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</si>
  <si>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</si>
  <si>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</si>
  <si>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</si>
  <si>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</si>
  <si>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</si>
  <si>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</si>
  <si>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</si>
  <si>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</si>
  <si>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</si>
  <si>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</si>
  <si>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</si>
  <si>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</si>
  <si>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</si>
  <si>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</si>
  <si>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</si>
  <si>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</si>
  <si>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</si>
  <si>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</si>
  <si>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</si>
  <si>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</si>
  <si>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</si>
  <si>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</si>
  <si>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</si>
  <si>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</si>
  <si>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</si>
  <si>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</si>
  <si>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</si>
  <si>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</si>
  <si>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</si>
  <si>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</si>
  <si>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</si>
  <si>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</si>
  <si>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</si>
  <si>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</si>
  <si>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</si>
  <si>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</si>
  <si>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</si>
  <si>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</si>
  <si>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</si>
  <si>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</si>
  <si>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</si>
  <si>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</si>
  <si>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</si>
  <si>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</si>
  <si>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</si>
  <si>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</si>
  <si>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</si>
  <si>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</si>
  <si>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</si>
  <si>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</si>
  <si>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</si>
  <si>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</si>
  <si>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</si>
  <si>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</si>
  <si>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</si>
  <si>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</si>
  <si>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</si>
  <si>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</si>
  <si>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</si>
  <si>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</si>
  <si>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</si>
  <si>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</si>
  <si>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</si>
  <si>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</si>
  <si>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</si>
  <si>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</si>
  <si>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</si>
  <si>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</si>
  <si>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</si>
  <si>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</si>
  <si>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</si>
  <si>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</si>
  <si>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</si>
  <si>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</si>
  <si>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</si>
  <si>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</si>
  <si>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</si>
  <si>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</si>
  <si>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</si>
  <si>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</si>
  <si>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</si>
  <si>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</si>
  <si>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</si>
  <si>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</si>
  <si>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</si>
  <si>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</si>
  <si>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</si>
  <si>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</si>
  <si>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</si>
  <si>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</si>
  <si>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</si>
  <si>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</si>
  <si>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</si>
  <si>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</si>
  <si>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</si>
  <si>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</si>
  <si>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</si>
  <si>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</si>
  <si>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</si>
  <si>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</si>
  <si>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</si>
  <si>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</si>
  <si>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Gas losses</t>
  </si>
  <si>
    <t>9040</t>
  </si>
  <si>
    <t>Transmission-Maintenance of other equipment</t>
  </si>
  <si>
    <t>Atmos Energy Corporation, Kentucky/Mid-States Division</t>
  </si>
  <si>
    <t>Kentucky Jurisdiction Case No. 2017-00349</t>
  </si>
  <si>
    <t>Forecasted Test Period: Twelve Months Ended March 31, 2019</t>
  </si>
  <si>
    <t>Base Period: Twelve Months Ended December 31, 2017</t>
  </si>
  <si>
    <t>8780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</si>
</sst>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</numFmts>
  <fonts count="23">
    <font>
      <sz val="12"/>
      <name val="Helvetica-Narrow"/>
      <family val="2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/>
  </cellStyleXfs>
  <cellXfs count="271">
    <xf numFmtId="37" fontId="0" fillId="0" borderId="0" xfId="0"/>
    <xf numFmtId="37" fontId="1" fillId="0" borderId="0" xfId="0" applyFont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2" fillId="0" borderId="0" xfId="0" applyFont="1"/>
    <xf numFmtId="37" fontId="1" fillId="0" borderId="1" xfId="0" applyFont="1" applyBorder="1" applyAlignment="1" applyProtection="1">
      <alignment horizontal="center"/>
    </xf>
    <xf numFmtId="37" fontId="3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" fillId="0" borderId="0" xfId="0" applyFont="1" applyFill="1"/>
    <xf numFmtId="37" fontId="4" fillId="0" borderId="0" xfId="0" applyFont="1"/>
    <xf numFmtId="164" fontId="1" fillId="0" borderId="0" xfId="2" applyNumberFormat="1" applyFont="1" applyFill="1" applyProtection="1"/>
    <xf numFmtId="37" fontId="1" fillId="0" borderId="0" xfId="0" applyNumberFormat="1" applyFont="1" applyProtection="1"/>
    <xf numFmtId="164" fontId="1" fillId="0" borderId="0" xfId="2" applyNumberFormat="1" applyFont="1" applyProtection="1"/>
    <xf numFmtId="165" fontId="2" fillId="0" borderId="0" xfId="3" applyNumberFormat="1" applyFont="1" applyProtection="1"/>
    <xf numFmtId="166" fontId="4" fillId="0" borderId="0" xfId="1" applyNumberFormat="1" applyFont="1" applyFill="1" applyProtection="1"/>
    <xf numFmtId="37" fontId="4" fillId="0" borderId="0" xfId="0" applyNumberFormat="1" applyFont="1" applyProtection="1"/>
    <xf numFmtId="166" fontId="2" fillId="0" borderId="0" xfId="1" applyNumberFormat="1" applyFont="1" applyFill="1" applyProtection="1"/>
    <xf numFmtId="37" fontId="1" fillId="0" borderId="0" xfId="0" applyNumberFormat="1" applyFont="1" applyFill="1" applyProtection="1"/>
    <xf numFmtId="37" fontId="2" fillId="0" borderId="0" xfId="0" applyNumberFormat="1" applyFont="1" applyProtection="1"/>
    <xf numFmtId="37" fontId="4" fillId="0" borderId="0" xfId="0" applyNumberFormat="1" applyFont="1" applyFill="1" applyProtection="1"/>
    <xf numFmtId="37" fontId="2" fillId="0" borderId="0" xfId="0" applyFont="1" applyFill="1"/>
    <xf numFmtId="37" fontId="2" fillId="0" borderId="0" xfId="0" applyNumberFormat="1" applyFont="1" applyFill="1" applyProtection="1"/>
    <xf numFmtId="37" fontId="1" fillId="0" borderId="0" xfId="0" applyFont="1" applyAlignment="1" applyProtection="1">
      <alignment horizontal="left" indent="1"/>
    </xf>
    <xf numFmtId="166" fontId="1" fillId="0" borderId="0" xfId="1" applyNumberFormat="1" applyFont="1" applyFill="1" applyProtection="1"/>
    <xf numFmtId="166" fontId="1" fillId="0" borderId="0" xfId="1" applyNumberFormat="1" applyFont="1" applyFill="1"/>
    <xf numFmtId="166" fontId="2" fillId="0" borderId="0" xfId="1" applyNumberFormat="1" applyFont="1" applyFill="1"/>
    <xf numFmtId="167" fontId="6" fillId="0" borderId="0" xfId="0" applyNumberFormat="1" applyFont="1" applyFill="1" applyProtection="1"/>
    <xf numFmtId="166" fontId="1" fillId="0" borderId="0" xfId="1" applyNumberFormat="1" applyFont="1" applyProtection="1"/>
    <xf numFmtId="167" fontId="1" fillId="0" borderId="0" xfId="0" applyNumberFormat="1" applyFont="1" applyProtection="1"/>
    <xf numFmtId="166" fontId="1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Protection="1"/>
    <xf numFmtId="166" fontId="1" fillId="0" borderId="1" xfId="1" applyNumberFormat="1" applyFont="1" applyFill="1" applyBorder="1" applyProtection="1"/>
    <xf numFmtId="166" fontId="1" fillId="0" borderId="2" xfId="1" applyNumberFormat="1" applyFont="1" applyBorder="1" applyProtection="1"/>
    <xf numFmtId="164" fontId="1" fillId="0" borderId="3" xfId="2" applyNumberFormat="1" applyFont="1" applyBorder="1" applyProtection="1"/>
    <xf numFmtId="164" fontId="1" fillId="0" borderId="3" xfId="2" applyNumberFormat="1" applyFont="1" applyFill="1" applyBorder="1" applyProtection="1"/>
    <xf numFmtId="10" fontId="1" fillId="0" borderId="0" xfId="0" applyNumberFormat="1" applyFont="1" applyBorder="1" applyProtection="1"/>
    <xf numFmtId="10" fontId="1" fillId="0" borderId="0" xfId="0" applyNumberFormat="1" applyFont="1" applyProtection="1"/>
    <xf numFmtId="10" fontId="2" fillId="0" borderId="0" xfId="0" applyNumberFormat="1" applyFont="1" applyBorder="1" applyProtection="1"/>
    <xf numFmtId="37" fontId="7" fillId="0" borderId="0" xfId="0" applyFont="1" applyAlignment="1">
      <alignment horizontal="right"/>
    </xf>
    <xf numFmtId="37" fontId="7" fillId="0" borderId="0" xfId="0" applyFont="1"/>
    <xf numFmtId="37" fontId="1" fillId="0" borderId="0" xfId="0" applyFont="1" applyProtection="1">
      <protection locked="0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Alignment="1" applyProtection="1">
      <alignment horizontal="right"/>
      <protection locked="0"/>
    </xf>
    <xf numFmtId="37" fontId="1" fillId="0" borderId="2" xfId="0" applyFont="1" applyBorder="1" applyAlignment="1" applyProtection="1">
      <alignment horizontal="left"/>
    </xf>
    <xf numFmtId="37" fontId="1" fillId="0" borderId="1" xfId="0" applyFont="1" applyBorder="1" applyAlignment="1" applyProtection="1">
      <alignment horizontal="left"/>
      <protection locked="0"/>
    </xf>
    <xf numFmtId="37" fontId="1" fillId="0" borderId="2" xfId="0" applyFont="1" applyBorder="1"/>
    <xf numFmtId="37" fontId="1" fillId="0" borderId="1" xfId="0" applyFont="1" applyBorder="1" applyAlignment="1" applyProtection="1">
      <alignment horizontal="right"/>
      <protection locked="0"/>
    </xf>
    <xf numFmtId="37" fontId="3" fillId="0" borderId="0" xfId="0" applyFont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0" borderId="1" xfId="0" applyFont="1" applyBorder="1" applyAlignment="1" applyProtection="1">
      <alignment horizontal="center"/>
      <protection locked="0"/>
    </xf>
    <xf numFmtId="37" fontId="1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1" fillId="0" borderId="2" xfId="0" applyFont="1" applyBorder="1" applyAlignment="1">
      <alignment horizontal="center"/>
    </xf>
    <xf numFmtId="37" fontId="3" fillId="0" borderId="0" xfId="0" applyFont="1"/>
    <xf numFmtId="37" fontId="1" fillId="0" borderId="0" xfId="0" applyFont="1" applyFill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4" fontId="1" fillId="0" borderId="0" xfId="2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37" fontId="1" fillId="0" borderId="0" xfId="0" applyNumberFormat="1" applyFont="1" applyFill="1" applyProtection="1">
      <protection locked="0"/>
    </xf>
    <xf numFmtId="37" fontId="1" fillId="0" borderId="0" xfId="0" applyNumberFormat="1" applyFont="1" applyProtection="1">
      <protection locked="0"/>
    </xf>
    <xf numFmtId="168" fontId="1" fillId="0" borderId="0" xfId="0" applyNumberFormat="1" applyFont="1" applyAlignment="1">
      <alignment horizontal="center"/>
    </xf>
    <xf numFmtId="37" fontId="1" fillId="0" borderId="0" xfId="0" applyNumberFormat="1" applyFont="1" applyFill="1"/>
    <xf numFmtId="166" fontId="1" fillId="0" borderId="0" xfId="1" applyNumberFormat="1" applyFont="1" applyFill="1" applyProtection="1">
      <protection locked="0"/>
    </xf>
    <xf numFmtId="166" fontId="1" fillId="0" borderId="0" xfId="1" quotePrefix="1" applyNumberFormat="1" applyFont="1" applyFill="1" applyProtection="1"/>
    <xf numFmtId="37" fontId="8" fillId="0" borderId="0" xfId="0" applyFont="1"/>
    <xf numFmtId="37" fontId="1" fillId="0" borderId="0" xfId="0" applyFont="1" applyAlignment="1" applyProtection="1">
      <alignment horizontal="left" indent="1"/>
      <protection locked="0"/>
    </xf>
    <xf numFmtId="37" fontId="1" fillId="0" borderId="0" xfId="0" applyFont="1" applyFill="1" applyAlignment="1">
      <alignment horizontal="center"/>
    </xf>
    <xf numFmtId="166" fontId="1" fillId="0" borderId="0" xfId="1" quotePrefix="1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</xf>
    <xf numFmtId="169" fontId="8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1" fillId="0" borderId="0" xfId="0" applyFont="1" applyFill="1" applyAlignment="1" applyProtection="1">
      <alignment horizontal="left" indent="1"/>
      <protection locked="0"/>
    </xf>
    <xf numFmtId="10" fontId="8" fillId="0" borderId="0" xfId="0" applyNumberFormat="1" applyFont="1" applyProtection="1"/>
    <xf numFmtId="37" fontId="1" fillId="0" borderId="1" xfId="0" applyNumberFormat="1" applyFont="1" applyBorder="1" applyProtection="1"/>
    <xf numFmtId="37" fontId="1" fillId="0" borderId="1" xfId="0" applyNumberFormat="1" applyFont="1" applyBorder="1" applyProtection="1">
      <protection locked="0"/>
    </xf>
    <xf numFmtId="37" fontId="1" fillId="0" borderId="2" xfId="0" applyNumberFormat="1" applyFont="1" applyBorder="1" applyProtection="1">
      <protection locked="0"/>
    </xf>
    <xf numFmtId="37" fontId="1" fillId="0" borderId="2" xfId="0" applyNumberFormat="1" applyFont="1" applyBorder="1" applyProtection="1"/>
    <xf numFmtId="37" fontId="1" fillId="0" borderId="0" xfId="0" applyNumberFormat="1" applyFont="1"/>
    <xf numFmtId="169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quotePrefix="1" applyNumberFormat="1" applyFont="1" applyProtection="1"/>
    <xf numFmtId="37" fontId="4" fillId="0" borderId="0" xfId="0" applyFont="1" applyAlignment="1">
      <alignment horizontal="right"/>
    </xf>
    <xf numFmtId="37" fontId="4" fillId="0" borderId="0" xfId="0" quotePrefix="1" applyNumberFormat="1" applyFont="1" applyProtection="1"/>
    <xf numFmtId="37" fontId="9" fillId="0" borderId="0" xfId="0" quotePrefix="1" applyFont="1"/>
    <xf numFmtId="37" fontId="10" fillId="0" borderId="0" xfId="0" quotePrefix="1" applyFont="1"/>
    <xf numFmtId="37" fontId="1" fillId="0" borderId="0" xfId="0" applyFont="1" applyBorder="1"/>
    <xf numFmtId="37" fontId="4" fillId="0" borderId="0" xfId="0" applyNumberFormat="1" applyFont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Continuous"/>
      <protection locked="0"/>
    </xf>
    <xf numFmtId="37" fontId="11" fillId="0" borderId="0" xfId="0" applyFont="1" applyAlignment="1">
      <alignment horizontal="centerContinuous"/>
    </xf>
    <xf numFmtId="37" fontId="11" fillId="0" borderId="0" xfId="0" applyFont="1" applyAlignment="1" applyProtection="1">
      <alignment horizontal="left"/>
    </xf>
    <xf numFmtId="37" fontId="11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  <protection locked="0"/>
    </xf>
    <xf numFmtId="37" fontId="11" fillId="0" borderId="1" xfId="0" applyFont="1" applyBorder="1" applyAlignment="1" applyProtection="1">
      <alignment horizontal="left"/>
    </xf>
    <xf numFmtId="37" fontId="11" fillId="0" borderId="1" xfId="0" applyFont="1" applyBorder="1"/>
    <xf numFmtId="37" fontId="11" fillId="0" borderId="2" xfId="0" applyFont="1" applyBorder="1" applyAlignment="1">
      <alignment horizontal="right"/>
    </xf>
    <xf numFmtId="37" fontId="11" fillId="0" borderId="0" xfId="0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center"/>
      <protection locked="0"/>
    </xf>
    <xf numFmtId="37" fontId="11" fillId="0" borderId="0" xfId="0" applyFont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1" fillId="0" borderId="0" xfId="0" applyFont="1" applyFill="1"/>
    <xf numFmtId="170" fontId="11" fillId="0" borderId="0" xfId="0" applyNumberFormat="1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 indent="2"/>
      <protection locked="0"/>
    </xf>
    <xf numFmtId="164" fontId="11" fillId="0" borderId="0" xfId="2" applyNumberFormat="1" applyFont="1" applyFill="1" applyProtection="1"/>
    <xf numFmtId="10" fontId="11" fillId="0" borderId="0" xfId="3" applyNumberFormat="1" applyFont="1"/>
    <xf numFmtId="170" fontId="11" fillId="0" borderId="0" xfId="0" applyNumberFormat="1" applyFont="1" applyFill="1" applyAlignment="1" applyProtection="1">
      <alignment horizontal="center"/>
      <protection locked="0"/>
    </xf>
    <xf numFmtId="37" fontId="11" fillId="0" borderId="0" xfId="0" applyFont="1" applyFill="1" applyAlignment="1" applyProtection="1">
      <alignment horizontal="left" indent="2"/>
      <protection locked="0"/>
    </xf>
    <xf numFmtId="166" fontId="11" fillId="0" borderId="0" xfId="1" applyNumberFormat="1" applyFont="1" applyFill="1" applyProtection="1"/>
    <xf numFmtId="166" fontId="11" fillId="0" borderId="2" xfId="1" applyNumberFormat="1" applyFont="1" applyFill="1" applyBorder="1" applyProtection="1"/>
    <xf numFmtId="37" fontId="11" fillId="0" borderId="0" xfId="0" applyFont="1" applyAlignment="1">
      <alignment horizontal="center"/>
    </xf>
    <xf numFmtId="166" fontId="11" fillId="0" borderId="0" xfId="1" applyNumberFormat="1" applyFont="1" applyFill="1" applyProtection="1">
      <protection locked="0"/>
    </xf>
    <xf numFmtId="170" fontId="11" fillId="0" borderId="0" xfId="0" applyNumberFormat="1" applyFont="1" applyBorder="1" applyAlignment="1" applyProtection="1">
      <alignment horizontal="center"/>
      <protection locked="0"/>
    </xf>
    <xf numFmtId="37" fontId="11" fillId="0" borderId="0" xfId="0" applyFont="1" applyBorder="1" applyAlignment="1" applyProtection="1">
      <alignment horizontal="left" indent="2"/>
      <protection locked="0"/>
    </xf>
    <xf numFmtId="37" fontId="13" fillId="0" borderId="0" xfId="0" applyFont="1"/>
    <xf numFmtId="164" fontId="11" fillId="0" borderId="4" xfId="2" applyNumberFormat="1" applyFont="1" applyFill="1" applyBorder="1" applyProtection="1"/>
    <xf numFmtId="37" fontId="13" fillId="0" borderId="0" xfId="0" applyFont="1" applyFill="1"/>
    <xf numFmtId="37" fontId="14" fillId="0" borderId="0" xfId="0" applyNumberFormat="1" applyFont="1" applyFill="1" applyProtection="1"/>
    <xf numFmtId="37" fontId="12" fillId="0" borderId="0" xfId="0" applyFont="1" applyAlignment="1" applyProtection="1">
      <alignment horizontal="left" indent="1"/>
      <protection locked="0"/>
    </xf>
    <xf numFmtId="166" fontId="11" fillId="0" borderId="0" xfId="1" applyNumberFormat="1" applyFont="1" applyFill="1"/>
    <xf numFmtId="170" fontId="11" fillId="0" borderId="0" xfId="0" applyNumberFormat="1" applyFont="1" applyAlignment="1" applyProtection="1">
      <alignment horizontal="center"/>
    </xf>
    <xf numFmtId="166" fontId="11" fillId="0" borderId="0" xfId="1" applyNumberFormat="1" applyFont="1" applyFill="1" applyBorder="1" applyProtection="1"/>
    <xf numFmtId="37" fontId="11" fillId="0" borderId="0" xfId="0" applyFont="1" applyAlignment="1" applyProtection="1">
      <alignment horizontal="left" indent="1"/>
      <protection locked="0"/>
    </xf>
    <xf numFmtId="164" fontId="11" fillId="0" borderId="2" xfId="2" applyNumberFormat="1" applyFont="1" applyFill="1" applyBorder="1" applyProtection="1"/>
    <xf numFmtId="164" fontId="11" fillId="0" borderId="0" xfId="2" applyNumberFormat="1" applyFont="1" applyFill="1" applyBorder="1" applyProtection="1"/>
    <xf numFmtId="170" fontId="11" fillId="0" borderId="0" xfId="0" applyNumberFormat="1" applyFont="1" applyAlignment="1">
      <alignment horizontal="center"/>
    </xf>
    <xf numFmtId="37" fontId="11" fillId="0" borderId="0" xfId="0" applyFont="1" applyAlignment="1" applyProtection="1">
      <alignment horizontal="left" indent="2"/>
    </xf>
    <xf numFmtId="37" fontId="11" fillId="0" borderId="0" xfId="0" quotePrefix="1" applyFont="1" applyAlignment="1">
      <alignment horizontal="center"/>
    </xf>
    <xf numFmtId="37" fontId="15" fillId="0" borderId="0" xfId="0" applyFont="1"/>
    <xf numFmtId="0" fontId="1" fillId="0" borderId="0" xfId="0" applyNumberFormat="1" applyFont="1" applyAlignment="1">
      <alignment horizontal="center"/>
    </xf>
    <xf numFmtId="37" fontId="0" fillId="0" borderId="0" xfId="0" applyFont="1"/>
    <xf numFmtId="37" fontId="12" fillId="0" borderId="0" xfId="0" applyFont="1" applyBorder="1" applyAlignment="1" applyProtection="1">
      <alignment horizontal="left" indent="1"/>
      <protection locked="0"/>
    </xf>
    <xf numFmtId="37" fontId="11" fillId="0" borderId="0" xfId="0" applyNumberFormat="1" applyFont="1" applyFill="1" applyProtection="1"/>
    <xf numFmtId="169" fontId="11" fillId="0" borderId="0" xfId="3" applyNumberFormat="1" applyFont="1"/>
    <xf numFmtId="171" fontId="11" fillId="0" borderId="0" xfId="0" applyNumberFormat="1" applyFont="1" applyAlignment="1" applyProtection="1">
      <alignment horizontal="center"/>
      <protection locked="0"/>
    </xf>
    <xf numFmtId="164" fontId="11" fillId="0" borderId="0" xfId="2" applyNumberFormat="1" applyFont="1" applyFill="1" applyProtection="1">
      <protection locked="0"/>
    </xf>
    <xf numFmtId="164" fontId="14" fillId="0" borderId="0" xfId="2" applyNumberFormat="1" applyFont="1" applyFill="1" applyProtection="1"/>
    <xf numFmtId="37" fontId="11" fillId="0" borderId="0" xfId="0" applyFont="1" applyAlignment="1" applyProtection="1">
      <protection locked="0"/>
    </xf>
    <xf numFmtId="37" fontId="11" fillId="0" borderId="0" xfId="0" applyFont="1" applyAlignment="1"/>
    <xf numFmtId="164" fontId="11" fillId="0" borderId="5" xfId="2" applyNumberFormat="1" applyFont="1" applyFill="1" applyBorder="1" applyProtection="1"/>
    <xf numFmtId="37" fontId="11" fillId="0" borderId="0" xfId="0" applyFont="1" applyAlignment="1" applyProtection="1"/>
    <xf numFmtId="37" fontId="1" fillId="0" borderId="0" xfId="0" applyFont="1" applyFill="1" applyBorder="1"/>
    <xf numFmtId="37" fontId="0" fillId="0" borderId="0" xfId="0" applyFill="1"/>
    <xf numFmtId="37" fontId="16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8" fillId="0" borderId="0" xfId="0" applyFont="1" applyFill="1"/>
    <xf numFmtId="37" fontId="1" fillId="0" borderId="0" xfId="0" applyFont="1" applyFill="1" applyAlignment="1" applyProtection="1">
      <alignment horizontal="right"/>
      <protection locked="0"/>
    </xf>
    <xf numFmtId="37" fontId="1" fillId="0" borderId="2" xfId="0" applyFont="1" applyFill="1" applyBorder="1" applyAlignment="1" applyProtection="1">
      <alignment horizontal="left"/>
    </xf>
    <xf numFmtId="37" fontId="1" fillId="0" borderId="2" xfId="0" applyFont="1" applyFill="1" applyBorder="1"/>
    <xf numFmtId="37" fontId="1" fillId="0" borderId="1" xfId="0" applyFont="1" applyFill="1" applyBorder="1"/>
    <xf numFmtId="37" fontId="1" fillId="0" borderId="1" xfId="0" applyFont="1" applyFill="1" applyBorder="1" applyAlignment="1" applyProtection="1">
      <alignment horizontal="right"/>
      <protection locked="0"/>
    </xf>
    <xf numFmtId="37" fontId="1" fillId="0" borderId="6" xfId="0" applyFont="1" applyFill="1" applyBorder="1" applyAlignment="1">
      <alignment horizontal="center"/>
    </xf>
    <xf numFmtId="37" fontId="1" fillId="0" borderId="4" xfId="0" applyFont="1" applyFill="1" applyBorder="1" applyAlignment="1">
      <alignment horizontal="center"/>
    </xf>
    <xf numFmtId="37" fontId="1" fillId="0" borderId="4" xfId="0" applyFont="1" applyFill="1" applyBorder="1" applyAlignment="1" applyProtection="1">
      <alignment horizontal="center"/>
      <protection locked="0"/>
    </xf>
    <xf numFmtId="37" fontId="8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1" fillId="0" borderId="7" xfId="0" applyFont="1" applyFill="1" applyBorder="1" applyAlignment="1">
      <alignment horizontal="center"/>
    </xf>
    <xf numFmtId="37" fontId="1" fillId="0" borderId="2" xfId="0" applyFont="1" applyFill="1" applyBorder="1" applyAlignment="1">
      <alignment horizontal="center"/>
    </xf>
    <xf numFmtId="37" fontId="1" fillId="0" borderId="2" xfId="0" applyFont="1" applyFill="1" applyBorder="1" applyAlignment="1" applyProtection="1">
      <alignment horizontal="center"/>
      <protection locked="0"/>
    </xf>
    <xf numFmtId="172" fontId="0" fillId="0" borderId="2" xfId="0" applyNumberFormat="1" applyFill="1" applyBorder="1" applyAlignment="1">
      <alignment horizontal="center"/>
    </xf>
    <xf numFmtId="37" fontId="1" fillId="0" borderId="8" xfId="0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7" fillId="0" borderId="0" xfId="0" applyFont="1"/>
    <xf numFmtId="37" fontId="11" fillId="0" borderId="0" xfId="0" applyFont="1" applyFill="1" applyAlignment="1">
      <alignment horizontal="right"/>
    </xf>
    <xf numFmtId="37" fontId="17" fillId="0" borderId="0" xfId="0" applyFont="1" applyFill="1"/>
    <xf numFmtId="170" fontId="1" fillId="0" borderId="0" xfId="0" applyNumberFormat="1" applyFont="1" applyFill="1" applyAlignment="1">
      <alignment horizontal="left"/>
    </xf>
    <xf numFmtId="37" fontId="18" fillId="0" borderId="0" xfId="0" applyFont="1" applyFill="1"/>
    <xf numFmtId="37" fontId="18" fillId="0" borderId="0" xfId="0" applyFont="1"/>
    <xf numFmtId="37" fontId="16" fillId="0" borderId="0" xfId="0" applyFont="1"/>
    <xf numFmtId="37" fontId="19" fillId="0" borderId="0" xfId="0" applyFont="1"/>
    <xf numFmtId="170" fontId="16" fillId="0" borderId="0" xfId="0" applyNumberFormat="1" applyFont="1" applyAlignment="1" applyProtection="1">
      <alignment horizontal="left"/>
      <protection locked="0"/>
    </xf>
    <xf numFmtId="0" fontId="16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left"/>
      <protection locked="0"/>
    </xf>
    <xf numFmtId="37" fontId="11" fillId="0" borderId="0" xfId="0" applyNumberFormat="1" applyFont="1" applyFill="1" applyBorder="1" applyProtection="1">
      <protection locked="0"/>
    </xf>
    <xf numFmtId="37" fontId="1" fillId="0" borderId="0" xfId="0" quotePrefix="1" applyFont="1" applyFill="1"/>
    <xf numFmtId="37" fontId="15" fillId="0" borderId="0" xfId="0" applyNumberFormat="1" applyFont="1" applyFill="1" applyBorder="1" applyProtection="1">
      <protection locked="0"/>
    </xf>
    <xf numFmtId="43" fontId="20" fillId="0" borderId="0" xfId="1" applyFont="1"/>
    <xf numFmtId="43" fontId="20" fillId="0" borderId="0" xfId="1" applyFont="1" applyFill="1"/>
    <xf numFmtId="5" fontId="1" fillId="0" borderId="3" xfId="0" applyNumberFormat="1" applyFont="1" applyBorder="1"/>
    <xf numFmtId="166" fontId="1" fillId="0" borderId="3" xfId="0" applyNumberFormat="1" applyFont="1" applyBorder="1"/>
    <xf numFmtId="5" fontId="1" fillId="0" borderId="0" xfId="0" applyNumberFormat="1" applyFont="1" applyBorder="1"/>
    <xf numFmtId="37" fontId="1" fillId="2" borderId="0" xfId="0" applyFont="1" applyFill="1"/>
    <xf numFmtId="10" fontId="1" fillId="0" borderId="0" xfId="3" applyNumberFormat="1" applyFont="1"/>
    <xf numFmtId="37" fontId="1" fillId="3" borderId="0" xfId="0" applyFont="1" applyFill="1"/>
    <xf numFmtId="37" fontId="0" fillId="3" borderId="0" xfId="0" applyFill="1"/>
    <xf numFmtId="37" fontId="8" fillId="0" borderId="0" xfId="0" applyFont="1" applyBorder="1"/>
    <xf numFmtId="39" fontId="0" fillId="0" borderId="0" xfId="0" applyNumberFormat="1"/>
    <xf numFmtId="37" fontId="1" fillId="0" borderId="0" xfId="0" applyFont="1" applyFill="1" applyAlignment="1">
      <alignment horizontal="centerContinuous"/>
    </xf>
    <xf numFmtId="37" fontId="3" fillId="0" borderId="0" xfId="0" applyFont="1" applyFill="1" applyAlignment="1">
      <alignment horizontal="centerContinuous"/>
    </xf>
    <xf numFmtId="37" fontId="21" fillId="0" borderId="0" xfId="0" applyFont="1" applyFill="1"/>
    <xf numFmtId="37" fontId="8" fillId="0" borderId="0" xfId="0" applyFont="1" applyFill="1" applyAlignment="1">
      <alignment horizontal="left"/>
    </xf>
    <xf numFmtId="37" fontId="1" fillId="0" borderId="1" xfId="0" applyFont="1" applyFill="1" applyBorder="1" applyAlignment="1" applyProtection="1">
      <alignment horizontal="left"/>
    </xf>
    <xf numFmtId="37" fontId="1" fillId="0" borderId="0" xfId="0" applyFont="1" applyFill="1" applyAlignment="1" applyProtection="1">
      <alignment horizontal="center"/>
      <protection locked="0"/>
    </xf>
    <xf numFmtId="37" fontId="1" fillId="0" borderId="9" xfId="0" applyFont="1" applyFill="1" applyBorder="1" applyAlignment="1" applyProtection="1">
      <alignment horizontal="center"/>
      <protection locked="0"/>
    </xf>
    <xf numFmtId="17" fontId="1" fillId="0" borderId="8" xfId="0" applyNumberFormat="1" applyFont="1" applyFill="1" applyBorder="1" applyAlignment="1">
      <alignment horizontal="center"/>
    </xf>
    <xf numFmtId="166" fontId="1" fillId="0" borderId="0" xfId="0" applyNumberFormat="1" applyFont="1" applyFill="1"/>
    <xf numFmtId="0" fontId="20" fillId="0" borderId="0" xfId="4" applyFont="1" applyFill="1"/>
    <xf numFmtId="5" fontId="1" fillId="0" borderId="3" xfId="0" applyNumberFormat="1" applyFont="1" applyFill="1" applyBorder="1"/>
    <xf numFmtId="166" fontId="1" fillId="0" borderId="0" xfId="1" applyNumberFormat="1" applyFont="1" applyFill="1" applyAlignment="1">
      <alignment horizontal="center"/>
    </xf>
    <xf numFmtId="37" fontId="1" fillId="0" borderId="0" xfId="0" applyFont="1" applyFill="1" applyAlignment="1">
      <alignment horizontal="left" indent="1"/>
    </xf>
    <xf numFmtId="10" fontId="1" fillId="0" borderId="2" xfId="3" applyNumberFormat="1" applyFont="1" applyFill="1" applyBorder="1"/>
    <xf numFmtId="37" fontId="8" fillId="0" borderId="0" xfId="0" applyFont="1" applyFill="1" applyBorder="1"/>
    <xf numFmtId="37" fontId="1" fillId="0" borderId="0" xfId="0" applyFont="1" applyFill="1" applyBorder="1" applyAlignment="1">
      <alignment horizontal="right"/>
    </xf>
    <xf numFmtId="43" fontId="1" fillId="0" borderId="0" xfId="1" applyFont="1" applyFill="1"/>
    <xf numFmtId="37" fontId="0" fillId="0" borderId="0" xfId="0" applyFont="1" applyFill="1" applyAlignment="1">
      <alignment horizontal="center"/>
    </xf>
    <xf numFmtId="10" fontId="1" fillId="0" borderId="0" xfId="3" applyNumberFormat="1" applyFont="1" applyFill="1"/>
    <xf numFmtId="37" fontId="1" fillId="0" borderId="0" xfId="0" applyFont="1" applyFill="1" applyBorder="1" applyAlignment="1">
      <alignment horizontal="center"/>
    </xf>
    <xf numFmtId="5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166" fontId="1" fillId="0" borderId="0" xfId="1" applyNumberFormat="1" applyFont="1" applyFill="1" applyAlignment="1">
      <alignment horizontal="left"/>
    </xf>
    <xf numFmtId="5" fontId="22" fillId="0" borderId="0" xfId="1" applyNumberFormat="1" applyFont="1" applyFill="1" applyBorder="1"/>
    <xf numFmtId="170" fontId="1" fillId="0" borderId="0" xfId="0" applyNumberFormat="1" applyFont="1" applyFill="1" applyAlignment="1" applyProtection="1">
      <alignment horizontal="left"/>
      <protection locked="0"/>
    </xf>
    <xf numFmtId="37" fontId="0" fillId="0" borderId="0" xfId="0" quotePrefix="1" applyFont="1" applyFill="1"/>
    <xf numFmtId="0" fontId="1" fillId="0" borderId="0" xfId="0" quotePrefix="1" applyNumberFormat="1" applyFont="1" applyFill="1" applyAlignment="1">
      <alignment horizontal="center"/>
    </xf>
    <xf numFmtId="169" fontId="22" fillId="0" borderId="0" xfId="3" applyNumberFormat="1" applyFont="1" applyFill="1"/>
    <xf numFmtId="37" fontId="1" fillId="0" borderId="0" xfId="0" applyFont="1" applyAlignment="1">
      <alignment horizontal="centerContinuous"/>
    </xf>
    <xf numFmtId="37" fontId="1" fillId="0" borderId="0" xfId="0" applyFont="1" applyAlignment="1"/>
    <xf numFmtId="37" fontId="1" fillId="0" borderId="0" xfId="0" applyFont="1" applyAlignment="1" applyProtection="1"/>
    <xf numFmtId="37" fontId="1" fillId="0" borderId="0" xfId="0" applyFont="1" applyBorder="1" applyAlignment="1" applyProtection="1"/>
    <xf numFmtId="37" fontId="1" fillId="0" borderId="0" xfId="0" applyFont="1" applyBorder="1" applyAlignment="1"/>
    <xf numFmtId="37" fontId="1" fillId="0" borderId="1" xfId="0" applyFont="1" applyBorder="1" applyAlignment="1"/>
    <xf numFmtId="37" fontId="1" fillId="0" borderId="2" xfId="0" applyFont="1" applyBorder="1" applyAlignment="1"/>
    <xf numFmtId="37" fontId="1" fillId="0" borderId="0" xfId="0" applyFont="1" applyBorder="1" applyAlignment="1" applyProtection="1">
      <alignment horizontal="center"/>
    </xf>
    <xf numFmtId="37" fontId="1" fillId="0" borderId="1" xfId="0" applyFont="1" applyBorder="1" applyAlignment="1" applyProtection="1"/>
    <xf numFmtId="164" fontId="1" fillId="0" borderId="0" xfId="2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37" fontId="1" fillId="0" borderId="2" xfId="0" applyNumberFormat="1" applyFont="1" applyBorder="1" applyAlignment="1" applyProtection="1">
      <alignment horizontal="right"/>
    </xf>
    <xf numFmtId="169" fontId="1" fillId="0" borderId="2" xfId="3" applyNumberFormat="1" applyFont="1" applyBorder="1" applyAlignment="1" applyProtection="1">
      <alignment horizontal="right"/>
    </xf>
    <xf numFmtId="37" fontId="19" fillId="0" borderId="0" xfId="0" applyFont="1" applyAlignment="1">
      <alignment horizontal="left" indent="1"/>
    </xf>
    <xf numFmtId="164" fontId="1" fillId="0" borderId="5" xfId="2" applyNumberFormat="1" applyFont="1" applyBorder="1" applyAlignment="1" applyProtection="1">
      <alignment horizontal="right"/>
    </xf>
    <xf numFmtId="164" fontId="19" fillId="0" borderId="5" xfId="2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19" fillId="0" borderId="0" xfId="0" applyNumberFormat="1" applyFont="1" applyBorder="1" applyAlignment="1" applyProtection="1">
      <alignment horizontal="right"/>
    </xf>
    <xf numFmtId="37" fontId="12" fillId="0" borderId="0" xfId="0" applyFont="1" applyAlignment="1"/>
    <xf numFmtId="37" fontId="1" fillId="0" borderId="0" xfId="0" applyFont="1" applyAlignment="1">
      <alignment horizontal="left" indent="2"/>
    </xf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10" fontId="1" fillId="0" borderId="2" xfId="3" applyNumberFormat="1" applyFont="1" applyBorder="1"/>
    <xf numFmtId="37" fontId="8" fillId="0" borderId="0" xfId="0" applyFont="1" applyAlignment="1"/>
    <xf numFmtId="37" fontId="1" fillId="0" borderId="0" xfId="0" applyFont="1" applyAlignment="1">
      <alignment horizontal="left" indent="3"/>
    </xf>
    <xf numFmtId="164" fontId="1" fillId="0" borderId="5" xfId="2" applyNumberFormat="1" applyFont="1" applyBorder="1"/>
    <xf numFmtId="37" fontId="12" fillId="0" borderId="0" xfId="0" applyFont="1" applyFill="1"/>
    <xf numFmtId="39" fontId="8" fillId="0" borderId="0" xfId="0" applyNumberFormat="1" applyFont="1"/>
    <xf numFmtId="37" fontId="1" fillId="0" borderId="0" xfId="0" applyFont="1" applyFill="1" applyAlignment="1">
      <alignment horizontal="left" indent="2"/>
    </xf>
    <xf numFmtId="37" fontId="1" fillId="0" borderId="0" xfId="0" applyFont="1" applyFill="1" applyAlignment="1"/>
    <xf numFmtId="10" fontId="1" fillId="0" borderId="0" xfId="3" applyNumberFormat="1" applyFont="1" applyFill="1" applyAlignment="1"/>
    <xf numFmtId="10" fontId="1" fillId="0" borderId="0" xfId="3" applyNumberFormat="1" applyFont="1" applyAlignment="1"/>
    <xf numFmtId="173" fontId="1" fillId="0" borderId="0" xfId="0" applyNumberFormat="1" applyFont="1" applyAlignment="1"/>
    <xf numFmtId="166" fontId="0" fillId="0" borderId="0" xfId="0" applyNumberFormat="1" applyFill="1"/>
    <xf numFmtId="37" fontId="1" fillId="0" borderId="0" xfId="0" applyFont="1" applyFill="1" applyAlignment="1">
      <alignment horizontal="center"/>
    </xf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11" fillId="0" borderId="0" xfId="0" applyFont="1" applyFill="1" applyAlignment="1" applyProtection="1">
      <alignment horizontal="center"/>
      <protection locked="0"/>
    </xf>
    <xf numFmtId="37" fontId="1" fillId="0" borderId="0" xfId="0" applyFont="1" applyFill="1" applyAlignment="1">
      <alignment horizontal="center"/>
    </xf>
    <xf numFmtId="37" fontId="11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.2.2 B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80" zoomScaleNormal="90" zoomScaleSheetLayoutView="8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3.21875" style="1" customWidth="1"/>
    <col min="5" max="5" width="2.33203125" style="1" customWidth="1"/>
    <col min="6" max="6" width="13.21875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66" t="s">
        <v>353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24">
      <c r="A2" s="266" t="s">
        <v>354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24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24">
      <c r="A4" s="266" t="s">
        <v>355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1</v>
      </c>
      <c r="I7" s="3"/>
      <c r="J7" s="4" t="s">
        <v>2</v>
      </c>
    </row>
    <row r="8" spans="1:24">
      <c r="A8" s="3" t="s">
        <v>3</v>
      </c>
      <c r="H8" s="3"/>
      <c r="I8" s="3"/>
      <c r="J8" s="5" t="s">
        <v>4</v>
      </c>
    </row>
    <row r="9" spans="1:24">
      <c r="A9" s="6" t="s">
        <v>5</v>
      </c>
      <c r="B9" s="7"/>
      <c r="C9" s="7"/>
      <c r="D9" s="7"/>
      <c r="E9" s="7"/>
      <c r="F9" s="7"/>
      <c r="G9" s="7"/>
      <c r="H9" s="6"/>
      <c r="I9" s="6"/>
      <c r="J9" s="8" t="s">
        <v>6</v>
      </c>
    </row>
    <row r="10" spans="1:24">
      <c r="D10" s="9" t="s">
        <v>7</v>
      </c>
      <c r="F10" s="10" t="s">
        <v>8</v>
      </c>
      <c r="J10" s="10" t="s">
        <v>8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9</v>
      </c>
      <c r="D11" s="10" t="s">
        <v>10</v>
      </c>
      <c r="F11" s="10" t="s">
        <v>10</v>
      </c>
      <c r="H11" s="10" t="s">
        <v>11</v>
      </c>
      <c r="J11" s="10" t="s">
        <v>10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12</v>
      </c>
      <c r="B12" s="7"/>
      <c r="C12" s="6" t="s">
        <v>13</v>
      </c>
      <c r="D12" s="12" t="s">
        <v>14</v>
      </c>
      <c r="E12" s="7"/>
      <c r="F12" s="12" t="s">
        <v>14</v>
      </c>
      <c r="G12" s="7"/>
      <c r="H12" s="12" t="s">
        <v>15</v>
      </c>
      <c r="I12" s="7"/>
      <c r="J12" s="12" t="s">
        <v>16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17</v>
      </c>
      <c r="D15" s="19">
        <f>+C.2!D14</f>
        <v>159895248.49216205</v>
      </c>
      <c r="E15" s="17"/>
      <c r="F15" s="19">
        <f>C.2!O14</f>
        <v>170729275.9114207</v>
      </c>
      <c r="G15" s="20"/>
      <c r="H15" s="21">
        <v>10416375</v>
      </c>
      <c r="I15" s="20"/>
      <c r="J15" s="21">
        <f>+F15+H15</f>
        <v>181145650.9114207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18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19</v>
      </c>
      <c r="D18" s="32">
        <f>+C.2!D17</f>
        <v>67852298.097500846</v>
      </c>
      <c r="E18" s="33"/>
      <c r="F18" s="32">
        <f>C.2!O17</f>
        <v>78709117.242809042</v>
      </c>
      <c r="G18" s="32"/>
      <c r="H18" s="32"/>
      <c r="I18" s="32"/>
      <c r="J18" s="32">
        <f>+F18+H18</f>
        <v>78709117.242809042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20</v>
      </c>
      <c r="D19" s="32">
        <f>SUM(C.2!D18:D25)</f>
        <v>27722313.12466871</v>
      </c>
      <c r="E19" s="33"/>
      <c r="F19" s="32">
        <f>SUM(C.2!O18:O25)</f>
        <v>26164029.229292534</v>
      </c>
      <c r="G19" s="32"/>
      <c r="H19" s="32">
        <v>52081.875</v>
      </c>
      <c r="I19" s="32"/>
      <c r="J19" s="32">
        <f>+F19+H19</f>
        <v>26216111.104292534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21</v>
      </c>
      <c r="D20" s="32">
        <f>+C.2!D26</f>
        <v>19287309.659369633</v>
      </c>
      <c r="E20" s="33"/>
      <c r="F20" s="32">
        <f>+C.2!O26</f>
        <v>21561512.250947833</v>
      </c>
      <c r="G20" s="36"/>
      <c r="H20" s="32"/>
      <c r="I20" s="36"/>
      <c r="J20" s="36">
        <f>+F20+H20</f>
        <v>21561512.250947833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22</v>
      </c>
      <c r="D21" s="32">
        <f>+C.2!D27</f>
        <v>6344332.8655121727</v>
      </c>
      <c r="E21" s="33"/>
      <c r="F21" s="32">
        <f>+C.2!O27</f>
        <v>6566445.2651408128</v>
      </c>
      <c r="G21" s="36"/>
      <c r="H21" s="32">
        <v>20791.084500000001</v>
      </c>
      <c r="I21" s="36"/>
      <c r="J21" s="36">
        <f>+F21+H21</f>
        <v>6587236.3496408127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23</v>
      </c>
      <c r="D23" s="41">
        <f>+E!E23</f>
        <v>11818977.753354946</v>
      </c>
      <c r="E23" s="38"/>
      <c r="F23" s="41">
        <f>E!G23</f>
        <v>10801686.154425904</v>
      </c>
      <c r="G23" s="36"/>
      <c r="H23" s="41">
        <f>((+H15-H19-H21)*0.06)+((+H15-H19-H21-((+H15-H19-H21)*0.06))*0.35)</f>
        <v>4023622.2937544999</v>
      </c>
      <c r="I23" s="36"/>
      <c r="J23" s="42">
        <f>+F23+H23</f>
        <v>14825308.448180404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24</v>
      </c>
      <c r="D24" s="21">
        <f>SUM(D18:D23)</f>
        <v>133025231.50040631</v>
      </c>
      <c r="F24" s="19">
        <f>SUM(F18:F23)</f>
        <v>143802790.14261612</v>
      </c>
      <c r="G24" s="20"/>
      <c r="H24" s="21">
        <f>SUM(H18:H23)</f>
        <v>4096495.2532544998</v>
      </c>
      <c r="I24" s="20"/>
      <c r="J24" s="21">
        <f>SUM(J18:J23)</f>
        <v>147899285.39587063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25</v>
      </c>
      <c r="D26" s="43">
        <f>D15-D24</f>
        <v>26870016.991755739</v>
      </c>
      <c r="F26" s="44">
        <f>F15-F24</f>
        <v>26926485.76880458</v>
      </c>
      <c r="G26" s="20"/>
      <c r="H26" s="44">
        <f>H15-H24</f>
        <v>6319879.7467455007</v>
      </c>
      <c r="I26" s="20"/>
      <c r="J26" s="43">
        <f>J15-J24</f>
        <v>33246365.515550077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26</v>
      </c>
      <c r="D28" s="32">
        <v>369386897.00335014</v>
      </c>
      <c r="E28" s="38"/>
      <c r="F28" s="32">
        <v>430095329.87132108</v>
      </c>
      <c r="G28" s="36"/>
      <c r="H28" s="36"/>
      <c r="I28" s="36"/>
      <c r="J28" s="36">
        <v>430095329.87132108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27</v>
      </c>
      <c r="D30" s="45">
        <f>(D26/D28)</f>
        <v>7.2742203932350216E-2</v>
      </c>
      <c r="F30" s="45">
        <f>(F26/F28)</f>
        <v>6.2605854792379706E-2</v>
      </c>
      <c r="H30" s="46"/>
      <c r="J30" s="45">
        <f>(J26/J28)</f>
        <v>7.7299991900625739E-2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2017-00349
ATTACHMENT 1
TO STAFF DR NO. 1-46
(SUPPLEMENT 01-03-18)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70" zoomScaleNormal="90" zoomScaleSheetLayoutView="7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3.109375" style="1" bestFit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2.88671875" style="1" customWidth="1"/>
    <col min="12" max="12" width="1.44140625" style="1" customWidth="1"/>
    <col min="13" max="13" width="11.5546875" style="1" customWidth="1"/>
    <col min="14" max="14" width="14.5546875" style="1" customWidth="1"/>
    <col min="15" max="15" width="13.4414062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67" t="s">
        <v>353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20">
      <c r="A2" s="267" t="s">
        <v>354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20">
      <c r="A3" s="267" t="s">
        <v>28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20">
      <c r="A4" s="267" t="s">
        <v>356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20">
      <c r="A5" s="267" t="s">
        <v>355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29</v>
      </c>
    </row>
    <row r="8" spans="1:20">
      <c r="A8" s="3" t="str">
        <f>C.1!A8</f>
        <v>Type of Filing:___X____Original________Updated ________Revised</v>
      </c>
      <c r="K8" s="51"/>
      <c r="O8" s="52" t="s">
        <v>30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 t="s">
        <v>6</v>
      </c>
      <c r="K9" s="54"/>
      <c r="L9" s="7"/>
      <c r="M9" s="55"/>
      <c r="N9" s="55"/>
      <c r="O9" s="56" t="str">
        <f>C.1!J9</f>
        <v>Witness: Waller, Martin</v>
      </c>
    </row>
    <row r="10" spans="1:20">
      <c r="D10" s="10" t="s">
        <v>31</v>
      </c>
      <c r="G10" s="57"/>
      <c r="H10" s="9" t="s">
        <v>32</v>
      </c>
      <c r="K10" s="10" t="s">
        <v>8</v>
      </c>
      <c r="O10" s="9" t="s">
        <v>33</v>
      </c>
    </row>
    <row r="11" spans="1:20">
      <c r="A11" s="58" t="s">
        <v>9</v>
      </c>
      <c r="C11" s="10" t="s">
        <v>34</v>
      </c>
      <c r="D11" s="58" t="s">
        <v>35</v>
      </c>
      <c r="F11" s="9" t="s">
        <v>36</v>
      </c>
      <c r="G11" s="9" t="s">
        <v>37</v>
      </c>
      <c r="H11" s="10" t="s">
        <v>38</v>
      </c>
      <c r="I11" s="9" t="s">
        <v>37</v>
      </c>
      <c r="K11" s="58" t="s">
        <v>35</v>
      </c>
      <c r="M11" s="9" t="s">
        <v>39</v>
      </c>
      <c r="N11" s="9" t="s">
        <v>37</v>
      </c>
      <c r="O11" s="9" t="s">
        <v>40</v>
      </c>
    </row>
    <row r="12" spans="1:20">
      <c r="A12" s="59" t="s">
        <v>12</v>
      </c>
      <c r="B12" s="7"/>
      <c r="C12" s="59" t="s">
        <v>41</v>
      </c>
      <c r="D12" s="12" t="s">
        <v>42</v>
      </c>
      <c r="E12" s="7"/>
      <c r="F12" s="12" t="s">
        <v>43</v>
      </c>
      <c r="G12" s="60" t="s">
        <v>44</v>
      </c>
      <c r="H12" s="12" t="s">
        <v>45</v>
      </c>
      <c r="I12" s="60" t="s">
        <v>44</v>
      </c>
      <c r="J12" s="7"/>
      <c r="K12" s="12" t="s">
        <v>42</v>
      </c>
      <c r="L12" s="7"/>
      <c r="M12" s="61" t="s">
        <v>43</v>
      </c>
      <c r="N12" s="60" t="s">
        <v>44</v>
      </c>
      <c r="O12" s="62" t="s">
        <v>46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17</v>
      </c>
      <c r="D14" s="67">
        <f>+'C.2.1 B'!D32</f>
        <v>159895248.49216205</v>
      </c>
      <c r="E14" s="17"/>
      <c r="F14" s="19">
        <f>+K14-D14</f>
        <v>10834027.419258654</v>
      </c>
      <c r="G14" s="68" t="s">
        <v>47</v>
      </c>
      <c r="H14" s="26"/>
      <c r="I14" s="17"/>
      <c r="J14" s="17"/>
      <c r="K14" s="67">
        <v>170729275.9114207</v>
      </c>
      <c r="L14" s="69"/>
      <c r="M14" s="19">
        <v>0</v>
      </c>
      <c r="N14" s="69"/>
      <c r="O14" s="19">
        <f>+K14+M14</f>
        <v>170729275.9114207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18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19</v>
      </c>
      <c r="D17" s="73">
        <f>+'C.2.1 B'!D104</f>
        <v>67852298.097500846</v>
      </c>
      <c r="E17" s="17"/>
      <c r="F17" s="32">
        <f t="shared" ref="F17:F28" si="0">+K17-D17-H17</f>
        <v>10856819.145308197</v>
      </c>
      <c r="G17" s="68" t="s">
        <v>47</v>
      </c>
      <c r="H17" s="26"/>
      <c r="I17" s="17"/>
      <c r="J17" s="17"/>
      <c r="K17" s="73">
        <v>78709117.242809042</v>
      </c>
      <c r="L17" s="69"/>
      <c r="M17" s="32">
        <v>0</v>
      </c>
      <c r="N17" s="69"/>
      <c r="O17" s="32">
        <f t="shared" ref="O17:O22" si="1">+K17+M17</f>
        <v>78709117.242809042</v>
      </c>
      <c r="P17" s="70"/>
      <c r="Q17" s="46"/>
      <c r="S17" s="46"/>
      <c r="T17" s="70"/>
    </row>
    <row r="18" spans="1:23">
      <c r="A18" s="66">
        <v>5</v>
      </c>
      <c r="C18" s="31" t="s">
        <v>48</v>
      </c>
      <c r="D18" s="74">
        <f>+'C.2.1 B'!D38+'C.2.1 B'!D42</f>
        <v>0</v>
      </c>
      <c r="E18" s="17"/>
      <c r="F18" s="32">
        <f t="shared" si="0"/>
        <v>0</v>
      </c>
      <c r="G18" s="68" t="s">
        <v>47</v>
      </c>
      <c r="H18" s="26"/>
      <c r="I18" s="17"/>
      <c r="J18" s="17"/>
      <c r="K18" s="73">
        <v>0</v>
      </c>
      <c r="L18" s="26"/>
      <c r="M18" s="32">
        <v>0</v>
      </c>
      <c r="N18" s="26"/>
      <c r="O18" s="32">
        <f t="shared" si="1"/>
        <v>0</v>
      </c>
      <c r="P18" s="70"/>
    </row>
    <row r="19" spans="1:23">
      <c r="A19" s="71">
        <v>6</v>
      </c>
      <c r="C19" s="31" t="s">
        <v>49</v>
      </c>
      <c r="D19" s="74">
        <f>+'C.2.1 B'!D54+'C.2.1 B'!D64</f>
        <v>409760.482219889</v>
      </c>
      <c r="E19" s="17"/>
      <c r="F19" s="32">
        <f t="shared" si="0"/>
        <v>-4779.1565822432167</v>
      </c>
      <c r="G19" s="68" t="s">
        <v>47</v>
      </c>
      <c r="H19" s="26"/>
      <c r="I19" s="17"/>
      <c r="J19" s="17"/>
      <c r="K19" s="73">
        <v>404981.32563764579</v>
      </c>
      <c r="L19" s="26"/>
      <c r="M19" s="32">
        <v>0</v>
      </c>
      <c r="N19" s="26"/>
      <c r="O19" s="32">
        <f t="shared" si="1"/>
        <v>404981.32563764579</v>
      </c>
      <c r="P19" s="70"/>
    </row>
    <row r="20" spans="1:23">
      <c r="A20" s="66">
        <v>7</v>
      </c>
      <c r="C20" s="31" t="s">
        <v>50</v>
      </c>
      <c r="D20" s="74">
        <f>+'C.2.1 B'!D74+'C.2.1 B'!D82</f>
        <v>317625.50112569227</v>
      </c>
      <c r="E20" s="17"/>
      <c r="F20" s="32">
        <f t="shared" si="0"/>
        <v>-46952.629715375893</v>
      </c>
      <c r="G20" s="68" t="s">
        <v>47</v>
      </c>
      <c r="H20" s="26"/>
      <c r="I20" s="17"/>
      <c r="J20" s="17"/>
      <c r="K20" s="73">
        <v>270672.87141031638</v>
      </c>
      <c r="L20" s="26"/>
      <c r="M20" s="32">
        <v>0</v>
      </c>
      <c r="N20" s="26"/>
      <c r="O20" s="32">
        <f t="shared" si="1"/>
        <v>270672.87141031638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51</v>
      </c>
      <c r="D21" s="74">
        <f>+'C.2.1 B'!D119+'C.2.1 B'!D132</f>
        <v>8018297.2242750525</v>
      </c>
      <c r="E21" s="17"/>
      <c r="F21" s="32">
        <f t="shared" si="0"/>
        <v>-1242753.6020005755</v>
      </c>
      <c r="G21" s="68" t="s">
        <v>47</v>
      </c>
      <c r="H21" s="26"/>
      <c r="I21" s="77" t="s">
        <v>52</v>
      </c>
      <c r="J21" s="17"/>
      <c r="K21" s="78">
        <v>6775543.622274477</v>
      </c>
      <c r="L21" s="26"/>
      <c r="M21" s="32">
        <v>0</v>
      </c>
      <c r="N21" s="79"/>
      <c r="O21" s="32">
        <f t="shared" si="1"/>
        <v>6775543.622274477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53</v>
      </c>
      <c r="D22" s="74">
        <f>+'C.2.1 B'!D139</f>
        <v>3651250.4105389109</v>
      </c>
      <c r="E22" s="17"/>
      <c r="F22" s="32">
        <f t="shared" si="0"/>
        <v>-274484.57610795368</v>
      </c>
      <c r="G22" s="68" t="s">
        <v>47</v>
      </c>
      <c r="H22" s="26"/>
      <c r="I22" s="77" t="s">
        <v>52</v>
      </c>
      <c r="J22" s="17"/>
      <c r="K22" s="73">
        <v>3376765.8344309572</v>
      </c>
      <c r="L22" s="26"/>
      <c r="M22" s="32">
        <v>0</v>
      </c>
      <c r="N22" s="26"/>
      <c r="O22" s="32">
        <f t="shared" si="1"/>
        <v>3376765.8344309572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54</v>
      </c>
      <c r="D23" s="73">
        <f>+'C.2.1 B'!D146</f>
        <v>133120.95831311247</v>
      </c>
      <c r="E23" s="17"/>
      <c r="F23" s="32">
        <f t="shared" si="0"/>
        <v>492.6478545475693</v>
      </c>
      <c r="G23" s="68" t="s">
        <v>47</v>
      </c>
      <c r="H23" s="26"/>
      <c r="I23" s="77" t="s">
        <v>52</v>
      </c>
      <c r="J23" s="17"/>
      <c r="K23" s="73">
        <v>133613.60616766004</v>
      </c>
      <c r="L23" s="69"/>
      <c r="M23" s="32">
        <v>0</v>
      </c>
      <c r="N23" s="79"/>
      <c r="O23" s="32">
        <f>+K23+M23</f>
        <v>133613.60616766004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55</v>
      </c>
      <c r="D24" s="73">
        <f>+'C.2.1 B'!D153</f>
        <v>408539.59783227136</v>
      </c>
      <c r="E24" s="17"/>
      <c r="F24" s="32">
        <f t="shared" si="0"/>
        <v>35195.031665820978</v>
      </c>
      <c r="G24" s="68" t="s">
        <v>47</v>
      </c>
      <c r="H24" s="26"/>
      <c r="I24" s="77" t="s">
        <v>52</v>
      </c>
      <c r="J24" s="17"/>
      <c r="K24" s="73">
        <v>443734.62949809234</v>
      </c>
      <c r="L24" s="69"/>
      <c r="M24" s="32">
        <v>-86665.388132007472</v>
      </c>
      <c r="N24" s="79" t="s">
        <v>56</v>
      </c>
      <c r="O24" s="32">
        <f>+K24+M24</f>
        <v>357069.2413660849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57</v>
      </c>
      <c r="D25" s="73">
        <f>+'C.2.1 B'!D167+'C.2.1 B'!D171</f>
        <v>14783718.950363779</v>
      </c>
      <c r="E25" s="17"/>
      <c r="F25" s="32">
        <f t="shared" si="0"/>
        <v>1375202.7872962244</v>
      </c>
      <c r="G25" s="68" t="s">
        <v>47</v>
      </c>
      <c r="H25" s="26"/>
      <c r="I25" s="77" t="s">
        <v>52</v>
      </c>
      <c r="J25" s="17"/>
      <c r="K25" s="73">
        <v>16158921.737660004</v>
      </c>
      <c r="L25" s="69"/>
      <c r="M25" s="32">
        <v>-1313539.0096546118</v>
      </c>
      <c r="N25" s="79" t="s">
        <v>58</v>
      </c>
      <c r="O25" s="32">
        <f>+K25+M25</f>
        <v>14845382.728005392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59</v>
      </c>
      <c r="D26" s="73">
        <f>+'C.2.1 B'!D175</f>
        <v>19287309.659369633</v>
      </c>
      <c r="E26" s="17"/>
      <c r="F26" s="32">
        <f t="shared" si="0"/>
        <v>2274202.5915782005</v>
      </c>
      <c r="G26" s="68" t="s">
        <v>47</v>
      </c>
      <c r="H26" s="26"/>
      <c r="I26" s="17"/>
      <c r="J26" s="17"/>
      <c r="K26" s="73">
        <v>21561512.250947833</v>
      </c>
      <c r="L26" s="69"/>
      <c r="M26" s="32">
        <f>O26-K26</f>
        <v>0</v>
      </c>
      <c r="N26" s="69"/>
      <c r="O26" s="73">
        <v>21561512.250947833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60</v>
      </c>
      <c r="D27" s="73">
        <f>+'C.2.1 B'!D176</f>
        <v>6344332.8655121727</v>
      </c>
      <c r="F27" s="36">
        <f t="shared" si="0"/>
        <v>222112.39962864015</v>
      </c>
      <c r="G27" s="2" t="s">
        <v>47</v>
      </c>
      <c r="H27" s="20"/>
      <c r="K27" s="73">
        <v>6566445.2651408128</v>
      </c>
      <c r="L27" s="26"/>
      <c r="M27" s="32">
        <v>0</v>
      </c>
      <c r="N27" s="79"/>
      <c r="O27" s="36">
        <f>+K27+M27</f>
        <v>6566445.2651408128</v>
      </c>
      <c r="P27" s="70"/>
      <c r="Q27" s="46"/>
      <c r="S27" s="46"/>
      <c r="T27" s="20"/>
    </row>
    <row r="28" spans="1:23">
      <c r="A28" s="66">
        <v>15</v>
      </c>
      <c r="C28" s="82" t="s">
        <v>61</v>
      </c>
      <c r="D28" s="73">
        <f>+'C.2.1 B'!D177</f>
        <v>11818977.753354946</v>
      </c>
      <c r="F28" s="36">
        <f t="shared" si="0"/>
        <v>-1017291.598929042</v>
      </c>
      <c r="H28" s="20"/>
      <c r="K28" s="73">
        <v>10801686.154425904</v>
      </c>
      <c r="L28" s="69"/>
      <c r="M28" s="73">
        <f>+O28-K28</f>
        <v>0</v>
      </c>
      <c r="N28" s="68"/>
      <c r="O28" s="73">
        <f>+E!G23</f>
        <v>10801686.154425904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24</v>
      </c>
      <c r="D31" s="21">
        <f>SUM(D17:D29)</f>
        <v>133025231.50040632</v>
      </c>
      <c r="F31" s="21">
        <f>SUM(F17:F29)</f>
        <v>12177763.03999644</v>
      </c>
      <c r="H31" s="21">
        <f>SUM(H21:H29)</f>
        <v>0</v>
      </c>
      <c r="K31" s="21">
        <f>SUM(K17:K29)</f>
        <v>145202994.54040271</v>
      </c>
      <c r="L31" s="20"/>
      <c r="M31" s="21">
        <f>SUM(M17:M29)</f>
        <v>-1400204.3977866194</v>
      </c>
      <c r="N31" s="20"/>
      <c r="O31" s="21">
        <f>SUM(O17:O29)</f>
        <v>143802790.14261612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62</v>
      </c>
      <c r="D33" s="43">
        <f>D14-D31</f>
        <v>26870016.991755724</v>
      </c>
      <c r="F33" s="43">
        <f>F14-F31</f>
        <v>-1343735.6207377855</v>
      </c>
      <c r="H33" s="43">
        <f>H14-H31</f>
        <v>0</v>
      </c>
      <c r="K33" s="43">
        <f>K14-K31</f>
        <v>25526281.371017992</v>
      </c>
      <c r="L33" s="20"/>
      <c r="M33" s="43">
        <f>M14-M31</f>
        <v>1400204.3977866194</v>
      </c>
      <c r="N33" s="20"/>
      <c r="O33" s="43">
        <f>O14-O31</f>
        <v>26926485.76880458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80" orientation="landscape" verticalDpi="300" r:id="rId1"/>
  <headerFooter alignWithMargins="0">
    <oddHeader>&amp;R&amp;9CASE NO. 2017-00349
ATTACHMENT 1
TO STAFF DR NO. 1-46
(SUPPLEMENT 01-03-18)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M24" sqref="M24:M25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3.10937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68" t="s">
        <v>353</v>
      </c>
      <c r="B1" s="268"/>
      <c r="C1" s="268"/>
      <c r="D1" s="268"/>
    </row>
    <row r="2" spans="1:7" ht="15.75" customHeight="1">
      <c r="A2" s="268" t="s">
        <v>354</v>
      </c>
      <c r="B2" s="268"/>
      <c r="C2" s="268"/>
      <c r="D2" s="268"/>
    </row>
    <row r="3" spans="1:7" ht="15.75" customHeight="1">
      <c r="A3" s="268" t="s">
        <v>63</v>
      </c>
      <c r="B3" s="268"/>
      <c r="C3" s="268"/>
      <c r="D3" s="268"/>
    </row>
    <row r="4" spans="1:7" ht="15.75" customHeight="1">
      <c r="A4" s="268" t="s">
        <v>356</v>
      </c>
      <c r="B4" s="268"/>
      <c r="C4" s="268"/>
      <c r="D4" s="268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64</v>
      </c>
      <c r="D6" s="102" t="s">
        <v>65</v>
      </c>
    </row>
    <row r="7" spans="1:7" ht="15.75" customHeight="1">
      <c r="A7" s="3" t="s">
        <v>3</v>
      </c>
      <c r="D7" s="103" t="s">
        <v>66</v>
      </c>
    </row>
    <row r="8" spans="1:7" ht="15.75" customHeight="1">
      <c r="A8" s="104" t="s">
        <v>5</v>
      </c>
      <c r="B8" s="105"/>
      <c r="C8" s="105"/>
      <c r="D8" s="106" t="str">
        <f>C.1!J9</f>
        <v>Witness: Waller, Martin</v>
      </c>
    </row>
    <row r="9" spans="1:7" ht="15.75" customHeight="1">
      <c r="D9" s="107"/>
    </row>
    <row r="10" spans="1:7" ht="15.75" customHeight="1">
      <c r="A10" s="108" t="s">
        <v>9</v>
      </c>
      <c r="B10" s="107" t="s">
        <v>67</v>
      </c>
      <c r="C10" s="108" t="s">
        <v>67</v>
      </c>
      <c r="D10" s="107" t="s">
        <v>68</v>
      </c>
    </row>
    <row r="11" spans="1:7" ht="15.75" customHeight="1">
      <c r="A11" s="109" t="s">
        <v>12</v>
      </c>
      <c r="B11" s="110" t="s">
        <v>69</v>
      </c>
      <c r="C11" s="109" t="s">
        <v>70</v>
      </c>
      <c r="D11" s="110" t="s">
        <v>71</v>
      </c>
    </row>
    <row r="12" spans="1:7" ht="15.75" customHeight="1">
      <c r="D12" s="107" t="s">
        <v>72</v>
      </c>
    </row>
    <row r="13" spans="1:7" ht="15.75" customHeight="1">
      <c r="A13" s="107">
        <v>1</v>
      </c>
      <c r="B13" s="111"/>
      <c r="C13" s="112" t="s">
        <v>73</v>
      </c>
    </row>
    <row r="14" spans="1:7" ht="15.75" customHeight="1">
      <c r="A14" s="107">
        <f>A13+1</f>
        <v>2</v>
      </c>
      <c r="B14" s="111"/>
      <c r="C14" s="112" t="s">
        <v>74</v>
      </c>
      <c r="D14" s="113"/>
    </row>
    <row r="15" spans="1:7" ht="15.75" customHeight="1">
      <c r="A15" s="107">
        <f t="shared" ref="A15:A78" si="0">A14+1</f>
        <v>3</v>
      </c>
      <c r="B15" s="114">
        <v>4800</v>
      </c>
      <c r="C15" s="115" t="s">
        <v>75</v>
      </c>
      <c r="D15" s="116">
        <f>-'C.2.2 B 09'!P17</f>
        <v>90226884.783642963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76</v>
      </c>
      <c r="D16" s="120">
        <f>-'C.2.2 B 09'!P18</f>
        <v>-194272.2799999998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77</v>
      </c>
      <c r="D17" s="120">
        <f>-'C.2.2 B 09'!P19</f>
        <v>38172844.463492312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78</v>
      </c>
      <c r="D18" s="120">
        <f>-'C.2.2 B 09'!P20</f>
        <v>6580200.8478475371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79</v>
      </c>
      <c r="D19" s="120">
        <f>-'C.2.2 B 09'!P21</f>
        <v>-127946.81999999995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80</v>
      </c>
      <c r="D20" s="120">
        <f>-'C.2.2 B 09'!P22</f>
        <v>-85841.330000000045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81</v>
      </c>
      <c r="D21" s="120">
        <f>-'C.2.2 B 09'!P23</f>
        <v>6175362.2238076292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82</v>
      </c>
      <c r="D22" s="121">
        <f>-'C.2.2 B 09'!P24</f>
        <v>12409.99000000002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83</v>
      </c>
      <c r="D23" s="116">
        <f>SUM(D15:D22)</f>
        <v>140759641.87879047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84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85</v>
      </c>
      <c r="D26" s="116">
        <f>-'C.2.2 B 09'!P25</f>
        <v>1221395.3864652091</v>
      </c>
    </row>
    <row r="27" spans="1:8" ht="15.75" customHeight="1">
      <c r="A27" s="107">
        <f t="shared" si="0"/>
        <v>15</v>
      </c>
      <c r="B27" s="114">
        <v>4880</v>
      </c>
      <c r="C27" s="115" t="s">
        <v>86</v>
      </c>
      <c r="D27" s="120">
        <f>-'C.2.2 B 09'!P26</f>
        <v>816236</v>
      </c>
    </row>
    <row r="28" spans="1:8" ht="15.75" customHeight="1">
      <c r="A28" s="107">
        <f t="shared" si="0"/>
        <v>16</v>
      </c>
      <c r="B28" s="124">
        <v>4893</v>
      </c>
      <c r="C28" s="125" t="s">
        <v>87</v>
      </c>
      <c r="D28" s="120">
        <f>-'C.2.2 B 09'!P27</f>
        <v>16867853.2031013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88</v>
      </c>
      <c r="D29" s="120">
        <f>-'C.2.2 B 09'!P28</f>
        <v>230122.0238050755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89</v>
      </c>
      <c r="D30" s="127">
        <f>SUM(D26:D29)</f>
        <v>19135606.613371585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90</v>
      </c>
      <c r="D32" s="116">
        <f>D23+D30</f>
        <v>159895248.49216205</v>
      </c>
      <c r="E32" s="129"/>
      <c r="F32" s="113">
        <f>-'C.2.2 B 09'!Q31</f>
        <v>0</v>
      </c>
      <c r="G32" s="113">
        <f>D32-F32</f>
        <v>159895248.49216205</v>
      </c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91</v>
      </c>
      <c r="D34" s="123"/>
    </row>
    <row r="35" spans="1:7" ht="15.75" customHeight="1">
      <c r="A35" s="107">
        <f t="shared" si="0"/>
        <v>23</v>
      </c>
      <c r="B35" s="122"/>
      <c r="C35" s="130" t="s">
        <v>92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93</v>
      </c>
      <c r="D36" s="133">
        <f>'C.2.2 B 09'!P29</f>
        <v>0</v>
      </c>
    </row>
    <row r="37" spans="1:7" ht="15.75" customHeight="1">
      <c r="A37" s="107">
        <f t="shared" si="0"/>
        <v>25</v>
      </c>
      <c r="B37" s="132">
        <v>7590</v>
      </c>
      <c r="C37" s="115" t="s">
        <v>94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95</v>
      </c>
      <c r="D38" s="116">
        <f>SUM(D36:D37)</f>
        <v>0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96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97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98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99</v>
      </c>
      <c r="D44" s="136">
        <f>'C.2.2 B 09'!P46</f>
        <v>0</v>
      </c>
    </row>
    <row r="45" spans="1:7" ht="15.75" customHeight="1">
      <c r="A45" s="107">
        <f t="shared" si="0"/>
        <v>33</v>
      </c>
      <c r="B45" s="132">
        <v>8150</v>
      </c>
      <c r="C45" s="115" t="s">
        <v>100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101</v>
      </c>
      <c r="D46" s="133">
        <f>'C.2.2 B 09'!P47</f>
        <v>98582.733329915704</v>
      </c>
    </row>
    <row r="47" spans="1:7" ht="15.75" customHeight="1">
      <c r="A47" s="107">
        <f t="shared" si="0"/>
        <v>35</v>
      </c>
      <c r="B47" s="132">
        <v>8170</v>
      </c>
      <c r="C47" s="115" t="s">
        <v>102</v>
      </c>
      <c r="D47" s="133">
        <f>'C.2.2 B 09'!P48</f>
        <v>53442.066346582047</v>
      </c>
    </row>
    <row r="48" spans="1:7" ht="15.75" customHeight="1">
      <c r="A48" s="107">
        <f t="shared" si="0"/>
        <v>36</v>
      </c>
      <c r="B48" s="132">
        <v>8180</v>
      </c>
      <c r="C48" s="115" t="s">
        <v>103</v>
      </c>
      <c r="D48" s="133">
        <f>'C.2.2 B 09'!P49</f>
        <v>42304.852855980847</v>
      </c>
    </row>
    <row r="49" spans="1:4" ht="15.75" customHeight="1">
      <c r="A49" s="107">
        <f t="shared" si="0"/>
        <v>37</v>
      </c>
      <c r="B49" s="137">
        <v>8190</v>
      </c>
      <c r="C49" s="138" t="s">
        <v>104</v>
      </c>
      <c r="D49" s="133">
        <f>'C.2.2 B 09'!P50</f>
        <v>1159.4875184843727</v>
      </c>
    </row>
    <row r="50" spans="1:4" ht="15.75" customHeight="1">
      <c r="A50" s="107">
        <f t="shared" si="0"/>
        <v>38</v>
      </c>
      <c r="B50" s="137">
        <v>8200</v>
      </c>
      <c r="C50" s="138" t="s">
        <v>105</v>
      </c>
      <c r="D50" s="133">
        <f>'C.2.2 B 09'!P51</f>
        <v>7914.8312545921544</v>
      </c>
    </row>
    <row r="51" spans="1:4" ht="15.75" customHeight="1">
      <c r="A51" s="107">
        <f t="shared" si="0"/>
        <v>39</v>
      </c>
      <c r="B51" s="137">
        <v>8210</v>
      </c>
      <c r="C51" s="138" t="s">
        <v>106</v>
      </c>
      <c r="D51" s="133">
        <f>'C.2.2 B 09'!P52</f>
        <v>16658.286386832438</v>
      </c>
    </row>
    <row r="52" spans="1:4" ht="15.75" customHeight="1">
      <c r="A52" s="107">
        <f t="shared" si="0"/>
        <v>40</v>
      </c>
      <c r="B52" s="137">
        <v>8240</v>
      </c>
      <c r="C52" s="138" t="s">
        <v>107</v>
      </c>
      <c r="D52" s="133">
        <f>'C.2.2 B 09'!P53</f>
        <v>0</v>
      </c>
    </row>
    <row r="53" spans="1:4" ht="15.75" customHeight="1">
      <c r="A53" s="107">
        <f t="shared" si="0"/>
        <v>41</v>
      </c>
      <c r="B53" s="137">
        <v>8250</v>
      </c>
      <c r="C53" s="138" t="s">
        <v>108</v>
      </c>
      <c r="D53" s="121">
        <f>'C.2.2 B 09'!P54</f>
        <v>8180.1557628995006</v>
      </c>
    </row>
    <row r="54" spans="1:4" ht="15.75" customHeight="1">
      <c r="A54" s="107">
        <f t="shared" si="0"/>
        <v>42</v>
      </c>
      <c r="B54" s="122"/>
      <c r="C54" s="134" t="s">
        <v>109</v>
      </c>
      <c r="D54" s="116">
        <f>SUM(D44:D53)</f>
        <v>228242.41345528711</v>
      </c>
    </row>
    <row r="55" spans="1:4" ht="15.75" customHeight="1">
      <c r="A55" s="107">
        <f t="shared" si="0"/>
        <v>43</v>
      </c>
      <c r="B55" s="122"/>
      <c r="C55" s="101"/>
      <c r="D55" s="120"/>
    </row>
    <row r="56" spans="1:4" ht="15.75" customHeight="1">
      <c r="A56" s="107">
        <f t="shared" si="0"/>
        <v>44</v>
      </c>
      <c r="B56" s="122"/>
      <c r="C56" s="130" t="s">
        <v>110</v>
      </c>
      <c r="D56" s="120"/>
    </row>
    <row r="57" spans="1:4" ht="15.75" customHeight="1">
      <c r="A57" s="107">
        <f t="shared" si="0"/>
        <v>45</v>
      </c>
      <c r="B57" s="137">
        <v>8310</v>
      </c>
      <c r="C57" s="138" t="s">
        <v>111</v>
      </c>
      <c r="D57" s="136">
        <f>'C.2.2 B 09'!P55</f>
        <v>23312.872717979128</v>
      </c>
    </row>
    <row r="58" spans="1:4" ht="15.75" customHeight="1">
      <c r="A58" s="107">
        <f t="shared" si="0"/>
        <v>46</v>
      </c>
      <c r="B58" s="137">
        <v>8320</v>
      </c>
      <c r="C58" s="138" t="s">
        <v>112</v>
      </c>
      <c r="D58" s="133">
        <v>0</v>
      </c>
    </row>
    <row r="59" spans="1:4" ht="15.75" customHeight="1">
      <c r="A59" s="107">
        <f t="shared" si="0"/>
        <v>47</v>
      </c>
      <c r="B59" s="137">
        <v>8340</v>
      </c>
      <c r="C59" s="138" t="s">
        <v>113</v>
      </c>
      <c r="D59" s="133">
        <f>'C.2.2 B 09'!P56</f>
        <v>11855.174237862642</v>
      </c>
    </row>
    <row r="60" spans="1:4" ht="15.75" customHeight="1">
      <c r="A60" s="107">
        <f t="shared" si="0"/>
        <v>48</v>
      </c>
      <c r="B60" s="137">
        <v>8350</v>
      </c>
      <c r="C60" s="138" t="s">
        <v>114</v>
      </c>
      <c r="D60" s="133">
        <f>'C.2.2 B 09'!P57</f>
        <v>130.94999999999999</v>
      </c>
    </row>
    <row r="61" spans="1:4" ht="15.75" customHeight="1">
      <c r="A61" s="107">
        <f t="shared" si="0"/>
        <v>49</v>
      </c>
      <c r="B61" s="137">
        <v>8360</v>
      </c>
      <c r="C61" s="138" t="s">
        <v>115</v>
      </c>
      <c r="D61" s="133">
        <f>'C.2.2 B 09'!P58</f>
        <v>405.56</v>
      </c>
    </row>
    <row r="62" spans="1:4" ht="15.75" customHeight="1">
      <c r="A62" s="107">
        <f t="shared" si="0"/>
        <v>50</v>
      </c>
      <c r="B62" s="137">
        <v>8370</v>
      </c>
      <c r="C62" s="138" t="s">
        <v>116</v>
      </c>
      <c r="D62" s="133">
        <f>'C.2.2 B 09'!P59</f>
        <v>0</v>
      </c>
    </row>
    <row r="63" spans="1:4" ht="15.75" customHeight="1">
      <c r="A63" s="107">
        <f t="shared" si="0"/>
        <v>51</v>
      </c>
      <c r="B63" s="139" t="s">
        <v>117</v>
      </c>
      <c r="C63" s="138" t="s">
        <v>118</v>
      </c>
      <c r="D63" s="133">
        <f>'C.2.2 B 09'!P60</f>
        <v>145813.51180876014</v>
      </c>
    </row>
    <row r="64" spans="1:4" ht="15.75" customHeight="1">
      <c r="A64" s="107">
        <f t="shared" si="0"/>
        <v>52</v>
      </c>
      <c r="B64" s="122"/>
      <c r="C64" s="134" t="s">
        <v>119</v>
      </c>
      <c r="D64" s="127">
        <f>SUM(D57:D63)</f>
        <v>181518.06876460189</v>
      </c>
    </row>
    <row r="65" spans="1:7" ht="15.75" customHeight="1">
      <c r="A65" s="107">
        <f t="shared" si="0"/>
        <v>53</v>
      </c>
      <c r="B65" s="122"/>
      <c r="C65" s="101"/>
      <c r="D65" s="120"/>
    </row>
    <row r="66" spans="1:7" ht="15.75" customHeight="1">
      <c r="A66" s="107">
        <f t="shared" si="0"/>
        <v>54</v>
      </c>
      <c r="B66" s="122"/>
      <c r="C66" s="130" t="s">
        <v>120</v>
      </c>
      <c r="D66" s="120"/>
    </row>
    <row r="67" spans="1:7" ht="15.75" customHeight="1">
      <c r="A67" s="107">
        <f t="shared" si="0"/>
        <v>55</v>
      </c>
      <c r="B67" s="137">
        <v>8500</v>
      </c>
      <c r="C67" s="138" t="s">
        <v>99</v>
      </c>
      <c r="D67" s="136">
        <v>0</v>
      </c>
    </row>
    <row r="68" spans="1:7" ht="15.75" customHeight="1">
      <c r="A68" s="107">
        <f t="shared" si="0"/>
        <v>56</v>
      </c>
      <c r="B68" s="137">
        <v>8520</v>
      </c>
      <c r="C68" s="138" t="s">
        <v>121</v>
      </c>
      <c r="D68" s="133">
        <f>'C.2.2 B 09'!P61</f>
        <v>0</v>
      </c>
      <c r="G68" s="140"/>
    </row>
    <row r="69" spans="1:7" ht="15.75" customHeight="1">
      <c r="A69" s="107">
        <f t="shared" si="0"/>
        <v>57</v>
      </c>
      <c r="B69" s="137">
        <v>8550</v>
      </c>
      <c r="C69" s="138" t="s">
        <v>122</v>
      </c>
      <c r="D69" s="133">
        <f>'C.2.2 B 09'!P62</f>
        <v>385.31188016917093</v>
      </c>
      <c r="G69" s="140"/>
    </row>
    <row r="70" spans="1:7" ht="15.75" customHeight="1">
      <c r="A70" s="107">
        <f t="shared" si="0"/>
        <v>58</v>
      </c>
      <c r="B70" s="137">
        <v>8560</v>
      </c>
      <c r="C70" s="138" t="s">
        <v>123</v>
      </c>
      <c r="D70" s="133">
        <f>'C.2.2 B 09'!P63</f>
        <v>274363.1429156583</v>
      </c>
    </row>
    <row r="71" spans="1:7" ht="15.75" customHeight="1">
      <c r="A71" s="107">
        <f t="shared" si="0"/>
        <v>59</v>
      </c>
      <c r="B71" s="137">
        <v>8570</v>
      </c>
      <c r="C71" s="138" t="s">
        <v>124</v>
      </c>
      <c r="D71" s="133">
        <f>'C.2.2 B 09'!P64</f>
        <v>21510.033319518374</v>
      </c>
    </row>
    <row r="72" spans="1:7" ht="15.75" customHeight="1">
      <c r="A72" s="107">
        <f t="shared" si="0"/>
        <v>60</v>
      </c>
      <c r="B72" s="137">
        <v>8590</v>
      </c>
      <c r="C72" s="138" t="s">
        <v>125</v>
      </c>
      <c r="D72" s="133">
        <v>0</v>
      </c>
    </row>
    <row r="73" spans="1:7" ht="15.75" customHeight="1">
      <c r="A73" s="107">
        <f t="shared" si="0"/>
        <v>61</v>
      </c>
      <c r="B73" s="137">
        <v>8600</v>
      </c>
      <c r="C73" s="138" t="s">
        <v>126</v>
      </c>
      <c r="D73" s="121">
        <v>0</v>
      </c>
    </row>
    <row r="74" spans="1:7" ht="15.75" customHeight="1">
      <c r="A74" s="107">
        <f t="shared" si="0"/>
        <v>62</v>
      </c>
      <c r="B74" s="122"/>
      <c r="C74" s="134" t="s">
        <v>127</v>
      </c>
      <c r="D74" s="116">
        <f>SUM(D67:D73)</f>
        <v>296258.48811534583</v>
      </c>
    </row>
    <row r="75" spans="1:7" ht="15.75" customHeight="1">
      <c r="A75" s="107">
        <f t="shared" si="0"/>
        <v>63</v>
      </c>
      <c r="B75" s="122"/>
      <c r="C75" s="101"/>
      <c r="D75" s="120"/>
    </row>
    <row r="76" spans="1:7" ht="15.75" customHeight="1">
      <c r="A76" s="107">
        <f t="shared" si="0"/>
        <v>64</v>
      </c>
      <c r="B76" s="122"/>
      <c r="C76" s="130" t="s">
        <v>128</v>
      </c>
      <c r="D76" s="120"/>
    </row>
    <row r="77" spans="1:7" ht="15.75" customHeight="1">
      <c r="A77" s="107">
        <f t="shared" si="0"/>
        <v>65</v>
      </c>
      <c r="B77" s="137">
        <v>8620</v>
      </c>
      <c r="C77" s="138" t="s">
        <v>129</v>
      </c>
      <c r="D77" s="136">
        <v>0</v>
      </c>
    </row>
    <row r="78" spans="1:7" ht="15.75" customHeight="1">
      <c r="A78" s="107">
        <f t="shared" si="0"/>
        <v>66</v>
      </c>
      <c r="B78" s="137">
        <v>8630</v>
      </c>
      <c r="C78" s="138" t="s">
        <v>130</v>
      </c>
      <c r="D78" s="133">
        <f>'C.2.2 B 09'!P65</f>
        <v>21137.882778606243</v>
      </c>
    </row>
    <row r="79" spans="1:7" ht="15.75" customHeight="1">
      <c r="A79" s="107">
        <f t="shared" ref="A79:A142" si="1">A78+1</f>
        <v>67</v>
      </c>
      <c r="B79" s="137">
        <v>8640</v>
      </c>
      <c r="C79" s="138" t="s">
        <v>131</v>
      </c>
      <c r="D79" s="133">
        <f>'C.2.2 B 09'!P66</f>
        <v>0</v>
      </c>
    </row>
    <row r="80" spans="1:7" ht="15.75" customHeight="1">
      <c r="A80" s="107">
        <f t="shared" si="1"/>
        <v>68</v>
      </c>
      <c r="B80" s="137">
        <v>8650</v>
      </c>
      <c r="C80" s="138" t="s">
        <v>132</v>
      </c>
      <c r="D80" s="133">
        <f>'C.2.2 B 09'!P67</f>
        <v>229.13023174022541</v>
      </c>
    </row>
    <row r="81" spans="1:5" ht="15.75" customHeight="1">
      <c r="A81" s="107">
        <f t="shared" si="1"/>
        <v>69</v>
      </c>
      <c r="B81" s="137">
        <v>8670</v>
      </c>
      <c r="C81" s="138" t="s">
        <v>133</v>
      </c>
      <c r="D81" s="121">
        <v>0</v>
      </c>
    </row>
    <row r="82" spans="1:5" ht="15.75" customHeight="1">
      <c r="A82" s="107">
        <f t="shared" si="1"/>
        <v>70</v>
      </c>
      <c r="B82" s="122"/>
      <c r="C82" s="134" t="s">
        <v>134</v>
      </c>
      <c r="D82" s="116">
        <f>SUM(D77:D81)</f>
        <v>21367.013010346469</v>
      </c>
    </row>
    <row r="83" spans="1:5" ht="15.75" customHeight="1">
      <c r="A83" s="107">
        <f t="shared" si="1"/>
        <v>71</v>
      </c>
      <c r="B83" s="122"/>
      <c r="C83" s="101"/>
      <c r="D83" s="120"/>
    </row>
    <row r="84" spans="1:5" ht="15.75" customHeight="1">
      <c r="A84" s="107">
        <f t="shared" si="1"/>
        <v>72</v>
      </c>
      <c r="B84" s="122"/>
      <c r="C84" s="130" t="s">
        <v>135</v>
      </c>
      <c r="D84" s="123"/>
    </row>
    <row r="85" spans="1:5" ht="15.75" customHeight="1">
      <c r="A85" s="107">
        <f t="shared" si="1"/>
        <v>73</v>
      </c>
      <c r="B85" s="114">
        <v>8001</v>
      </c>
      <c r="C85" s="115" t="s">
        <v>136</v>
      </c>
      <c r="D85" s="136">
        <f>'C.2.2 B 09'!P31</f>
        <v>0</v>
      </c>
      <c r="E85" s="141"/>
    </row>
    <row r="86" spans="1:5" ht="15.75" customHeight="1">
      <c r="A86" s="107">
        <f t="shared" si="1"/>
        <v>74</v>
      </c>
      <c r="B86" s="114">
        <v>8010</v>
      </c>
      <c r="C86" s="142" t="s">
        <v>137</v>
      </c>
      <c r="D86" s="133">
        <f>'C.2.2 B 09'!P32</f>
        <v>66205.837694715883</v>
      </c>
      <c r="E86" s="141"/>
    </row>
    <row r="87" spans="1:5" ht="15.75" customHeight="1">
      <c r="A87" s="107">
        <f t="shared" si="1"/>
        <v>75</v>
      </c>
      <c r="B87" s="114">
        <v>8040</v>
      </c>
      <c r="C87" s="108" t="s">
        <v>138</v>
      </c>
      <c r="D87" s="133">
        <f>'C.2.2 B 09'!P33</f>
        <v>46356946.042346485</v>
      </c>
      <c r="E87" s="141"/>
    </row>
    <row r="88" spans="1:5" ht="15.75" customHeight="1">
      <c r="A88" s="107">
        <f t="shared" si="1"/>
        <v>76</v>
      </c>
      <c r="B88" s="114">
        <v>8045</v>
      </c>
      <c r="C88" s="108" t="s">
        <v>139</v>
      </c>
      <c r="D88" s="133">
        <v>0</v>
      </c>
      <c r="E88" s="141"/>
    </row>
    <row r="89" spans="1:5" ht="15.75" customHeight="1">
      <c r="A89" s="107">
        <f t="shared" si="1"/>
        <v>77</v>
      </c>
      <c r="B89" s="114">
        <v>8050</v>
      </c>
      <c r="C89" s="115" t="s">
        <v>140</v>
      </c>
      <c r="D89" s="133">
        <f>'C.2.2 B 09'!P34</f>
        <v>-13955.673253363399</v>
      </c>
      <c r="E89" s="141"/>
    </row>
    <row r="90" spans="1:5" ht="15.75" customHeight="1">
      <c r="A90" s="107">
        <f t="shared" si="1"/>
        <v>78</v>
      </c>
      <c r="B90" s="114">
        <v>8051</v>
      </c>
      <c r="C90" s="108" t="s">
        <v>141</v>
      </c>
      <c r="D90" s="133">
        <f>'C.2.2 B 09'!P35</f>
        <v>37251430.72742483</v>
      </c>
      <c r="E90" s="141"/>
    </row>
    <row r="91" spans="1:5" ht="15.75" customHeight="1">
      <c r="A91" s="107">
        <f t="shared" si="1"/>
        <v>79</v>
      </c>
      <c r="B91" s="114">
        <v>8052</v>
      </c>
      <c r="C91" s="108" t="s">
        <v>142</v>
      </c>
      <c r="D91" s="133">
        <f>'C.2.2 B 09'!P36</f>
        <v>19746318.54246046</v>
      </c>
      <c r="E91" s="141"/>
    </row>
    <row r="92" spans="1:5" ht="15.75" customHeight="1">
      <c r="A92" s="107">
        <f t="shared" si="1"/>
        <v>80</v>
      </c>
      <c r="B92" s="114">
        <v>8053</v>
      </c>
      <c r="C92" s="108" t="s">
        <v>143</v>
      </c>
      <c r="D92" s="133">
        <f>'C.2.2 B 09'!P37</f>
        <v>4969385.0003385339</v>
      </c>
      <c r="E92" s="141"/>
    </row>
    <row r="93" spans="1:5" ht="15.75" customHeight="1">
      <c r="A93" s="107">
        <f t="shared" si="1"/>
        <v>81</v>
      </c>
      <c r="B93" s="114">
        <v>8054</v>
      </c>
      <c r="C93" s="108" t="s">
        <v>144</v>
      </c>
      <c r="D93" s="133">
        <f>'C.2.2 B 09'!P38</f>
        <v>3719972.817980676</v>
      </c>
      <c r="E93" s="141"/>
    </row>
    <row r="94" spans="1:5" ht="15.75" customHeight="1">
      <c r="A94" s="107">
        <f t="shared" si="1"/>
        <v>82</v>
      </c>
      <c r="B94" s="114">
        <v>8057</v>
      </c>
      <c r="C94" s="108" t="s">
        <v>145</v>
      </c>
      <c r="D94" s="133">
        <v>0</v>
      </c>
      <c r="E94" s="141"/>
    </row>
    <row r="95" spans="1:5" ht="15.75" customHeight="1">
      <c r="A95" s="107">
        <f t="shared" si="1"/>
        <v>83</v>
      </c>
      <c r="B95" s="114">
        <v>8058</v>
      </c>
      <c r="C95" s="108" t="s">
        <v>146</v>
      </c>
      <c r="D95" s="133">
        <f>'C.2.2 B 09'!P39</f>
        <v>2182600.9280997845</v>
      </c>
      <c r="E95" s="141"/>
    </row>
    <row r="96" spans="1:5" ht="15.75" customHeight="1">
      <c r="A96" s="107">
        <f t="shared" si="1"/>
        <v>84</v>
      </c>
      <c r="B96" s="114">
        <v>8059</v>
      </c>
      <c r="C96" s="108" t="s">
        <v>147</v>
      </c>
      <c r="D96" s="133">
        <f>'C.2.2 B 09'!P40</f>
        <v>-69466714.141459957</v>
      </c>
      <c r="E96" s="141"/>
    </row>
    <row r="97" spans="1:7" ht="15.75" customHeight="1">
      <c r="A97" s="107">
        <f t="shared" si="1"/>
        <v>85</v>
      </c>
      <c r="B97" s="114">
        <v>8060</v>
      </c>
      <c r="C97" s="108" t="s">
        <v>148</v>
      </c>
      <c r="D97" s="133">
        <f>'C.2.2 B 09'!P41</f>
        <v>283611.41465886007</v>
      </c>
      <c r="E97" s="141"/>
    </row>
    <row r="98" spans="1:7" ht="15.75" customHeight="1">
      <c r="A98" s="107">
        <f t="shared" si="1"/>
        <v>86</v>
      </c>
      <c r="B98" s="114">
        <v>8081</v>
      </c>
      <c r="C98" s="108" t="s">
        <v>149</v>
      </c>
      <c r="D98" s="133">
        <f>'C.2.2 B 09'!P42</f>
        <v>10886226.65419187</v>
      </c>
      <c r="E98" s="141"/>
    </row>
    <row r="99" spans="1:7" ht="15.75" customHeight="1">
      <c r="A99" s="107">
        <f t="shared" si="1"/>
        <v>87</v>
      </c>
      <c r="B99" s="114">
        <v>8082</v>
      </c>
      <c r="C99" s="108" t="s">
        <v>150</v>
      </c>
      <c r="D99" s="133">
        <f>'C.2.2 B 09'!P43</f>
        <v>-12477235.239515508</v>
      </c>
      <c r="E99" s="141"/>
    </row>
    <row r="100" spans="1:7" ht="15.75" customHeight="1">
      <c r="A100" s="107">
        <f t="shared" si="1"/>
        <v>88</v>
      </c>
      <c r="B100" s="114">
        <v>8110</v>
      </c>
      <c r="C100" s="108" t="s">
        <v>151</v>
      </c>
      <c r="D100" s="133">
        <v>0</v>
      </c>
      <c r="E100" s="141"/>
    </row>
    <row r="101" spans="1:7" ht="15.75" customHeight="1">
      <c r="A101" s="107">
        <f t="shared" si="1"/>
        <v>89</v>
      </c>
      <c r="B101" s="114">
        <v>8120</v>
      </c>
      <c r="C101" s="108" t="s">
        <v>152</v>
      </c>
      <c r="D101" s="133">
        <f>'C.2.2 B 09'!P44</f>
        <v>-17409.918803443343</v>
      </c>
      <c r="E101" s="141"/>
    </row>
    <row r="102" spans="1:7" ht="15.75" customHeight="1">
      <c r="A102" s="107">
        <f t="shared" si="1"/>
        <v>90</v>
      </c>
      <c r="B102" s="114">
        <v>8130</v>
      </c>
      <c r="C102" s="108" t="s">
        <v>152</v>
      </c>
      <c r="D102" s="133">
        <v>0</v>
      </c>
      <c r="E102" s="141"/>
    </row>
    <row r="103" spans="1:7" ht="15.75" customHeight="1">
      <c r="A103" s="107">
        <f t="shared" si="1"/>
        <v>91</v>
      </c>
      <c r="B103" s="114">
        <v>8580</v>
      </c>
      <c r="C103" s="108" t="s">
        <v>153</v>
      </c>
      <c r="D103" s="121">
        <f>'C.2.2 B 09'!P45</f>
        <v>24364915.105336905</v>
      </c>
      <c r="E103" s="141"/>
      <c r="F103" s="75"/>
    </row>
    <row r="104" spans="1:7" ht="15.75" customHeight="1">
      <c r="A104" s="107">
        <f t="shared" si="1"/>
        <v>92</v>
      </c>
      <c r="B104" s="122"/>
      <c r="C104" s="143" t="s">
        <v>154</v>
      </c>
      <c r="D104" s="116">
        <f>SUM(D85:D103)</f>
        <v>67852298.097500846</v>
      </c>
      <c r="F104" s="144">
        <f>'C.2.2 B 09'!Q45</f>
        <v>0</v>
      </c>
      <c r="G104" s="98">
        <f>D104-F104</f>
        <v>67852298.097500846</v>
      </c>
    </row>
    <row r="105" spans="1:7" ht="15.75" customHeight="1">
      <c r="A105" s="107">
        <f t="shared" si="1"/>
        <v>93</v>
      </c>
      <c r="B105" s="122"/>
      <c r="D105" s="131"/>
    </row>
    <row r="106" spans="1:7" ht="15.75" customHeight="1">
      <c r="A106" s="107">
        <f t="shared" si="1"/>
        <v>94</v>
      </c>
      <c r="B106" s="122"/>
      <c r="C106" s="130" t="s">
        <v>155</v>
      </c>
      <c r="D106" s="131"/>
    </row>
    <row r="107" spans="1:7" ht="15.75" customHeight="1">
      <c r="A107" s="107">
        <f t="shared" si="1"/>
        <v>95</v>
      </c>
      <c r="B107" s="114">
        <v>8700</v>
      </c>
      <c r="C107" s="115" t="s">
        <v>156</v>
      </c>
      <c r="D107" s="136">
        <f>'C.2.2 B 09'!P69</f>
        <v>1900370.28133389</v>
      </c>
    </row>
    <row r="108" spans="1:7" ht="15.75" customHeight="1">
      <c r="A108" s="107">
        <f t="shared" si="1"/>
        <v>96</v>
      </c>
      <c r="B108" s="114">
        <v>8710</v>
      </c>
      <c r="C108" s="115" t="s">
        <v>157</v>
      </c>
      <c r="D108" s="133">
        <f>'C.2.2 B 09'!P70</f>
        <v>851.97802559543334</v>
      </c>
    </row>
    <row r="109" spans="1:7" ht="15.75" customHeight="1">
      <c r="A109" s="107">
        <f t="shared" si="1"/>
        <v>97</v>
      </c>
      <c r="B109" s="114">
        <v>8711</v>
      </c>
      <c r="C109" s="108" t="s">
        <v>158</v>
      </c>
      <c r="D109" s="133">
        <f>'C.2.2 B 09'!P71</f>
        <v>1469.0941359559604</v>
      </c>
    </row>
    <row r="110" spans="1:7" ht="15.75" customHeight="1">
      <c r="A110" s="107">
        <f t="shared" si="1"/>
        <v>98</v>
      </c>
      <c r="B110" s="114">
        <v>8720</v>
      </c>
      <c r="C110" s="115" t="s">
        <v>159</v>
      </c>
      <c r="D110" s="133">
        <f>'C.2.2 B 09'!P72</f>
        <v>0</v>
      </c>
    </row>
    <row r="111" spans="1:7" ht="15.75" customHeight="1">
      <c r="A111" s="107">
        <f t="shared" si="1"/>
        <v>99</v>
      </c>
      <c r="B111" s="114">
        <v>8740</v>
      </c>
      <c r="C111" s="115" t="s">
        <v>160</v>
      </c>
      <c r="D111" s="133">
        <f>'C.2.2 B 09'!P73</f>
        <v>3809291.4018721646</v>
      </c>
    </row>
    <row r="112" spans="1:7" ht="15.75" customHeight="1">
      <c r="A112" s="107">
        <f t="shared" si="1"/>
        <v>100</v>
      </c>
      <c r="B112" s="114">
        <v>8750</v>
      </c>
      <c r="C112" s="115" t="s">
        <v>161</v>
      </c>
      <c r="D112" s="133">
        <f>'C.2.2 B 09'!P74</f>
        <v>462369.45107850159</v>
      </c>
    </row>
    <row r="113" spans="1:4" ht="15.75" customHeight="1">
      <c r="A113" s="107">
        <f t="shared" si="1"/>
        <v>101</v>
      </c>
      <c r="B113" s="114">
        <v>8760</v>
      </c>
      <c r="C113" s="115" t="s">
        <v>162</v>
      </c>
      <c r="D113" s="133">
        <f>'C.2.2 B 09'!P75</f>
        <v>64834.369949700653</v>
      </c>
    </row>
    <row r="114" spans="1:4" ht="15.75" customHeight="1">
      <c r="A114" s="107">
        <f t="shared" si="1"/>
        <v>102</v>
      </c>
      <c r="B114" s="114">
        <v>8770</v>
      </c>
      <c r="C114" s="115" t="s">
        <v>163</v>
      </c>
      <c r="D114" s="133">
        <f>'C.2.2 B 09'!P76</f>
        <v>39449.349659841282</v>
      </c>
    </row>
    <row r="115" spans="1:4" ht="15.75" customHeight="1">
      <c r="A115" s="107">
        <f t="shared" si="1"/>
        <v>103</v>
      </c>
      <c r="B115" s="114">
        <v>8780</v>
      </c>
      <c r="C115" s="115" t="s">
        <v>164</v>
      </c>
      <c r="D115" s="133">
        <f>'C.2.2 B 09'!P77</f>
        <v>1045202.6563128154</v>
      </c>
    </row>
    <row r="116" spans="1:4" ht="15.75" customHeight="1">
      <c r="A116" s="107">
        <f t="shared" si="1"/>
        <v>104</v>
      </c>
      <c r="B116" s="114">
        <v>8790</v>
      </c>
      <c r="C116" s="115" t="s">
        <v>165</v>
      </c>
      <c r="D116" s="133">
        <f>'C.2.2 B 09'!P78</f>
        <v>2336.2442496095387</v>
      </c>
    </row>
    <row r="117" spans="1:4" ht="15.75" customHeight="1">
      <c r="A117" s="107">
        <f t="shared" si="1"/>
        <v>105</v>
      </c>
      <c r="B117" s="114">
        <v>8800</v>
      </c>
      <c r="C117" s="115" t="s">
        <v>166</v>
      </c>
      <c r="D117" s="133">
        <f>'C.2.2 B 09'!P79</f>
        <v>127179.78085168923</v>
      </c>
    </row>
    <row r="118" spans="1:4" ht="15.75" customHeight="1">
      <c r="A118" s="107">
        <f t="shared" si="1"/>
        <v>106</v>
      </c>
      <c r="B118" s="114">
        <v>8810</v>
      </c>
      <c r="C118" s="115" t="s">
        <v>126</v>
      </c>
      <c r="D118" s="121">
        <f>'C.2.2 B 09'!P80</f>
        <v>417436.34449706203</v>
      </c>
    </row>
    <row r="119" spans="1:4" ht="15.75" customHeight="1">
      <c r="A119" s="107">
        <f t="shared" si="1"/>
        <v>107</v>
      </c>
      <c r="B119" s="122"/>
      <c r="C119" s="134" t="s">
        <v>167</v>
      </c>
      <c r="D119" s="116">
        <f>SUM(D107:D118)</f>
        <v>7870790.9519668259</v>
      </c>
    </row>
    <row r="120" spans="1:4" ht="15.75" customHeight="1">
      <c r="A120" s="107">
        <f t="shared" si="1"/>
        <v>108</v>
      </c>
      <c r="B120" s="122"/>
      <c r="C120" s="101"/>
      <c r="D120" s="120"/>
    </row>
    <row r="121" spans="1:4" ht="15.75" customHeight="1">
      <c r="A121" s="107">
        <f t="shared" si="1"/>
        <v>109</v>
      </c>
      <c r="B121" s="107"/>
      <c r="C121" s="130" t="s">
        <v>168</v>
      </c>
      <c r="D121" s="123"/>
    </row>
    <row r="122" spans="1:4" ht="15.75" customHeight="1">
      <c r="A122" s="107">
        <f t="shared" si="1"/>
        <v>110</v>
      </c>
      <c r="B122" s="114">
        <v>8850</v>
      </c>
      <c r="C122" s="115" t="s">
        <v>156</v>
      </c>
      <c r="D122" s="136">
        <f>'C.2.2 B 09'!P81</f>
        <v>1808.6688957382428</v>
      </c>
    </row>
    <row r="123" spans="1:4" ht="15.75" customHeight="1">
      <c r="A123" s="107">
        <f t="shared" si="1"/>
        <v>111</v>
      </c>
      <c r="B123" s="114">
        <v>8860</v>
      </c>
      <c r="C123" s="115" t="s">
        <v>129</v>
      </c>
      <c r="D123" s="133">
        <f>'C.2.2 B 09'!P82</f>
        <v>398.34358680202092</v>
      </c>
    </row>
    <row r="124" spans="1:4" ht="15.75" customHeight="1">
      <c r="A124" s="107">
        <f t="shared" si="1"/>
        <v>112</v>
      </c>
      <c r="B124" s="114">
        <v>8870</v>
      </c>
      <c r="C124" s="115" t="s">
        <v>130</v>
      </c>
      <c r="D124" s="133">
        <f>'C.2.2 B 09'!P83</f>
        <v>33148.926956630821</v>
      </c>
    </row>
    <row r="125" spans="1:4" ht="15.75" customHeight="1">
      <c r="A125" s="107">
        <f t="shared" si="1"/>
        <v>113</v>
      </c>
      <c r="B125" s="114">
        <v>8890</v>
      </c>
      <c r="C125" s="115" t="s">
        <v>161</v>
      </c>
      <c r="D125" s="133">
        <f>'C.2.2 B 09'!P84</f>
        <v>2251.8254894684101</v>
      </c>
    </row>
    <row r="126" spans="1:4" ht="15.75" customHeight="1">
      <c r="A126" s="107">
        <f t="shared" si="1"/>
        <v>114</v>
      </c>
      <c r="B126" s="114">
        <v>8900</v>
      </c>
      <c r="C126" s="115" t="s">
        <v>162</v>
      </c>
      <c r="D126" s="133">
        <f>'C.2.2 B 09'!P85</f>
        <v>7320.0412903066526</v>
      </c>
    </row>
    <row r="127" spans="1:4" ht="15.75" customHeight="1">
      <c r="A127" s="107">
        <f t="shared" si="1"/>
        <v>115</v>
      </c>
      <c r="B127" s="114">
        <v>8910</v>
      </c>
      <c r="C127" s="115" t="s">
        <v>163</v>
      </c>
      <c r="D127" s="133">
        <f>'C.2.2 B 09'!P86</f>
        <v>3813.3633705571024</v>
      </c>
    </row>
    <row r="128" spans="1:4" ht="15.75" customHeight="1">
      <c r="A128" s="107">
        <f t="shared" si="1"/>
        <v>116</v>
      </c>
      <c r="B128" s="114">
        <v>8920</v>
      </c>
      <c r="C128" s="115" t="s">
        <v>169</v>
      </c>
      <c r="D128" s="133">
        <f>'C.2.2 B 09'!P87</f>
        <v>817.75389285560641</v>
      </c>
    </row>
    <row r="129" spans="1:5" ht="15.75" customHeight="1">
      <c r="A129" s="107">
        <f t="shared" si="1"/>
        <v>117</v>
      </c>
      <c r="B129" s="114">
        <v>8930</v>
      </c>
      <c r="C129" s="115" t="s">
        <v>170</v>
      </c>
      <c r="D129" s="133">
        <f>'C.2.2 B 09'!P88</f>
        <v>85658.90991618509</v>
      </c>
    </row>
    <row r="130" spans="1:5" ht="15.75" customHeight="1">
      <c r="A130" s="107">
        <f t="shared" si="1"/>
        <v>118</v>
      </c>
      <c r="B130" s="114">
        <v>8940</v>
      </c>
      <c r="C130" s="115" t="s">
        <v>133</v>
      </c>
      <c r="D130" s="133">
        <f>'C.2.2 B 09'!P89</f>
        <v>12288.438909682882</v>
      </c>
    </row>
    <row r="131" spans="1:5" ht="15.75" customHeight="1">
      <c r="A131" s="107">
        <f t="shared" si="1"/>
        <v>119</v>
      </c>
      <c r="B131" s="114">
        <v>8950</v>
      </c>
      <c r="C131" s="115" t="s">
        <v>171</v>
      </c>
      <c r="D131" s="121">
        <v>0</v>
      </c>
    </row>
    <row r="132" spans="1:5" ht="15.75" customHeight="1">
      <c r="A132" s="107">
        <f t="shared" si="1"/>
        <v>120</v>
      </c>
      <c r="B132" s="122"/>
      <c r="C132" s="134" t="s">
        <v>172</v>
      </c>
      <c r="D132" s="116">
        <f>SUM(D122:D131)</f>
        <v>147506.27230822682</v>
      </c>
    </row>
    <row r="133" spans="1:5" ht="15.75" customHeight="1">
      <c r="A133" s="107">
        <f t="shared" si="1"/>
        <v>121</v>
      </c>
      <c r="B133" s="122"/>
      <c r="C133" s="134"/>
      <c r="D133" s="120"/>
    </row>
    <row r="134" spans="1:5" ht="15.75" customHeight="1">
      <c r="A134" s="107">
        <f t="shared" si="1"/>
        <v>122</v>
      </c>
      <c r="B134" s="107"/>
      <c r="C134" s="130" t="s">
        <v>173</v>
      </c>
      <c r="D134" s="123"/>
    </row>
    <row r="135" spans="1:5" ht="15.75" customHeight="1">
      <c r="A135" s="107">
        <f t="shared" si="1"/>
        <v>123</v>
      </c>
      <c r="B135" s="114">
        <v>9010</v>
      </c>
      <c r="C135" s="115" t="s">
        <v>174</v>
      </c>
      <c r="D135" s="136">
        <f>'C.2.2 B 09'!P90</f>
        <v>235.5696573949526</v>
      </c>
    </row>
    <row r="136" spans="1:5" ht="15.75" customHeight="1">
      <c r="A136" s="107">
        <f t="shared" si="1"/>
        <v>124</v>
      </c>
      <c r="B136" s="114">
        <v>9020</v>
      </c>
      <c r="C136" s="115" t="s">
        <v>175</v>
      </c>
      <c r="D136" s="133">
        <f>'C.2.2 B 09'!P91</f>
        <v>1233263.9379286575</v>
      </c>
    </row>
    <row r="137" spans="1:5" ht="15.75" customHeight="1">
      <c r="A137" s="107">
        <f t="shared" si="1"/>
        <v>125</v>
      </c>
      <c r="B137" s="114">
        <v>9030</v>
      </c>
      <c r="C137" s="115" t="s">
        <v>176</v>
      </c>
      <c r="D137" s="133">
        <f>'C.2.2 B 09'!P92</f>
        <v>1520603.2292528586</v>
      </c>
    </row>
    <row r="138" spans="1:5" ht="15.75" customHeight="1">
      <c r="A138" s="107">
        <f t="shared" si="1"/>
        <v>126</v>
      </c>
      <c r="B138" s="114">
        <v>9040</v>
      </c>
      <c r="C138" s="115" t="s">
        <v>177</v>
      </c>
      <c r="D138" s="121">
        <f>'C.2.2 B 09'!P93</f>
        <v>897147.67370000004</v>
      </c>
      <c r="E138" s="145"/>
    </row>
    <row r="139" spans="1:5" ht="15.75" customHeight="1">
      <c r="A139" s="107">
        <f t="shared" si="1"/>
        <v>127</v>
      </c>
      <c r="B139" s="107"/>
      <c r="C139" s="134" t="s">
        <v>178</v>
      </c>
      <c r="D139" s="116">
        <f>SUM(D135:D138)</f>
        <v>3651250.4105389109</v>
      </c>
    </row>
    <row r="140" spans="1:5" ht="15.75" customHeight="1">
      <c r="A140" s="107">
        <f t="shared" si="1"/>
        <v>128</v>
      </c>
      <c r="B140" s="122"/>
      <c r="C140" s="134"/>
      <c r="D140" s="120"/>
    </row>
    <row r="141" spans="1:5" ht="15.75" customHeight="1">
      <c r="A141" s="107">
        <f t="shared" si="1"/>
        <v>129</v>
      </c>
      <c r="B141" s="122"/>
      <c r="C141" s="130" t="s">
        <v>179</v>
      </c>
      <c r="D141" s="131"/>
    </row>
    <row r="142" spans="1:5" ht="15.75" customHeight="1">
      <c r="A142" s="107">
        <f t="shared" si="1"/>
        <v>130</v>
      </c>
      <c r="B142" s="114">
        <v>9070</v>
      </c>
      <c r="C142" s="115" t="s">
        <v>174</v>
      </c>
      <c r="D142" s="136">
        <v>0</v>
      </c>
    </row>
    <row r="143" spans="1:5" ht="15.75" customHeight="1">
      <c r="A143" s="107">
        <f t="shared" ref="A143:A181" si="2">A142+1</f>
        <v>131</v>
      </c>
      <c r="B143" s="114">
        <v>9080</v>
      </c>
      <c r="C143" s="115" t="s">
        <v>180</v>
      </c>
      <c r="D143" s="133">
        <v>0</v>
      </c>
    </row>
    <row r="144" spans="1:5" ht="15.75" customHeight="1">
      <c r="A144" s="107">
        <f t="shared" si="2"/>
        <v>132</v>
      </c>
      <c r="B144" s="114">
        <v>9090</v>
      </c>
      <c r="C144" s="115" t="s">
        <v>181</v>
      </c>
      <c r="D144" s="133">
        <f>'C.2.2 B 09'!P94</f>
        <v>133120.95831311247</v>
      </c>
    </row>
    <row r="145" spans="1:4" ht="15.75" customHeight="1">
      <c r="A145" s="107">
        <f t="shared" si="2"/>
        <v>133</v>
      </c>
      <c r="B145" s="114">
        <v>9100</v>
      </c>
      <c r="C145" s="115" t="s">
        <v>182</v>
      </c>
      <c r="D145" s="121">
        <f>'C.2.2 B 09'!P95</f>
        <v>0</v>
      </c>
    </row>
    <row r="146" spans="1:4" ht="15.75" customHeight="1">
      <c r="A146" s="107">
        <f t="shared" si="2"/>
        <v>134</v>
      </c>
      <c r="B146" s="107"/>
      <c r="C146" s="134" t="s">
        <v>183</v>
      </c>
      <c r="D146" s="116">
        <f>SUM(D142:D145)</f>
        <v>133120.95831311247</v>
      </c>
    </row>
    <row r="147" spans="1:4" ht="15.75" customHeight="1">
      <c r="A147" s="107">
        <f t="shared" si="2"/>
        <v>135</v>
      </c>
      <c r="B147" s="107"/>
      <c r="C147" s="111"/>
      <c r="D147" s="123"/>
    </row>
    <row r="148" spans="1:4" ht="15.75" customHeight="1">
      <c r="A148" s="107">
        <f t="shared" si="2"/>
        <v>136</v>
      </c>
      <c r="B148" s="107"/>
      <c r="C148" s="130" t="s">
        <v>55</v>
      </c>
      <c r="D148" s="123"/>
    </row>
    <row r="149" spans="1:4" ht="15.75" customHeight="1">
      <c r="A149" s="107">
        <f t="shared" si="2"/>
        <v>137</v>
      </c>
      <c r="B149" s="114">
        <v>9110</v>
      </c>
      <c r="C149" s="115" t="s">
        <v>174</v>
      </c>
      <c r="D149" s="136">
        <f>'C.2.2 B 09'!P96</f>
        <v>251457.69379504595</v>
      </c>
    </row>
    <row r="150" spans="1:4" ht="15.75" customHeight="1">
      <c r="A150" s="107">
        <f t="shared" si="2"/>
        <v>138</v>
      </c>
      <c r="B150" s="114">
        <v>9120</v>
      </c>
      <c r="C150" s="115" t="s">
        <v>184</v>
      </c>
      <c r="D150" s="133">
        <f>'C.2.2 B 09'!P97</f>
        <v>128060.31290366192</v>
      </c>
    </row>
    <row r="151" spans="1:4" ht="15.75" customHeight="1">
      <c r="A151" s="107">
        <f t="shared" si="2"/>
        <v>139</v>
      </c>
      <c r="B151" s="114">
        <v>9130</v>
      </c>
      <c r="C151" s="115" t="s">
        <v>185</v>
      </c>
      <c r="D151" s="133">
        <f>'C.2.2 B 09'!P98</f>
        <v>29021.591133563481</v>
      </c>
    </row>
    <row r="152" spans="1:4" ht="15.75" customHeight="1">
      <c r="A152" s="107">
        <f t="shared" si="2"/>
        <v>140</v>
      </c>
      <c r="B152" s="114">
        <v>9160</v>
      </c>
      <c r="C152" s="115" t="s">
        <v>186</v>
      </c>
      <c r="D152" s="121">
        <v>0</v>
      </c>
    </row>
    <row r="153" spans="1:4" ht="15.75" customHeight="1">
      <c r="A153" s="107">
        <f t="shared" si="2"/>
        <v>141</v>
      </c>
      <c r="B153" s="107"/>
      <c r="C153" s="134" t="s">
        <v>187</v>
      </c>
      <c r="D153" s="116">
        <f>SUM(D149:D152)</f>
        <v>408539.59783227136</v>
      </c>
    </row>
    <row r="154" spans="1:4" ht="15.75" customHeight="1">
      <c r="A154" s="107">
        <f t="shared" si="2"/>
        <v>142</v>
      </c>
      <c r="B154" s="122"/>
      <c r="D154" s="123"/>
    </row>
    <row r="155" spans="1:4" ht="15.75" customHeight="1">
      <c r="A155" s="107">
        <f t="shared" si="2"/>
        <v>143</v>
      </c>
      <c r="B155" s="107"/>
      <c r="C155" s="130" t="s">
        <v>188</v>
      </c>
      <c r="D155" s="123"/>
    </row>
    <row r="156" spans="1:4" ht="15.75" customHeight="1">
      <c r="A156" s="107">
        <f t="shared" si="2"/>
        <v>144</v>
      </c>
      <c r="B156" s="114">
        <v>9200</v>
      </c>
      <c r="C156" s="115" t="s">
        <v>189</v>
      </c>
      <c r="D156" s="136">
        <f>'C.2.2 B 09'!P99</f>
        <v>161205.92898401516</v>
      </c>
    </row>
    <row r="157" spans="1:4" ht="15.75" customHeight="1">
      <c r="A157" s="107">
        <f t="shared" si="2"/>
        <v>145</v>
      </c>
      <c r="B157" s="114">
        <v>9210</v>
      </c>
      <c r="C157" s="115" t="s">
        <v>190</v>
      </c>
      <c r="D157" s="133">
        <f>'C.2.2 B 09'!P100</f>
        <v>6562.1241396680152</v>
      </c>
    </row>
    <row r="158" spans="1:4" ht="15.75" customHeight="1">
      <c r="A158" s="107">
        <f t="shared" si="2"/>
        <v>146</v>
      </c>
      <c r="B158" s="114">
        <v>9220</v>
      </c>
      <c r="C158" s="115" t="s">
        <v>191</v>
      </c>
      <c r="D158" s="133">
        <f>'C.2.2 B 09'!P101</f>
        <v>11942245.82666871</v>
      </c>
    </row>
    <row r="159" spans="1:4" ht="15.75" customHeight="1">
      <c r="A159" s="107">
        <f t="shared" si="2"/>
        <v>147</v>
      </c>
      <c r="B159" s="114">
        <v>9230</v>
      </c>
      <c r="C159" s="115" t="s">
        <v>192</v>
      </c>
      <c r="D159" s="133">
        <f>'C.2.2 B 09'!P102</f>
        <v>242511.18188314713</v>
      </c>
    </row>
    <row r="160" spans="1:4" ht="15.75" customHeight="1">
      <c r="A160" s="107">
        <f t="shared" si="2"/>
        <v>148</v>
      </c>
      <c r="B160" s="114">
        <v>9240</v>
      </c>
      <c r="C160" s="115" t="s">
        <v>193</v>
      </c>
      <c r="D160" s="133">
        <f>'C.2.2 B 09'!P103</f>
        <v>153166.37366306974</v>
      </c>
    </row>
    <row r="161" spans="1:7" ht="15.75" customHeight="1">
      <c r="A161" s="107">
        <f t="shared" si="2"/>
        <v>149</v>
      </c>
      <c r="B161" s="114">
        <v>9250</v>
      </c>
      <c r="C161" s="115" t="s">
        <v>194</v>
      </c>
      <c r="D161" s="133">
        <f>'C.2.2 B 09'!P104</f>
        <v>36328.999383574686</v>
      </c>
    </row>
    <row r="162" spans="1:7" ht="15.75" customHeight="1">
      <c r="A162" s="107">
        <f t="shared" si="2"/>
        <v>150</v>
      </c>
      <c r="B162" s="114">
        <v>9260</v>
      </c>
      <c r="C162" s="115" t="s">
        <v>195</v>
      </c>
      <c r="D162" s="133">
        <f>'C.2.2 B 09'!P105</f>
        <v>1990136.8275236823</v>
      </c>
    </row>
    <row r="163" spans="1:7" ht="15.75" customHeight="1">
      <c r="A163" s="107">
        <f t="shared" si="2"/>
        <v>151</v>
      </c>
      <c r="B163" s="114">
        <v>9270</v>
      </c>
      <c r="C163" s="115" t="s">
        <v>196</v>
      </c>
      <c r="D163" s="133">
        <f>'C.2.2 B 09'!P106</f>
        <v>1344.4889843143371</v>
      </c>
    </row>
    <row r="164" spans="1:7" ht="15.75" customHeight="1">
      <c r="A164" s="107">
        <f t="shared" si="2"/>
        <v>152</v>
      </c>
      <c r="B164" s="114">
        <v>9280</v>
      </c>
      <c r="C164" s="115" t="s">
        <v>197</v>
      </c>
      <c r="D164" s="133">
        <f>'C.2.2 B 09'!P107</f>
        <v>127758.93</v>
      </c>
    </row>
    <row r="165" spans="1:7" ht="15.75" customHeight="1">
      <c r="A165" s="107">
        <f t="shared" si="2"/>
        <v>153</v>
      </c>
      <c r="B165" s="146">
        <v>930.2</v>
      </c>
      <c r="C165" s="115" t="s">
        <v>198</v>
      </c>
      <c r="D165" s="133">
        <f>'C.2.2 B 09'!P108</f>
        <v>107199.77032985989</v>
      </c>
    </row>
    <row r="166" spans="1:7" ht="15.75" customHeight="1">
      <c r="A166" s="107">
        <f t="shared" si="2"/>
        <v>154</v>
      </c>
      <c r="B166" s="114">
        <v>9310</v>
      </c>
      <c r="C166" s="115" t="s">
        <v>199</v>
      </c>
      <c r="D166" s="135">
        <f>'C.2.2 B 09'!P109</f>
        <v>15258.498803739965</v>
      </c>
    </row>
    <row r="167" spans="1:7" ht="15.75" customHeight="1">
      <c r="A167" s="107">
        <f t="shared" si="2"/>
        <v>155</v>
      </c>
      <c r="B167" s="107"/>
      <c r="C167" s="134" t="s">
        <v>200</v>
      </c>
      <c r="D167" s="116">
        <f>SUM(D156:D166)</f>
        <v>14783718.950363779</v>
      </c>
    </row>
    <row r="168" spans="1:7" ht="15.75" customHeight="1">
      <c r="A168" s="107">
        <f t="shared" si="2"/>
        <v>156</v>
      </c>
      <c r="B168" s="107"/>
      <c r="C168" s="111"/>
      <c r="D168" s="123"/>
    </row>
    <row r="169" spans="1:7" ht="15.75" customHeight="1">
      <c r="A169" s="107">
        <f t="shared" si="2"/>
        <v>157</v>
      </c>
      <c r="B169" s="107"/>
      <c r="C169" s="130" t="s">
        <v>201</v>
      </c>
      <c r="D169" s="123"/>
    </row>
    <row r="170" spans="1:7" ht="15.75" customHeight="1">
      <c r="A170" s="107">
        <f t="shared" si="2"/>
        <v>158</v>
      </c>
      <c r="B170" s="114">
        <v>9320</v>
      </c>
      <c r="C170" s="115" t="s">
        <v>202</v>
      </c>
      <c r="D170" s="135">
        <f>'C.2.2 B 09'!P110</f>
        <v>0</v>
      </c>
    </row>
    <row r="171" spans="1:7" ht="15.75" customHeight="1">
      <c r="A171" s="107">
        <f t="shared" si="2"/>
        <v>159</v>
      </c>
      <c r="B171" s="107"/>
      <c r="C171" s="134" t="s">
        <v>203</v>
      </c>
      <c r="D171" s="147">
        <f>SUM(D170:D170)</f>
        <v>0</v>
      </c>
    </row>
    <row r="172" spans="1:7" ht="15.75" customHeight="1">
      <c r="A172" s="107">
        <f t="shared" si="2"/>
        <v>160</v>
      </c>
      <c r="B172" s="122"/>
      <c r="D172" s="131"/>
    </row>
    <row r="173" spans="1:7" ht="15.75" customHeight="1">
      <c r="A173" s="107">
        <f t="shared" si="2"/>
        <v>161</v>
      </c>
      <c r="B173" s="107"/>
      <c r="C173" s="112" t="s">
        <v>204</v>
      </c>
      <c r="D173" s="148">
        <f>+D38+D42+D54+D64+D74+D82+D104+D119+D132+D139+D146+D153+D167+D171</f>
        <v>95574611.222169563</v>
      </c>
      <c r="G173" s="113"/>
    </row>
    <row r="174" spans="1:7" ht="15.75" customHeight="1">
      <c r="A174" s="107">
        <f t="shared" si="2"/>
        <v>162</v>
      </c>
      <c r="B174" s="122"/>
      <c r="D174" s="131"/>
    </row>
    <row r="175" spans="1:7" ht="15.75" customHeight="1">
      <c r="A175" s="107">
        <f t="shared" si="2"/>
        <v>163</v>
      </c>
      <c r="B175" s="107" t="s">
        <v>205</v>
      </c>
      <c r="C175" s="108" t="s">
        <v>206</v>
      </c>
      <c r="D175" s="147">
        <f>SUM('C.2.2 B 09'!P14:P15)</f>
        <v>19287309.659369633</v>
      </c>
    </row>
    <row r="176" spans="1:7" ht="15.75" customHeight="1">
      <c r="A176" s="107">
        <f t="shared" si="2"/>
        <v>164</v>
      </c>
      <c r="B176" s="114">
        <v>4081</v>
      </c>
      <c r="C176" s="108" t="s">
        <v>207</v>
      </c>
      <c r="D176" s="133">
        <f>'C.2.2 B 09'!P16</f>
        <v>6344332.8655121727</v>
      </c>
    </row>
    <row r="177" spans="1:7" ht="15.75" customHeight="1">
      <c r="A177" s="107">
        <f t="shared" si="2"/>
        <v>165</v>
      </c>
      <c r="B177" s="114" t="s">
        <v>208</v>
      </c>
      <c r="C177" s="108" t="s">
        <v>209</v>
      </c>
      <c r="D177" s="121">
        <f>+E!E23</f>
        <v>11818977.753354946</v>
      </c>
      <c r="F177" s="126"/>
      <c r="G177" s="126"/>
    </row>
    <row r="178" spans="1:7" ht="15.75" customHeight="1">
      <c r="A178" s="107">
        <f t="shared" si="2"/>
        <v>166</v>
      </c>
      <c r="B178" s="122"/>
      <c r="D178" s="131"/>
    </row>
    <row r="179" spans="1:7" ht="15.75" customHeight="1">
      <c r="A179" s="107">
        <f t="shared" si="2"/>
        <v>167</v>
      </c>
      <c r="B179" s="149"/>
      <c r="C179" s="108" t="s">
        <v>210</v>
      </c>
      <c r="D179" s="135">
        <f>+D173+SUM(D175:D177)</f>
        <v>133025231.50040632</v>
      </c>
    </row>
    <row r="180" spans="1:7" ht="15.75" customHeight="1">
      <c r="A180" s="107">
        <f t="shared" si="2"/>
        <v>168</v>
      </c>
      <c r="B180" s="150"/>
      <c r="D180" s="131"/>
    </row>
    <row r="181" spans="1:7" ht="15.75" customHeight="1" thickBot="1">
      <c r="A181" s="107">
        <f t="shared" si="2"/>
        <v>169</v>
      </c>
      <c r="B181" s="149"/>
      <c r="C181" s="108" t="s">
        <v>211</v>
      </c>
      <c r="D181" s="151">
        <f>D32-D179</f>
        <v>26870016.991755724</v>
      </c>
    </row>
    <row r="182" spans="1:7" ht="15.75" customHeight="1" thickTop="1">
      <c r="B182" s="152"/>
    </row>
    <row r="183" spans="1:7" ht="15.75" customHeight="1">
      <c r="A183" s="111"/>
      <c r="B183" s="152"/>
    </row>
    <row r="184" spans="1:7" ht="15.75" customHeight="1"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0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94" fitToHeight="15" orientation="portrait" verticalDpi="300" r:id="rId1"/>
  <headerFooter alignWithMargins="0">
    <oddHeader>&amp;R&amp;8CASE NO. 2017-00349
ATTACHMENT 1
TO STAFF DR NO. 1-46
(SUPPLEMENT 01-03-18)</oddHeader>
    <oddFooter>&amp;RSchedule &amp;A
Page &amp;P of &amp;N</oddFooter>
  </headerFooter>
  <rowBreaks count="1" manualBreakCount="1">
    <brk id="11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42"/>
  <sheetViews>
    <sheetView view="pageBreakPreview" zoomScale="60" zoomScaleNormal="70" workbookViewId="0">
      <pane xSplit="3" ySplit="10" topLeftCell="D11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D11" sqref="D1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2" width="14.33203125" customWidth="1"/>
    <col min="13" max="13" width="12.44140625" bestFit="1" customWidth="1"/>
    <col min="14" max="14" width="12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69" t="s">
        <v>353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"/>
      <c r="R1" s="1"/>
      <c r="S1" s="1"/>
    </row>
    <row r="2" spans="1:21">
      <c r="A2" s="269" t="s">
        <v>354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"/>
      <c r="R2" s="1"/>
      <c r="S2" s="1"/>
    </row>
    <row r="3" spans="1:21">
      <c r="A3" s="269" t="s">
        <v>212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1"/>
      <c r="R3" s="1"/>
      <c r="S3" s="1"/>
    </row>
    <row r="4" spans="1:21">
      <c r="A4" s="269" t="s">
        <v>356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"/>
      <c r="R4" s="1"/>
      <c r="S4" s="1"/>
    </row>
    <row r="5" spans="1:21" ht="15.75">
      <c r="A5" s="77"/>
      <c r="B5" s="77"/>
      <c r="C5" s="77"/>
      <c r="D5" s="153"/>
      <c r="E5" s="154"/>
      <c r="F5" s="155"/>
      <c r="G5" s="77"/>
      <c r="H5" s="77"/>
      <c r="I5" s="77"/>
      <c r="J5" s="154"/>
      <c r="K5" s="155"/>
      <c r="L5" s="77"/>
      <c r="M5" s="77"/>
      <c r="N5" s="77"/>
      <c r="O5" s="77"/>
      <c r="P5" s="77"/>
      <c r="Q5" s="1"/>
      <c r="R5" s="1"/>
      <c r="S5" s="1"/>
    </row>
    <row r="6" spans="1:21" ht="15.75">
      <c r="A6" s="156" t="str">
        <f>'C.2.1 B'!A6</f>
        <v>Data:___X____Base Period________Forecasted Period</v>
      </c>
      <c r="B6" s="17"/>
      <c r="C6" s="17"/>
      <c r="D6" s="153"/>
      <c r="E6" s="153"/>
      <c r="F6" s="155"/>
      <c r="G6" s="153"/>
      <c r="H6" s="153"/>
      <c r="I6" s="153"/>
      <c r="J6" s="153"/>
      <c r="K6" s="154"/>
      <c r="L6" s="17"/>
      <c r="M6" s="17"/>
      <c r="N6" s="17"/>
      <c r="O6" s="77"/>
      <c r="P6" s="157" t="s">
        <v>213</v>
      </c>
      <c r="Q6" s="1"/>
      <c r="R6" s="1"/>
      <c r="S6" s="1"/>
    </row>
    <row r="7" spans="1:21">
      <c r="A7" s="156" t="str">
        <f>'C.2.1 B'!A7</f>
        <v>Type of Filing:___X____Original________Updated ________Revised</v>
      </c>
      <c r="B7" s="17"/>
      <c r="C7" s="17"/>
      <c r="D7" s="153"/>
      <c r="E7" s="158"/>
      <c r="F7" s="17"/>
      <c r="G7" s="17"/>
      <c r="H7" s="17"/>
      <c r="I7" s="17"/>
      <c r="J7" s="17"/>
      <c r="K7" s="17"/>
      <c r="L7" s="17"/>
      <c r="M7" s="17"/>
      <c r="N7" s="17"/>
      <c r="O7" s="77"/>
      <c r="P7" s="159" t="s">
        <v>214</v>
      </c>
      <c r="Q7" s="1"/>
      <c r="R7" s="1"/>
      <c r="S7" s="1"/>
    </row>
    <row r="8" spans="1:21">
      <c r="A8" s="160" t="str">
        <f>'C.2.1 B'!A8</f>
        <v>Workpaper Reference No(s).____________________</v>
      </c>
      <c r="B8" s="17"/>
      <c r="C8" s="17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63" t="str">
        <f>C.1!J9</f>
        <v>Witness: Waller, Martin</v>
      </c>
      <c r="Q8" s="1"/>
      <c r="R8" s="1"/>
      <c r="S8" s="1"/>
    </row>
    <row r="9" spans="1:21">
      <c r="A9" s="164" t="s">
        <v>9</v>
      </c>
      <c r="B9" s="165" t="s">
        <v>215</v>
      </c>
      <c r="C9" s="166"/>
      <c r="D9" s="167" t="s">
        <v>216</v>
      </c>
      <c r="E9" s="167" t="s">
        <v>216</v>
      </c>
      <c r="F9" s="167" t="s">
        <v>216</v>
      </c>
      <c r="G9" s="167" t="s">
        <v>216</v>
      </c>
      <c r="H9" s="167" t="s">
        <v>216</v>
      </c>
      <c r="I9" s="167" t="s">
        <v>216</v>
      </c>
      <c r="J9" s="167" t="s">
        <v>216</v>
      </c>
      <c r="K9" s="167" t="s">
        <v>216</v>
      </c>
      <c r="L9" s="167" t="s">
        <v>216</v>
      </c>
      <c r="M9" s="167" t="s">
        <v>216</v>
      </c>
      <c r="N9" s="167" t="s">
        <v>216</v>
      </c>
      <c r="O9" s="168" t="s">
        <v>217</v>
      </c>
      <c r="P9" s="77"/>
      <c r="Q9" s="9"/>
      <c r="R9" s="9"/>
      <c r="S9" s="9"/>
    </row>
    <row r="10" spans="1:21">
      <c r="A10" s="169" t="s">
        <v>12</v>
      </c>
      <c r="B10" s="170" t="s">
        <v>12</v>
      </c>
      <c r="C10" s="171" t="s">
        <v>218</v>
      </c>
      <c r="D10" s="172">
        <v>42736</v>
      </c>
      <c r="E10" s="172">
        <v>42767</v>
      </c>
      <c r="F10" s="172">
        <v>42795</v>
      </c>
      <c r="G10" s="172">
        <v>42826</v>
      </c>
      <c r="H10" s="172">
        <v>42856</v>
      </c>
      <c r="I10" s="172">
        <v>42887</v>
      </c>
      <c r="J10" s="172">
        <v>42917</v>
      </c>
      <c r="K10" s="172">
        <v>42948</v>
      </c>
      <c r="L10" s="172">
        <v>42979</v>
      </c>
      <c r="M10" s="172">
        <v>43009</v>
      </c>
      <c r="N10" s="172">
        <v>43040</v>
      </c>
      <c r="O10" s="172">
        <v>43070</v>
      </c>
      <c r="P10" s="173" t="s">
        <v>219</v>
      </c>
      <c r="Q10" s="174"/>
      <c r="R10" s="9"/>
      <c r="S10" s="9"/>
    </row>
    <row r="11" spans="1:21">
      <c r="A11" s="17"/>
      <c r="B11" s="17"/>
      <c r="C11" s="17"/>
      <c r="D11" s="64" t="s">
        <v>220</v>
      </c>
      <c r="E11" s="64" t="s">
        <v>220</v>
      </c>
      <c r="F11" s="64" t="s">
        <v>220</v>
      </c>
      <c r="G11" s="64" t="s">
        <v>220</v>
      </c>
      <c r="H11" s="64" t="s">
        <v>220</v>
      </c>
      <c r="I11" s="64" t="s">
        <v>220</v>
      </c>
      <c r="J11" s="64" t="s">
        <v>220</v>
      </c>
      <c r="K11" s="64" t="s">
        <v>220</v>
      </c>
      <c r="L11" s="64" t="s">
        <v>220</v>
      </c>
      <c r="M11" s="64" t="s">
        <v>220</v>
      </c>
      <c r="N11" s="64" t="s">
        <v>220</v>
      </c>
      <c r="O11" s="64" t="s">
        <v>220</v>
      </c>
      <c r="P11" s="64" t="s">
        <v>220</v>
      </c>
      <c r="Q11" s="10"/>
      <c r="R11" s="1"/>
    </row>
    <row r="12" spans="1:21">
      <c r="A12" s="77">
        <v>1</v>
      </c>
      <c r="B12" s="175" t="s">
        <v>208</v>
      </c>
      <c r="C12" s="176" t="s">
        <v>221</v>
      </c>
      <c r="D12" s="113">
        <f>0</f>
        <v>0</v>
      </c>
      <c r="E12" s="113">
        <f>0</f>
        <v>0</v>
      </c>
      <c r="F12" s="113">
        <f>0</f>
        <v>0</v>
      </c>
      <c r="G12" s="113">
        <f>0</f>
        <v>0</v>
      </c>
      <c r="H12" s="113" t="s">
        <v>222</v>
      </c>
      <c r="I12" s="113">
        <f>0</f>
        <v>0</v>
      </c>
      <c r="J12" s="131">
        <v>0</v>
      </c>
      <c r="K12" s="131">
        <v>0</v>
      </c>
      <c r="L12" s="131">
        <v>9696755</v>
      </c>
      <c r="M12" s="131">
        <v>0</v>
      </c>
      <c r="N12" s="131">
        <v>0</v>
      </c>
      <c r="O12" s="131">
        <f>E!$E$23/6</f>
        <v>1969829.6255591577</v>
      </c>
      <c r="P12" s="17">
        <f>SUM(D12:O12)</f>
        <v>11666584.625559159</v>
      </c>
      <c r="Q12" s="75"/>
      <c r="R12" s="75"/>
      <c r="S12" s="75"/>
      <c r="U12" s="177"/>
    </row>
    <row r="13" spans="1:21">
      <c r="A13" s="77">
        <f t="shared" ref="A13:A77" si="0">A12+1</f>
        <v>2</v>
      </c>
      <c r="B13" s="175"/>
      <c r="C13" s="17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7"/>
      <c r="R13" s="1"/>
      <c r="S13" s="1"/>
    </row>
    <row r="14" spans="1:21">
      <c r="A14" s="77">
        <f t="shared" si="0"/>
        <v>3</v>
      </c>
      <c r="B14" s="175">
        <v>4030</v>
      </c>
      <c r="C14" s="17" t="s">
        <v>59</v>
      </c>
      <c r="D14" s="178">
        <v>1539524.1799999997</v>
      </c>
      <c r="E14" s="178">
        <v>1543650.84</v>
      </c>
      <c r="F14" s="178">
        <v>1552616.9000000004</v>
      </c>
      <c r="G14" s="178">
        <v>1562447.87</v>
      </c>
      <c r="H14" s="178">
        <v>1569259.6400000001</v>
      </c>
      <c r="I14" s="178">
        <v>1584165.39</v>
      </c>
      <c r="J14" s="178">
        <v>1601637.62</v>
      </c>
      <c r="K14" s="178">
        <v>1667758.54</v>
      </c>
      <c r="L14" s="178">
        <v>1741364.87</v>
      </c>
      <c r="M14" s="178">
        <v>1651264.02</v>
      </c>
      <c r="N14" s="178">
        <v>1655116.7099999997</v>
      </c>
      <c r="O14" s="178">
        <v>1569037.90936963</v>
      </c>
      <c r="P14" s="17">
        <f t="shared" ref="P14:P78" si="1">SUM(D14:O14)</f>
        <v>19237844.489369631</v>
      </c>
      <c r="Q14" s="179"/>
      <c r="R14" s="17"/>
      <c r="S14" s="17"/>
    </row>
    <row r="15" spans="1:21">
      <c r="A15" s="77">
        <f t="shared" si="0"/>
        <v>4</v>
      </c>
      <c r="B15" s="175">
        <v>4060</v>
      </c>
      <c r="C15" s="17" t="s">
        <v>223</v>
      </c>
      <c r="D15" s="178">
        <v>4131.76</v>
      </c>
      <c r="E15" s="178">
        <v>4131.76</v>
      </c>
      <c r="F15" s="178">
        <v>4131.76</v>
      </c>
      <c r="G15" s="178">
        <v>4131.76</v>
      </c>
      <c r="H15" s="178">
        <v>4131.76</v>
      </c>
      <c r="I15" s="178">
        <v>4131.76</v>
      </c>
      <c r="J15" s="178">
        <v>4131.76</v>
      </c>
      <c r="K15" s="178">
        <v>4131.76</v>
      </c>
      <c r="L15" s="178">
        <v>4131.76</v>
      </c>
      <c r="M15" s="178">
        <v>4093.11</v>
      </c>
      <c r="N15" s="178">
        <v>4093.11</v>
      </c>
      <c r="O15" s="178">
        <f t="shared" ref="O15" si="2">N15</f>
        <v>4093.11</v>
      </c>
      <c r="P15" s="17">
        <f t="shared" si="1"/>
        <v>49465.170000000013</v>
      </c>
      <c r="R15" s="75"/>
      <c r="S15" s="1"/>
    </row>
    <row r="16" spans="1:21">
      <c r="A16" s="77">
        <f t="shared" si="0"/>
        <v>5</v>
      </c>
      <c r="B16" s="175">
        <v>4081</v>
      </c>
      <c r="C16" s="17" t="s">
        <v>224</v>
      </c>
      <c r="D16" s="178">
        <v>430926.30000000005</v>
      </c>
      <c r="E16" s="178">
        <v>346632.42000000004</v>
      </c>
      <c r="F16" s="178">
        <v>374616.85000000021</v>
      </c>
      <c r="G16" s="178">
        <v>250215.94999999992</v>
      </c>
      <c r="H16" s="178">
        <v>471464.82999999996</v>
      </c>
      <c r="I16" s="178">
        <v>389331.08</v>
      </c>
      <c r="J16" s="178">
        <v>352414.40999999986</v>
      </c>
      <c r="K16" s="178">
        <v>342448.07</v>
      </c>
      <c r="L16" s="178">
        <v>1847277.6</v>
      </c>
      <c r="M16" s="178">
        <v>485420.8000000004</v>
      </c>
      <c r="N16" s="178">
        <v>587902.88</v>
      </c>
      <c r="O16" s="178">
        <v>465681.67551217193</v>
      </c>
      <c r="P16" s="17">
        <f>SUM(D16:O16)</f>
        <v>6344332.8655121727</v>
      </c>
      <c r="Q16" s="75"/>
      <c r="R16" s="158"/>
      <c r="S16" s="75"/>
    </row>
    <row r="17" spans="1:25">
      <c r="A17" s="77">
        <f t="shared" si="0"/>
        <v>6</v>
      </c>
      <c r="B17" s="175">
        <v>4800</v>
      </c>
      <c r="C17" s="180" t="s">
        <v>225</v>
      </c>
      <c r="D17" s="178">
        <v>-14513202.599999998</v>
      </c>
      <c r="E17" s="178">
        <v>-12401756.080000002</v>
      </c>
      <c r="F17" s="178">
        <v>-9837265.3999999985</v>
      </c>
      <c r="G17" s="178">
        <v>-7970174.8899999997</v>
      </c>
      <c r="H17" s="178">
        <v>-5001329.6400000006</v>
      </c>
      <c r="I17" s="178">
        <v>-4280264.37</v>
      </c>
      <c r="J17" s="113">
        <v>-3912521.84</v>
      </c>
      <c r="K17" s="113">
        <v>-3911149.9200000004</v>
      </c>
      <c r="L17" s="113">
        <v>-4056094.69</v>
      </c>
      <c r="M17" s="113">
        <v>-4053405.99</v>
      </c>
      <c r="N17" s="113">
        <v>-7728795.4499999993</v>
      </c>
      <c r="O17" s="113">
        <v>-12560923.913642969</v>
      </c>
      <c r="P17" s="17">
        <f t="shared" si="1"/>
        <v>-90226884.783642963</v>
      </c>
      <c r="Q17" s="1"/>
      <c r="R17" s="1"/>
      <c r="S17" s="1"/>
    </row>
    <row r="18" spans="1:25">
      <c r="A18" s="77">
        <f t="shared" si="0"/>
        <v>7</v>
      </c>
      <c r="B18" s="175">
        <v>4805</v>
      </c>
      <c r="C18" s="180" t="s">
        <v>226</v>
      </c>
      <c r="D18" s="178">
        <v>-469639.75</v>
      </c>
      <c r="E18" s="178">
        <v>1575634.25</v>
      </c>
      <c r="F18" s="178">
        <v>970697.5</v>
      </c>
      <c r="G18" s="178">
        <v>1251100.75</v>
      </c>
      <c r="H18" s="178">
        <v>548262.25</v>
      </c>
      <c r="I18" s="178">
        <v>160043.25</v>
      </c>
      <c r="J18" s="113">
        <v>85111.75</v>
      </c>
      <c r="K18" s="113">
        <v>-22429.25</v>
      </c>
      <c r="L18" s="113">
        <v>37437</v>
      </c>
      <c r="M18" s="113">
        <v>-1732244.94</v>
      </c>
      <c r="N18" s="113">
        <v>-2209700.5300000003</v>
      </c>
      <c r="O18" s="113"/>
      <c r="P18" s="17">
        <f t="shared" si="1"/>
        <v>194272.2799999998</v>
      </c>
      <c r="Q18" s="1"/>
      <c r="R18" s="1"/>
      <c r="S18" s="1"/>
    </row>
    <row r="19" spans="1:25">
      <c r="A19" s="77">
        <f t="shared" si="0"/>
        <v>8</v>
      </c>
      <c r="B19" s="175">
        <v>4811</v>
      </c>
      <c r="C19" s="180" t="s">
        <v>227</v>
      </c>
      <c r="D19" s="178">
        <v>-6015709.9900000002</v>
      </c>
      <c r="E19" s="178">
        <v>-4997093.8500000006</v>
      </c>
      <c r="F19" s="178">
        <v>-3975390.9000000004</v>
      </c>
      <c r="G19" s="178">
        <v>-3087843.16</v>
      </c>
      <c r="H19" s="178">
        <v>-2175017.16</v>
      </c>
      <c r="I19" s="178">
        <v>-1875289.33</v>
      </c>
      <c r="J19" s="113">
        <v>-1734375.6</v>
      </c>
      <c r="K19" s="113">
        <v>-1857062.48</v>
      </c>
      <c r="L19" s="113">
        <v>-2143314.75</v>
      </c>
      <c r="M19" s="113">
        <v>-2077847.2200000002</v>
      </c>
      <c r="N19" s="113">
        <v>-3292933.4299999997</v>
      </c>
      <c r="O19" s="113">
        <v>-4940966.5934923086</v>
      </c>
      <c r="P19" s="17">
        <f t="shared" si="1"/>
        <v>-38172844.463492312</v>
      </c>
      <c r="Q19" s="1"/>
      <c r="R19" s="75"/>
      <c r="S19" s="1"/>
    </row>
    <row r="20" spans="1:25">
      <c r="A20" s="77">
        <f t="shared" si="0"/>
        <v>9</v>
      </c>
      <c r="B20" s="175">
        <v>4812</v>
      </c>
      <c r="C20" s="17" t="s">
        <v>228</v>
      </c>
      <c r="D20" s="178">
        <v>-879114.97</v>
      </c>
      <c r="E20" s="178">
        <v>-863109.11</v>
      </c>
      <c r="F20" s="178">
        <v>-978759.8899999999</v>
      </c>
      <c r="G20" s="178">
        <v>-585026.64</v>
      </c>
      <c r="H20" s="178">
        <v>-578724.99</v>
      </c>
      <c r="I20" s="178">
        <v>-688370.26</v>
      </c>
      <c r="J20" s="113">
        <v>-212760.40000000002</v>
      </c>
      <c r="K20" s="113">
        <v>-235589.72999999998</v>
      </c>
      <c r="L20" s="113">
        <v>-231267.35</v>
      </c>
      <c r="M20" s="113">
        <v>-292940.27999999997</v>
      </c>
      <c r="N20" s="113">
        <v>-367965.44</v>
      </c>
      <c r="O20" s="113">
        <v>-666571.78784753638</v>
      </c>
      <c r="P20" s="17">
        <f t="shared" si="1"/>
        <v>-6580200.8478475371</v>
      </c>
      <c r="Q20" s="1"/>
      <c r="R20" s="75"/>
      <c r="S20" s="1"/>
    </row>
    <row r="21" spans="1:25">
      <c r="A21" s="77">
        <f t="shared" si="0"/>
        <v>10</v>
      </c>
      <c r="B21" s="175">
        <v>4815</v>
      </c>
      <c r="C21" s="17" t="s">
        <v>229</v>
      </c>
      <c r="D21" s="178">
        <v>-312723</v>
      </c>
      <c r="E21" s="178">
        <v>758592.75</v>
      </c>
      <c r="F21" s="178">
        <v>351237.75</v>
      </c>
      <c r="G21" s="178">
        <v>564893.75</v>
      </c>
      <c r="H21" s="178">
        <v>122835.5</v>
      </c>
      <c r="I21" s="178">
        <v>39474</v>
      </c>
      <c r="J21" s="113">
        <v>-4160.5</v>
      </c>
      <c r="K21" s="113">
        <v>-91081.5</v>
      </c>
      <c r="L21" s="113">
        <v>-23863</v>
      </c>
      <c r="M21" s="113">
        <v>-346070.52</v>
      </c>
      <c r="N21" s="113">
        <v>-931188.41</v>
      </c>
      <c r="O21" s="113"/>
      <c r="P21" s="17">
        <f t="shared" si="1"/>
        <v>127946.81999999995</v>
      </c>
      <c r="Q21" s="1"/>
      <c r="R21" s="75"/>
      <c r="S21" s="1"/>
    </row>
    <row r="22" spans="1:25">
      <c r="A22" s="77">
        <f t="shared" si="0"/>
        <v>11</v>
      </c>
      <c r="B22" s="175">
        <v>4816</v>
      </c>
      <c r="C22" s="17" t="s">
        <v>230</v>
      </c>
      <c r="D22" s="178">
        <v>-193638.24</v>
      </c>
      <c r="E22" s="178">
        <v>-209627.9</v>
      </c>
      <c r="F22" s="178">
        <v>243164.97</v>
      </c>
      <c r="G22" s="178">
        <v>33559.599999999999</v>
      </c>
      <c r="H22" s="178">
        <v>-179297.55000000002</v>
      </c>
      <c r="I22" s="178">
        <v>405234.05000000005</v>
      </c>
      <c r="J22" s="113">
        <v>27342.12</v>
      </c>
      <c r="K22" s="113">
        <v>-8621.2899999999991</v>
      </c>
      <c r="L22" s="113">
        <v>275.56</v>
      </c>
      <c r="M22" s="113">
        <v>8285.49</v>
      </c>
      <c r="N22" s="113">
        <v>-40835.480000000003</v>
      </c>
      <c r="O22" s="113"/>
      <c r="P22" s="17">
        <f t="shared" si="1"/>
        <v>85841.330000000045</v>
      </c>
      <c r="R22" s="75"/>
      <c r="S22" s="1"/>
    </row>
    <row r="23" spans="1:25">
      <c r="A23" s="77">
        <f t="shared" si="0"/>
        <v>12</v>
      </c>
      <c r="B23" s="175">
        <v>4820</v>
      </c>
      <c r="C23" s="17" t="s">
        <v>231</v>
      </c>
      <c r="D23" s="178">
        <v>-1046459.38</v>
      </c>
      <c r="E23" s="178">
        <v>-877899.77999999991</v>
      </c>
      <c r="F23" s="178">
        <v>-710312.75</v>
      </c>
      <c r="G23" s="178">
        <v>-551378.64</v>
      </c>
      <c r="H23" s="178">
        <v>-335450.63</v>
      </c>
      <c r="I23" s="178">
        <v>-257582.33</v>
      </c>
      <c r="J23" s="113">
        <v>-216697.01</v>
      </c>
      <c r="K23" s="113">
        <v>-235765.87999999998</v>
      </c>
      <c r="L23" s="113">
        <v>-231291.71000000002</v>
      </c>
      <c r="M23" s="113">
        <v>-274326.17</v>
      </c>
      <c r="N23" s="113">
        <v>-526757.1</v>
      </c>
      <c r="O23" s="113">
        <v>-911440.84380762954</v>
      </c>
      <c r="P23" s="17">
        <f t="shared" si="1"/>
        <v>-6175362.2238076292</v>
      </c>
      <c r="Q23" s="17"/>
      <c r="R23" s="75"/>
      <c r="S23" s="1"/>
    </row>
    <row r="24" spans="1:25">
      <c r="A24" s="77">
        <f t="shared" si="0"/>
        <v>13</v>
      </c>
      <c r="B24" s="175">
        <v>4825</v>
      </c>
      <c r="C24" s="17" t="s">
        <v>232</v>
      </c>
      <c r="D24" s="178">
        <v>-27855</v>
      </c>
      <c r="E24" s="178">
        <v>138141</v>
      </c>
      <c r="F24" s="178">
        <v>61310</v>
      </c>
      <c r="G24" s="178">
        <v>110081</v>
      </c>
      <c r="H24" s="178">
        <v>34779</v>
      </c>
      <c r="I24" s="178">
        <v>12969</v>
      </c>
      <c r="J24" s="113">
        <v>7033</v>
      </c>
      <c r="K24" s="113">
        <v>-13856</v>
      </c>
      <c r="L24" s="113">
        <v>15695</v>
      </c>
      <c r="M24" s="113">
        <v>-185527.91</v>
      </c>
      <c r="N24" s="113">
        <v>-165179.08000000002</v>
      </c>
      <c r="O24" s="113"/>
      <c r="P24" s="17">
        <f t="shared" si="1"/>
        <v>-12409.99000000002</v>
      </c>
      <c r="S24" s="1"/>
    </row>
    <row r="25" spans="1:25">
      <c r="A25" s="77">
        <f t="shared" si="0"/>
        <v>14</v>
      </c>
      <c r="B25" s="175">
        <v>4870</v>
      </c>
      <c r="C25" s="17" t="s">
        <v>233</v>
      </c>
      <c r="D25" s="178">
        <v>-164679.28</v>
      </c>
      <c r="E25" s="178">
        <v>-178264.2</v>
      </c>
      <c r="F25" s="178">
        <v>-212874.13</v>
      </c>
      <c r="G25" s="178">
        <v>-110474.21</v>
      </c>
      <c r="H25" s="178">
        <v>-89244.24</v>
      </c>
      <c r="I25" s="178">
        <v>-73989.83</v>
      </c>
      <c r="J25" s="113">
        <v>-49237.84</v>
      </c>
      <c r="K25" s="113">
        <v>-67375.86</v>
      </c>
      <c r="L25" s="113">
        <v>-42564.160000000003</v>
      </c>
      <c r="M25" s="113">
        <v>-57504.18</v>
      </c>
      <c r="N25" s="113">
        <v>-63836.83</v>
      </c>
      <c r="O25" s="113">
        <v>-111350.6264652091</v>
      </c>
      <c r="P25" s="17">
        <f t="shared" si="1"/>
        <v>-1221395.3864652091</v>
      </c>
      <c r="R25" s="1"/>
      <c r="S25" s="1"/>
    </row>
    <row r="26" spans="1:25">
      <c r="A26" s="77">
        <f t="shared" si="0"/>
        <v>15</v>
      </c>
      <c r="B26" s="175">
        <v>4880</v>
      </c>
      <c r="C26" s="17" t="s">
        <v>234</v>
      </c>
      <c r="D26" s="178">
        <v>-58143</v>
      </c>
      <c r="E26" s="178">
        <v>-54428</v>
      </c>
      <c r="F26" s="178">
        <v>-74827</v>
      </c>
      <c r="G26" s="178">
        <v>-49906</v>
      </c>
      <c r="H26" s="178">
        <v>-53615</v>
      </c>
      <c r="I26" s="178">
        <v>-55356</v>
      </c>
      <c r="J26" s="113">
        <v>-45000</v>
      </c>
      <c r="K26" s="113">
        <v>-56467.45</v>
      </c>
      <c r="L26" s="113">
        <v>-56889.55</v>
      </c>
      <c r="M26" s="113">
        <v>-113182</v>
      </c>
      <c r="N26" s="113">
        <v>-111321</v>
      </c>
      <c r="O26" s="113">
        <v>-87101</v>
      </c>
      <c r="P26" s="17">
        <f t="shared" si="1"/>
        <v>-816236</v>
      </c>
      <c r="R26" s="1"/>
      <c r="S26" s="1"/>
    </row>
    <row r="27" spans="1:25">
      <c r="A27" s="77">
        <f t="shared" si="0"/>
        <v>16</v>
      </c>
      <c r="B27" s="175">
        <v>4893</v>
      </c>
      <c r="C27" s="17" t="s">
        <v>235</v>
      </c>
      <c r="D27" s="178">
        <v>-1601632.24</v>
      </c>
      <c r="E27" s="178">
        <v>-1516342.71</v>
      </c>
      <c r="F27" s="178">
        <v>-1462848.99</v>
      </c>
      <c r="G27" s="178">
        <v>-1288495.24</v>
      </c>
      <c r="H27" s="178">
        <v>-1321434.6400000001</v>
      </c>
      <c r="I27" s="178">
        <v>-1287337.8499999999</v>
      </c>
      <c r="J27" s="113">
        <v>-1182276.58</v>
      </c>
      <c r="K27" s="113">
        <v>-1275238.4100000001</v>
      </c>
      <c r="L27" s="113">
        <v>-1291704.83</v>
      </c>
      <c r="M27" s="113">
        <v>-1481953.7199999997</v>
      </c>
      <c r="N27" s="113">
        <v>-1653314.1</v>
      </c>
      <c r="O27" s="113">
        <v>-1505273.8931012994</v>
      </c>
      <c r="P27" s="17">
        <f t="shared" si="1"/>
        <v>-16867853.2031013</v>
      </c>
      <c r="Q27" s="181"/>
      <c r="R27" s="154"/>
      <c r="S27" s="154"/>
      <c r="T27" s="154"/>
      <c r="U27" s="154"/>
      <c r="V27" s="154"/>
      <c r="W27" s="154"/>
      <c r="X27" s="154"/>
      <c r="Y27" s="154"/>
    </row>
    <row r="28" spans="1:25">
      <c r="A28" s="77">
        <f t="shared" si="0"/>
        <v>17</v>
      </c>
      <c r="B28" s="175">
        <v>4950</v>
      </c>
      <c r="C28" s="17" t="s">
        <v>88</v>
      </c>
      <c r="D28" s="178">
        <f>0</f>
        <v>0</v>
      </c>
      <c r="E28" s="178">
        <f>0</f>
        <v>0</v>
      </c>
      <c r="F28" s="178">
        <f>0</f>
        <v>0</v>
      </c>
      <c r="G28" s="178">
        <f>0</f>
        <v>0</v>
      </c>
      <c r="H28" s="178">
        <f>0</f>
        <v>0</v>
      </c>
      <c r="I28" s="178">
        <f>0</f>
        <v>0</v>
      </c>
      <c r="J28" s="113"/>
      <c r="K28" s="113"/>
      <c r="L28" s="113"/>
      <c r="M28" s="113">
        <v>0</v>
      </c>
      <c r="N28" s="113">
        <v>0</v>
      </c>
      <c r="O28" s="113">
        <v>-230122.0238050755</v>
      </c>
      <c r="P28" s="17">
        <f t="shared" si="1"/>
        <v>-230122.0238050755</v>
      </c>
      <c r="Q28" s="182"/>
    </row>
    <row r="29" spans="1:25">
      <c r="A29" s="77">
        <f t="shared" si="0"/>
        <v>18</v>
      </c>
      <c r="B29" s="175">
        <v>7560</v>
      </c>
      <c r="C29" s="154" t="s">
        <v>236</v>
      </c>
      <c r="D29" s="178">
        <f>0</f>
        <v>0</v>
      </c>
      <c r="E29" s="178">
        <f>0</f>
        <v>0</v>
      </c>
      <c r="F29" s="178">
        <f>0</f>
        <v>0</v>
      </c>
      <c r="G29" s="178">
        <f>0</f>
        <v>0</v>
      </c>
      <c r="H29" s="178">
        <f>0</f>
        <v>0</v>
      </c>
      <c r="I29" s="178">
        <f>0</f>
        <v>0</v>
      </c>
      <c r="J29" s="131"/>
      <c r="K29" s="131"/>
      <c r="L29" s="131"/>
      <c r="M29" s="131">
        <v>0</v>
      </c>
      <c r="N29" s="131">
        <v>0</v>
      </c>
      <c r="O29" s="131">
        <v>0</v>
      </c>
      <c r="P29" s="17">
        <f t="shared" si="1"/>
        <v>0</v>
      </c>
      <c r="S29" s="1"/>
    </row>
    <row r="30" spans="1:25">
      <c r="A30" s="77">
        <f t="shared" si="0"/>
        <v>19</v>
      </c>
      <c r="B30" s="175">
        <v>7590</v>
      </c>
      <c r="C30" s="176" t="s">
        <v>94</v>
      </c>
      <c r="D30" s="178">
        <f>0</f>
        <v>0</v>
      </c>
      <c r="E30" s="178">
        <f>0</f>
        <v>0</v>
      </c>
      <c r="F30" s="178">
        <f>0</f>
        <v>0</v>
      </c>
      <c r="G30" s="178">
        <f>0</f>
        <v>0</v>
      </c>
      <c r="H30" s="178">
        <f>0</f>
        <v>0</v>
      </c>
      <c r="I30" s="178">
        <f>0</f>
        <v>0</v>
      </c>
      <c r="J30" s="131"/>
      <c r="K30" s="131"/>
      <c r="L30" s="131"/>
      <c r="M30" s="131">
        <v>0</v>
      </c>
      <c r="N30" s="131">
        <v>0</v>
      </c>
      <c r="O30" s="131">
        <v>0</v>
      </c>
      <c r="P30" s="17">
        <f t="shared" si="1"/>
        <v>0</v>
      </c>
      <c r="S30" s="1"/>
    </row>
    <row r="31" spans="1:25">
      <c r="A31" s="77">
        <f t="shared" si="0"/>
        <v>20</v>
      </c>
      <c r="B31" s="175">
        <v>8001</v>
      </c>
      <c r="C31" s="17" t="s">
        <v>136</v>
      </c>
      <c r="D31" s="178">
        <f>0</f>
        <v>0</v>
      </c>
      <c r="E31" s="178">
        <f>0</f>
        <v>0</v>
      </c>
      <c r="F31" s="178">
        <f>0</f>
        <v>0</v>
      </c>
      <c r="G31" s="178">
        <f>0</f>
        <v>0</v>
      </c>
      <c r="H31" s="178">
        <f>0</f>
        <v>0</v>
      </c>
      <c r="I31" s="178">
        <f>0</f>
        <v>0</v>
      </c>
      <c r="J31" s="113"/>
      <c r="K31" s="113"/>
      <c r="L31" s="113"/>
      <c r="M31" s="113">
        <v>0</v>
      </c>
      <c r="N31" s="113">
        <v>0</v>
      </c>
      <c r="O31" s="113">
        <v>0</v>
      </c>
      <c r="P31" s="17">
        <f t="shared" si="1"/>
        <v>0</v>
      </c>
      <c r="Q31" s="75"/>
      <c r="R31" s="75"/>
      <c r="S31" s="1"/>
    </row>
    <row r="32" spans="1:25">
      <c r="A32" s="77">
        <f t="shared" si="0"/>
        <v>21</v>
      </c>
      <c r="B32" s="175">
        <v>8010</v>
      </c>
      <c r="C32" s="176" t="s">
        <v>237</v>
      </c>
      <c r="D32" s="178">
        <v>5288.75</v>
      </c>
      <c r="E32" s="178">
        <v>4114.3100000000004</v>
      </c>
      <c r="F32" s="178">
        <v>3199.16</v>
      </c>
      <c r="G32" s="178">
        <v>3575.42</v>
      </c>
      <c r="H32" s="178">
        <v>6495.27</v>
      </c>
      <c r="I32" s="178">
        <v>4692.6899999999996</v>
      </c>
      <c r="J32" s="264">
        <v>6710.93</v>
      </c>
      <c r="K32" s="264">
        <v>6637.43</v>
      </c>
      <c r="L32" s="264">
        <v>7867.58</v>
      </c>
      <c r="M32" s="264">
        <v>8356</v>
      </c>
      <c r="N32" s="264">
        <v>5349.93</v>
      </c>
      <c r="O32" s="113">
        <v>3918.3676947158756</v>
      </c>
      <c r="P32" s="17">
        <f t="shared" si="1"/>
        <v>66205.837694715883</v>
      </c>
      <c r="Q32" s="1"/>
      <c r="R32" s="1"/>
      <c r="S32" s="1"/>
    </row>
    <row r="33" spans="1:19">
      <c r="A33" s="77">
        <f t="shared" si="0"/>
        <v>22</v>
      </c>
      <c r="B33" s="175">
        <v>8040</v>
      </c>
      <c r="C33" s="17" t="s">
        <v>238</v>
      </c>
      <c r="D33" s="178">
        <v>5595688.3600000003</v>
      </c>
      <c r="E33" s="178">
        <v>4352529.0599999996</v>
      </c>
      <c r="F33" s="178">
        <v>337618.93</v>
      </c>
      <c r="G33" s="178">
        <v>768369.22000000009</v>
      </c>
      <c r="H33" s="178">
        <v>5923128.8099999996</v>
      </c>
      <c r="I33" s="178">
        <v>4115123.04</v>
      </c>
      <c r="J33" s="264">
        <v>5297870.5</v>
      </c>
      <c r="K33" s="264">
        <v>4117575.08</v>
      </c>
      <c r="L33" s="264">
        <v>4229436.0299999993</v>
      </c>
      <c r="M33" s="264">
        <v>4366383.43</v>
      </c>
      <c r="N33" s="264">
        <v>5981127.2799999993</v>
      </c>
      <c r="O33" s="113">
        <v>1272096.3023464815</v>
      </c>
      <c r="P33" s="17">
        <f t="shared" si="1"/>
        <v>46356946.042346485</v>
      </c>
      <c r="Q33" s="1"/>
      <c r="R33" s="75"/>
      <c r="S33" s="1"/>
    </row>
    <row r="34" spans="1:19">
      <c r="A34" s="77">
        <f t="shared" si="0"/>
        <v>23</v>
      </c>
      <c r="B34" s="175">
        <v>8050</v>
      </c>
      <c r="C34" s="17" t="s">
        <v>239</v>
      </c>
      <c r="D34" s="178">
        <v>-885.57</v>
      </c>
      <c r="E34" s="178">
        <v>-310.92</v>
      </c>
      <c r="F34" s="178">
        <v>-228.3</v>
      </c>
      <c r="G34" s="178">
        <v>-69.099999999999994</v>
      </c>
      <c r="H34" s="178">
        <v>-1817.86</v>
      </c>
      <c r="I34" s="178">
        <v>-783.41</v>
      </c>
      <c r="J34" s="264">
        <v>-268.95</v>
      </c>
      <c r="K34" s="264">
        <v>-838.27</v>
      </c>
      <c r="L34" s="264">
        <v>-2308.62</v>
      </c>
      <c r="M34" s="264">
        <v>-1303.67</v>
      </c>
      <c r="N34" s="264">
        <v>-89.34</v>
      </c>
      <c r="O34" s="113">
        <v>-5051.6632533634011</v>
      </c>
      <c r="P34" s="17">
        <f t="shared" si="1"/>
        <v>-13955.673253363399</v>
      </c>
      <c r="Q34" s="1"/>
      <c r="R34" s="75"/>
      <c r="S34" s="1"/>
    </row>
    <row r="35" spans="1:19">
      <c r="A35" s="77">
        <f t="shared" si="0"/>
        <v>24</v>
      </c>
      <c r="B35" s="175">
        <v>8051</v>
      </c>
      <c r="C35" s="17" t="s">
        <v>240</v>
      </c>
      <c r="D35" s="178">
        <v>8024574.0700000003</v>
      </c>
      <c r="E35" s="178">
        <v>6235593.46</v>
      </c>
      <c r="F35" s="178">
        <v>4547479.01</v>
      </c>
      <c r="G35" s="178">
        <v>3361821.54</v>
      </c>
      <c r="H35" s="178">
        <v>1534503.17</v>
      </c>
      <c r="I35" s="178">
        <v>1025911.25</v>
      </c>
      <c r="J35" s="264">
        <v>771646.85</v>
      </c>
      <c r="K35" s="264">
        <v>756799.97</v>
      </c>
      <c r="L35" s="264">
        <v>893394.16</v>
      </c>
      <c r="M35" s="264">
        <v>871077.07</v>
      </c>
      <c r="N35" s="264">
        <v>3467738.49</v>
      </c>
      <c r="O35" s="113">
        <v>5760891.6874248302</v>
      </c>
      <c r="P35" s="17">
        <f t="shared" si="1"/>
        <v>37251430.72742483</v>
      </c>
      <c r="Q35" s="1"/>
      <c r="R35" s="1"/>
      <c r="S35" s="1"/>
    </row>
    <row r="36" spans="1:19">
      <c r="A36" s="77">
        <f t="shared" si="0"/>
        <v>25</v>
      </c>
      <c r="B36" s="175">
        <v>8052</v>
      </c>
      <c r="C36" s="17" t="s">
        <v>241</v>
      </c>
      <c r="D36" s="178">
        <v>3677985.7</v>
      </c>
      <c r="E36" s="178">
        <v>2844532.57</v>
      </c>
      <c r="F36" s="178">
        <v>2136550.7599999998</v>
      </c>
      <c r="G36" s="178">
        <v>1547231.7</v>
      </c>
      <c r="H36" s="178">
        <v>990664.23</v>
      </c>
      <c r="I36" s="178">
        <v>790859.4</v>
      </c>
      <c r="J36" s="264">
        <v>693951.77</v>
      </c>
      <c r="K36" s="264">
        <v>789411.35</v>
      </c>
      <c r="L36" s="264">
        <v>1025239.32</v>
      </c>
      <c r="M36" s="264">
        <v>973073.01</v>
      </c>
      <c r="N36" s="264">
        <v>1819558.9</v>
      </c>
      <c r="O36" s="113">
        <v>2457259.8324604626</v>
      </c>
      <c r="P36" s="17">
        <f t="shared" si="1"/>
        <v>19746318.54246046</v>
      </c>
      <c r="Q36" s="1"/>
      <c r="R36" s="1"/>
      <c r="S36" s="1"/>
    </row>
    <row r="37" spans="1:19">
      <c r="A37" s="77">
        <f t="shared" si="0"/>
        <v>26</v>
      </c>
      <c r="B37" s="175">
        <v>8053</v>
      </c>
      <c r="C37" s="17" t="s">
        <v>242</v>
      </c>
      <c r="D37" s="178">
        <v>672134.52</v>
      </c>
      <c r="E37" s="178">
        <v>664048.25</v>
      </c>
      <c r="F37" s="178">
        <v>769253.16</v>
      </c>
      <c r="G37" s="178">
        <v>453327.3</v>
      </c>
      <c r="H37" s="178">
        <v>452238.11</v>
      </c>
      <c r="I37" s="178">
        <v>558552.21</v>
      </c>
      <c r="J37" s="264">
        <v>162254.26999999999</v>
      </c>
      <c r="K37" s="264">
        <v>179615.02</v>
      </c>
      <c r="L37" s="264">
        <v>177216.25</v>
      </c>
      <c r="M37" s="264">
        <v>226632.55</v>
      </c>
      <c r="N37" s="264">
        <v>283273.89</v>
      </c>
      <c r="O37" s="113">
        <v>370839.47033853474</v>
      </c>
      <c r="P37" s="17">
        <f t="shared" si="1"/>
        <v>4969385.0003385339</v>
      </c>
      <c r="Q37" s="1"/>
      <c r="R37" s="1"/>
      <c r="S37" s="1"/>
    </row>
    <row r="38" spans="1:19">
      <c r="A38" s="77">
        <f t="shared" si="0"/>
        <v>27</v>
      </c>
      <c r="B38" s="175">
        <v>8054</v>
      </c>
      <c r="C38" s="17" t="s">
        <v>243</v>
      </c>
      <c r="D38" s="178">
        <v>701686</v>
      </c>
      <c r="E38" s="178">
        <v>553678.14</v>
      </c>
      <c r="F38" s="178">
        <v>435084.35</v>
      </c>
      <c r="G38" s="178">
        <v>330096.84999999998</v>
      </c>
      <c r="H38" s="178">
        <v>195997.58</v>
      </c>
      <c r="I38" s="178">
        <v>141164.19</v>
      </c>
      <c r="J38" s="264">
        <v>109400.48</v>
      </c>
      <c r="K38" s="264">
        <v>123864.15</v>
      </c>
      <c r="L38" s="264">
        <v>123244.08</v>
      </c>
      <c r="M38" s="264">
        <v>153656.85999999999</v>
      </c>
      <c r="N38" s="264">
        <v>340628.73</v>
      </c>
      <c r="O38" s="113">
        <v>511471.40798067587</v>
      </c>
      <c r="P38" s="17">
        <f t="shared" si="1"/>
        <v>3719972.817980676</v>
      </c>
      <c r="Q38" s="1"/>
      <c r="S38" s="1"/>
    </row>
    <row r="39" spans="1:19">
      <c r="A39" s="77">
        <f t="shared" si="0"/>
        <v>28</v>
      </c>
      <c r="B39" s="175">
        <v>8058</v>
      </c>
      <c r="C39" s="17" t="s">
        <v>244</v>
      </c>
      <c r="D39" s="178">
        <v>323890.83999999997</v>
      </c>
      <c r="E39" s="178">
        <v>-1619982.6400000001</v>
      </c>
      <c r="F39" s="178">
        <v>-833283.85</v>
      </c>
      <c r="G39" s="178">
        <v>-1158007.55</v>
      </c>
      <c r="H39" s="178">
        <v>-390751.61</v>
      </c>
      <c r="I39" s="178">
        <v>-478919.64</v>
      </c>
      <c r="J39" s="264">
        <v>-71108.759999999995</v>
      </c>
      <c r="K39" s="264">
        <v>101862.32</v>
      </c>
      <c r="L39" s="264">
        <v>-5509.73</v>
      </c>
      <c r="M39" s="264">
        <v>1470831.54</v>
      </c>
      <c r="N39" s="264">
        <v>2458624.98</v>
      </c>
      <c r="O39" s="113">
        <v>2384955.0280997846</v>
      </c>
      <c r="P39" s="17">
        <f t="shared" si="1"/>
        <v>2182600.9280997845</v>
      </c>
      <c r="Q39" s="1"/>
      <c r="R39" s="1"/>
      <c r="S39" s="1"/>
    </row>
    <row r="40" spans="1:19">
      <c r="A40" s="77">
        <f t="shared" si="0"/>
        <v>29</v>
      </c>
      <c r="B40" s="175">
        <v>8059</v>
      </c>
      <c r="C40" s="17" t="s">
        <v>245</v>
      </c>
      <c r="D40" s="178">
        <v>-11327380.869999999</v>
      </c>
      <c r="E40" s="178">
        <v>-12335696.460000001</v>
      </c>
      <c r="F40" s="178">
        <v>-8878999.3000000007</v>
      </c>
      <c r="G40" s="178">
        <v>-7684524.04</v>
      </c>
      <c r="H40" s="178">
        <v>-4221491.87</v>
      </c>
      <c r="I40" s="178">
        <v>-3604184.26</v>
      </c>
      <c r="J40" s="264">
        <v>-2692104.19</v>
      </c>
      <c r="K40" s="264">
        <v>-2502741.5099999998</v>
      </c>
      <c r="L40" s="264">
        <v>-2734901.76</v>
      </c>
      <c r="M40" s="264">
        <v>-2979765.54</v>
      </c>
      <c r="N40" s="264">
        <v>-4372665.62</v>
      </c>
      <c r="O40" s="113">
        <v>-6132258.7214599643</v>
      </c>
      <c r="P40" s="17">
        <f t="shared" si="1"/>
        <v>-69466714.141459957</v>
      </c>
      <c r="Q40" s="1"/>
      <c r="R40" s="1"/>
      <c r="S40" s="1"/>
    </row>
    <row r="41" spans="1:19">
      <c r="A41" s="77">
        <f t="shared" si="0"/>
        <v>30</v>
      </c>
      <c r="B41" s="175">
        <v>8060</v>
      </c>
      <c r="C41" s="17" t="s">
        <v>246</v>
      </c>
      <c r="D41" s="178">
        <v>994734.2</v>
      </c>
      <c r="E41" s="178">
        <v>3043458.35</v>
      </c>
      <c r="F41" s="178">
        <v>3568544.23</v>
      </c>
      <c r="G41" s="178">
        <v>2130910.9</v>
      </c>
      <c r="H41" s="178">
        <v>-1903716.98</v>
      </c>
      <c r="I41" s="178">
        <v>-551572.89</v>
      </c>
      <c r="J41" s="264">
        <v>-2559916.59</v>
      </c>
      <c r="K41" s="264">
        <v>-1837428.95</v>
      </c>
      <c r="L41" s="264">
        <v>-1244836.98</v>
      </c>
      <c r="M41" s="264">
        <v>-1329459.17</v>
      </c>
      <c r="N41" s="264">
        <v>-1524493.6</v>
      </c>
      <c r="O41" s="113">
        <v>1497388.8946588605</v>
      </c>
      <c r="P41" s="17">
        <f t="shared" si="1"/>
        <v>283611.41465886007</v>
      </c>
      <c r="Q41" s="1"/>
      <c r="R41" s="1"/>
      <c r="S41" s="1"/>
    </row>
    <row r="42" spans="1:19">
      <c r="A42" s="77">
        <f t="shared" si="0"/>
        <v>31</v>
      </c>
      <c r="B42" s="175">
        <v>8081</v>
      </c>
      <c r="C42" s="17" t="s">
        <v>247</v>
      </c>
      <c r="D42" s="178">
        <v>2255744.84</v>
      </c>
      <c r="E42" s="178">
        <v>2376725.7999999998</v>
      </c>
      <c r="F42" s="178">
        <v>2699947.65</v>
      </c>
      <c r="G42" s="178">
        <v>2442279.3199999998</v>
      </c>
      <c r="H42" s="178">
        <v>9857.76</v>
      </c>
      <c r="I42" s="178">
        <v>10008.9</v>
      </c>
      <c r="J42" s="264"/>
      <c r="K42" s="264">
        <v>247.86</v>
      </c>
      <c r="L42" s="264"/>
      <c r="M42" s="264">
        <v>0</v>
      </c>
      <c r="N42" s="264">
        <v>23049</v>
      </c>
      <c r="O42" s="113">
        <v>1068365.5241918706</v>
      </c>
      <c r="P42" s="17">
        <f t="shared" si="1"/>
        <v>10886226.65419187</v>
      </c>
      <c r="Q42" s="1"/>
      <c r="R42" s="1"/>
      <c r="S42" s="1"/>
    </row>
    <row r="43" spans="1:19">
      <c r="A43" s="77">
        <f t="shared" si="0"/>
        <v>32</v>
      </c>
      <c r="B43" s="175">
        <v>8082</v>
      </c>
      <c r="C43" s="17" t="s">
        <v>248</v>
      </c>
      <c r="D43" s="178">
        <v>-22774.57</v>
      </c>
      <c r="E43" s="178">
        <v>-5573.91</v>
      </c>
      <c r="F43" s="178">
        <v>-10704.99</v>
      </c>
      <c r="G43" s="178">
        <v>-98792.27</v>
      </c>
      <c r="H43" s="178">
        <v>-1863094.7</v>
      </c>
      <c r="I43" s="178">
        <v>-1635911.13</v>
      </c>
      <c r="J43" s="264">
        <v>-1657464.98</v>
      </c>
      <c r="K43" s="264">
        <v>-1422929.66</v>
      </c>
      <c r="L43" s="264">
        <v>-1895526.75</v>
      </c>
      <c r="M43" s="264">
        <v>-1670878.45</v>
      </c>
      <c r="N43" s="264">
        <v>-2191554.58</v>
      </c>
      <c r="O43" s="113">
        <v>-2029.249515507069</v>
      </c>
      <c r="P43" s="17">
        <f t="shared" si="1"/>
        <v>-12477235.239515508</v>
      </c>
      <c r="Q43" s="182"/>
      <c r="S43" s="1"/>
    </row>
    <row r="44" spans="1:19">
      <c r="A44" s="77">
        <f t="shared" si="0"/>
        <v>33</v>
      </c>
      <c r="B44" s="175">
        <v>8120</v>
      </c>
      <c r="C44" s="17" t="s">
        <v>249</v>
      </c>
      <c r="D44" s="178">
        <v>-5262.99</v>
      </c>
      <c r="E44" s="178">
        <v>-1034.33</v>
      </c>
      <c r="F44" s="178">
        <v>1052.7700000000004</v>
      </c>
      <c r="G44" s="178">
        <v>-2337.79</v>
      </c>
      <c r="H44" s="178">
        <v>-107.31999999999971</v>
      </c>
      <c r="I44" s="178">
        <v>-1519.73</v>
      </c>
      <c r="J44" s="264">
        <v>696.45</v>
      </c>
      <c r="K44" s="264">
        <v>210.58000000000038</v>
      </c>
      <c r="L44" s="264">
        <v>1473.92</v>
      </c>
      <c r="M44" s="264">
        <v>-11285.73</v>
      </c>
      <c r="N44" s="264">
        <v>9405.89</v>
      </c>
      <c r="O44" s="113">
        <v>-8701.6388034433439</v>
      </c>
      <c r="P44" s="17">
        <f t="shared" si="1"/>
        <v>-17409.918803443343</v>
      </c>
      <c r="Q44" s="1"/>
      <c r="R44" s="1"/>
      <c r="S44" s="1"/>
    </row>
    <row r="45" spans="1:19">
      <c r="A45" s="77">
        <f>A44+1</f>
        <v>34</v>
      </c>
      <c r="B45" s="175">
        <v>8580</v>
      </c>
      <c r="C45" s="176" t="s">
        <v>250</v>
      </c>
      <c r="D45" s="178">
        <v>2499584.8600000003</v>
      </c>
      <c r="E45" s="178">
        <v>2564753.77</v>
      </c>
      <c r="F45" s="178">
        <v>2280622.62</v>
      </c>
      <c r="G45" s="178">
        <v>2438250.5500000003</v>
      </c>
      <c r="H45" s="178">
        <v>2050639.5699999998</v>
      </c>
      <c r="I45" s="178">
        <v>1662627.06</v>
      </c>
      <c r="J45" s="113">
        <v>1605173.28</v>
      </c>
      <c r="K45" s="113">
        <v>1639478.02</v>
      </c>
      <c r="L45" s="113">
        <v>1640270.5</v>
      </c>
      <c r="M45" s="113">
        <v>1606667.4</v>
      </c>
      <c r="N45" s="113">
        <v>2079276.9300000002</v>
      </c>
      <c r="O45" s="113">
        <v>2297570.5453369063</v>
      </c>
      <c r="P45" s="17">
        <f t="shared" si="1"/>
        <v>24364915.105336905</v>
      </c>
      <c r="Q45" s="75"/>
      <c r="R45" s="1"/>
      <c r="S45" s="1"/>
    </row>
    <row r="46" spans="1:19" ht="22.5" customHeight="1">
      <c r="A46" s="77">
        <f t="shared" si="0"/>
        <v>35</v>
      </c>
      <c r="B46" s="175">
        <v>8140</v>
      </c>
      <c r="C46" s="17" t="s">
        <v>251</v>
      </c>
      <c r="D46" s="178">
        <f>0</f>
        <v>0</v>
      </c>
      <c r="E46" s="178">
        <f>0</f>
        <v>0</v>
      </c>
      <c r="F46" s="178">
        <f>0</f>
        <v>0</v>
      </c>
      <c r="G46" s="178">
        <f>0</f>
        <v>0</v>
      </c>
      <c r="H46" s="178">
        <f>0</f>
        <v>0</v>
      </c>
      <c r="I46" s="178">
        <f>0</f>
        <v>0</v>
      </c>
      <c r="J46" s="131"/>
      <c r="K46" s="131"/>
      <c r="L46" s="131"/>
      <c r="M46" s="131">
        <v>0</v>
      </c>
      <c r="N46" s="131">
        <v>0</v>
      </c>
      <c r="O46" s="131">
        <v>0</v>
      </c>
      <c r="P46" s="17">
        <f t="shared" si="1"/>
        <v>0</v>
      </c>
      <c r="S46" s="1"/>
    </row>
    <row r="47" spans="1:19" ht="21.75" customHeight="1">
      <c r="A47" s="77">
        <f t="shared" si="0"/>
        <v>36</v>
      </c>
      <c r="B47" s="175">
        <v>8160</v>
      </c>
      <c r="C47" s="17" t="s">
        <v>252</v>
      </c>
      <c r="D47" s="178">
        <v>20628.030000000002</v>
      </c>
      <c r="E47" s="178">
        <v>30051.77</v>
      </c>
      <c r="F47" s="178">
        <v>6702.43</v>
      </c>
      <c r="G47" s="178">
        <v>9489.93</v>
      </c>
      <c r="H47" s="178">
        <v>2729.3599999999997</v>
      </c>
      <c r="I47" s="178">
        <v>1518.5900000000001</v>
      </c>
      <c r="J47" s="131">
        <v>-299.09999999999997</v>
      </c>
      <c r="K47" s="131">
        <v>1838.1899999999998</v>
      </c>
      <c r="L47" s="131">
        <v>8064.01</v>
      </c>
      <c r="M47" s="131">
        <v>4060.0699999999997</v>
      </c>
      <c r="N47" s="131">
        <v>5739.18</v>
      </c>
      <c r="O47" s="131">
        <v>8060.2733299157171</v>
      </c>
      <c r="P47" s="17">
        <f t="shared" si="1"/>
        <v>98582.733329915704</v>
      </c>
      <c r="Q47" s="1"/>
      <c r="R47" s="1"/>
      <c r="S47" s="1"/>
    </row>
    <row r="48" spans="1:19">
      <c r="A48" s="77">
        <f t="shared" si="0"/>
        <v>37</v>
      </c>
      <c r="B48" s="175">
        <v>8170</v>
      </c>
      <c r="C48" s="17" t="s">
        <v>253</v>
      </c>
      <c r="D48" s="178">
        <v>4629.92</v>
      </c>
      <c r="E48" s="178">
        <v>4715.18</v>
      </c>
      <c r="F48" s="178">
        <v>4104.7000000000007</v>
      </c>
      <c r="G48" s="178">
        <v>2532.96</v>
      </c>
      <c r="H48" s="178">
        <v>1936.4099999999999</v>
      </c>
      <c r="I48" s="178">
        <v>-163.76999999999998</v>
      </c>
      <c r="J48" s="131">
        <v>16913.05</v>
      </c>
      <c r="K48" s="131">
        <v>2727.13</v>
      </c>
      <c r="L48" s="131">
        <v>987.99999999999989</v>
      </c>
      <c r="M48" s="131">
        <v>6818.8799999999992</v>
      </c>
      <c r="N48" s="131">
        <v>5448.45</v>
      </c>
      <c r="O48" s="131">
        <v>2791.1563465820577</v>
      </c>
      <c r="P48" s="17">
        <f t="shared" si="1"/>
        <v>53442.066346582047</v>
      </c>
      <c r="Q48" s="1"/>
      <c r="R48" s="1"/>
      <c r="S48" s="1"/>
    </row>
    <row r="49" spans="1:22">
      <c r="A49" s="77">
        <f t="shared" si="0"/>
        <v>38</v>
      </c>
      <c r="B49" s="175">
        <v>8180</v>
      </c>
      <c r="C49" s="17" t="s">
        <v>254</v>
      </c>
      <c r="D49" s="178">
        <v>4238.1900000000005</v>
      </c>
      <c r="E49" s="178">
        <v>2653.4</v>
      </c>
      <c r="F49" s="178">
        <v>292.36000000000007</v>
      </c>
      <c r="G49" s="178">
        <v>2998.1400000000003</v>
      </c>
      <c r="H49" s="178">
        <v>3432.8</v>
      </c>
      <c r="I49" s="178">
        <v>3947.33</v>
      </c>
      <c r="J49" s="131">
        <v>5665.0400000000009</v>
      </c>
      <c r="K49" s="131">
        <v>2815.6600000000003</v>
      </c>
      <c r="L49" s="131">
        <v>2258.23</v>
      </c>
      <c r="M49" s="131">
        <v>7398.96</v>
      </c>
      <c r="N49" s="131">
        <v>3832.5</v>
      </c>
      <c r="O49" s="131">
        <v>2772.2428559808468</v>
      </c>
      <c r="P49" s="17">
        <f t="shared" si="1"/>
        <v>42304.852855980847</v>
      </c>
      <c r="Q49" s="1"/>
      <c r="R49" s="1"/>
      <c r="S49" s="1"/>
    </row>
    <row r="50" spans="1:22" ht="15.75">
      <c r="A50" s="77">
        <f t="shared" si="0"/>
        <v>39</v>
      </c>
      <c r="B50" s="175">
        <v>8190</v>
      </c>
      <c r="C50" s="17" t="s">
        <v>255</v>
      </c>
      <c r="D50" s="178">
        <v>104.25</v>
      </c>
      <c r="E50" s="178">
        <v>111.93</v>
      </c>
      <c r="F50" s="178">
        <v>109.46</v>
      </c>
      <c r="G50" s="178">
        <v>0</v>
      </c>
      <c r="H50" s="178">
        <v>214.73</v>
      </c>
      <c r="I50" s="178">
        <v>67.94</v>
      </c>
      <c r="J50" s="131">
        <v>33.56</v>
      </c>
      <c r="K50" s="131">
        <v>116.13</v>
      </c>
      <c r="L50" s="131">
        <v>109.93</v>
      </c>
      <c r="M50" s="131">
        <v>105.1</v>
      </c>
      <c r="N50" s="131">
        <v>108.35</v>
      </c>
      <c r="O50" s="131">
        <v>78.107518484372804</v>
      </c>
      <c r="P50" s="17">
        <f t="shared" si="1"/>
        <v>1159.4875184843727</v>
      </c>
      <c r="Q50" s="1"/>
      <c r="R50" s="183"/>
      <c r="S50" s="184"/>
    </row>
    <row r="51" spans="1:22" ht="15.75">
      <c r="A51" s="77">
        <f t="shared" si="0"/>
        <v>40</v>
      </c>
      <c r="B51" s="175">
        <v>8200</v>
      </c>
      <c r="C51" s="17" t="s">
        <v>256</v>
      </c>
      <c r="D51" s="178">
        <v>700.76</v>
      </c>
      <c r="E51" s="178">
        <v>-61.53</v>
      </c>
      <c r="F51" s="178">
        <v>540.61</v>
      </c>
      <c r="G51" s="178">
        <v>138.97</v>
      </c>
      <c r="H51" s="178">
        <v>506.53999999999996</v>
      </c>
      <c r="I51" s="178">
        <v>93.31</v>
      </c>
      <c r="J51" s="131">
        <v>75.289999999999992</v>
      </c>
      <c r="K51" s="131">
        <v>326.32</v>
      </c>
      <c r="L51" s="131">
        <v>3021.8100000000004</v>
      </c>
      <c r="M51" s="131">
        <v>2121.7800000000002</v>
      </c>
      <c r="N51" s="131">
        <v>175.81</v>
      </c>
      <c r="O51" s="131">
        <v>275.1612545921534</v>
      </c>
      <c r="P51" s="17">
        <f t="shared" si="1"/>
        <v>7914.8312545921544</v>
      </c>
      <c r="Q51" s="1"/>
      <c r="R51" s="185"/>
      <c r="S51" s="186"/>
    </row>
    <row r="52" spans="1:22">
      <c r="A52" s="77">
        <f t="shared" si="0"/>
        <v>41</v>
      </c>
      <c r="B52" s="175">
        <v>8210</v>
      </c>
      <c r="C52" s="17" t="s">
        <v>257</v>
      </c>
      <c r="D52" s="178">
        <v>6912.96</v>
      </c>
      <c r="E52" s="178">
        <v>1672.1000000000001</v>
      </c>
      <c r="F52" s="178">
        <v>1079.7099999999996</v>
      </c>
      <c r="G52" s="178">
        <v>1727.2300000000002</v>
      </c>
      <c r="H52" s="178">
        <v>1413.6599999999999</v>
      </c>
      <c r="I52" s="178">
        <v>156.72999999999999</v>
      </c>
      <c r="J52" s="131">
        <v>143.29</v>
      </c>
      <c r="K52" s="131">
        <v>76.27</v>
      </c>
      <c r="L52" s="131">
        <v>164.52</v>
      </c>
      <c r="M52" s="131">
        <v>187.41</v>
      </c>
      <c r="N52" s="131">
        <v>1094.31</v>
      </c>
      <c r="O52" s="131">
        <v>2030.09638683244</v>
      </c>
      <c r="P52" s="17">
        <f t="shared" si="1"/>
        <v>16658.286386832438</v>
      </c>
      <c r="Q52" s="1"/>
      <c r="R52" s="187"/>
      <c r="S52" s="1"/>
    </row>
    <row r="53" spans="1:22">
      <c r="A53" s="77">
        <f t="shared" si="0"/>
        <v>42</v>
      </c>
      <c r="B53" s="175">
        <v>8240</v>
      </c>
      <c r="C53" s="17" t="s">
        <v>258</v>
      </c>
      <c r="D53" s="178">
        <f>0</f>
        <v>0</v>
      </c>
      <c r="E53" s="178">
        <f>0</f>
        <v>0</v>
      </c>
      <c r="F53" s="178">
        <f>0</f>
        <v>0</v>
      </c>
      <c r="G53" s="178">
        <f>0</f>
        <v>0</v>
      </c>
      <c r="H53" s="178">
        <f>0</f>
        <v>0</v>
      </c>
      <c r="I53" s="178">
        <f>0</f>
        <v>0</v>
      </c>
      <c r="J53" s="131"/>
      <c r="K53" s="131"/>
      <c r="L53" s="131"/>
      <c r="M53" s="131"/>
      <c r="N53" s="131"/>
      <c r="O53" s="131">
        <v>0</v>
      </c>
      <c r="P53" s="17">
        <f t="shared" si="1"/>
        <v>0</v>
      </c>
      <c r="Q53" s="1"/>
      <c r="R53" s="187"/>
      <c r="S53" s="1"/>
    </row>
    <row r="54" spans="1:22">
      <c r="A54" s="77">
        <f t="shared" si="0"/>
        <v>43</v>
      </c>
      <c r="B54" s="175">
        <v>8250</v>
      </c>
      <c r="C54" s="17" t="s">
        <v>259</v>
      </c>
      <c r="D54" s="178">
        <v>1749.6399999999999</v>
      </c>
      <c r="E54" s="178">
        <v>1281.54</v>
      </c>
      <c r="F54" s="178">
        <v>1435.3400000000001</v>
      </c>
      <c r="G54" s="178">
        <v>609.9</v>
      </c>
      <c r="H54" s="178">
        <v>379.66</v>
      </c>
      <c r="I54" s="178">
        <v>206.07</v>
      </c>
      <c r="J54" s="131">
        <v>204.48999999999998</v>
      </c>
      <c r="K54" s="131">
        <v>157.41999999999999</v>
      </c>
      <c r="L54" s="131">
        <v>589.31999999999994</v>
      </c>
      <c r="M54" s="131">
        <v>162.01</v>
      </c>
      <c r="N54" s="131">
        <v>716.88</v>
      </c>
      <c r="O54" s="131">
        <v>687.8857628995014</v>
      </c>
      <c r="P54" s="17">
        <f t="shared" si="1"/>
        <v>8180.1557628995006</v>
      </c>
      <c r="Q54" s="1"/>
      <c r="R54" s="1"/>
      <c r="S54" s="1"/>
    </row>
    <row r="55" spans="1:22">
      <c r="A55" s="77">
        <f t="shared" si="0"/>
        <v>44</v>
      </c>
      <c r="B55" s="175">
        <v>8310</v>
      </c>
      <c r="C55" s="17" t="s">
        <v>260</v>
      </c>
      <c r="D55" s="178">
        <v>420.89</v>
      </c>
      <c r="E55" s="178">
        <v>965.79</v>
      </c>
      <c r="F55" s="178">
        <v>435.61</v>
      </c>
      <c r="G55" s="178">
        <v>1452.3</v>
      </c>
      <c r="H55" s="178">
        <v>2170</v>
      </c>
      <c r="I55" s="178">
        <v>3133</v>
      </c>
      <c r="J55" s="131">
        <v>2691.22</v>
      </c>
      <c r="K55" s="131">
        <v>3292.44</v>
      </c>
      <c r="L55" s="131">
        <v>2880.06</v>
      </c>
      <c r="M55" s="131">
        <v>2845</v>
      </c>
      <c r="N55" s="131">
        <v>2170</v>
      </c>
      <c r="O55" s="131">
        <v>856.56271797912723</v>
      </c>
      <c r="P55" s="17">
        <f t="shared" si="1"/>
        <v>23312.872717979128</v>
      </c>
      <c r="Q55" s="1"/>
      <c r="R55" s="187"/>
      <c r="S55" s="1"/>
    </row>
    <row r="56" spans="1:22">
      <c r="A56" s="77">
        <f t="shared" si="0"/>
        <v>45</v>
      </c>
      <c r="B56" s="175">
        <v>8340</v>
      </c>
      <c r="C56" s="17" t="s">
        <v>261</v>
      </c>
      <c r="D56" s="178">
        <v>157.15</v>
      </c>
      <c r="E56" s="178">
        <v>6645.0599999999995</v>
      </c>
      <c r="F56" s="178">
        <v>-629.18999999999994</v>
      </c>
      <c r="G56" s="178">
        <v>0</v>
      </c>
      <c r="H56" s="178">
        <v>15.61</v>
      </c>
      <c r="I56" s="178">
        <v>0</v>
      </c>
      <c r="J56" s="131">
        <v>957.03</v>
      </c>
      <c r="K56" s="131">
        <v>3322.36</v>
      </c>
      <c r="L56" s="131">
        <v>-301.14000000000004</v>
      </c>
      <c r="M56" s="131">
        <v>109.58</v>
      </c>
      <c r="N56" s="131">
        <v>873.2</v>
      </c>
      <c r="O56" s="131">
        <v>705.51423786264218</v>
      </c>
      <c r="P56" s="17">
        <f t="shared" si="1"/>
        <v>11855.174237862642</v>
      </c>
      <c r="Q56" s="1"/>
      <c r="R56" s="187"/>
      <c r="S56" s="1"/>
    </row>
    <row r="57" spans="1:22">
      <c r="A57" s="77">
        <f t="shared" si="0"/>
        <v>46</v>
      </c>
      <c r="B57" s="175">
        <v>8350</v>
      </c>
      <c r="C57" s="17" t="s">
        <v>262</v>
      </c>
      <c r="D57" s="178">
        <f>0</f>
        <v>0</v>
      </c>
      <c r="E57" s="178">
        <f>0</f>
        <v>0</v>
      </c>
      <c r="F57" s="178">
        <f>0</f>
        <v>0</v>
      </c>
      <c r="G57" s="178">
        <f>0</f>
        <v>0</v>
      </c>
      <c r="H57" s="178">
        <f>0</f>
        <v>0</v>
      </c>
      <c r="I57" s="178">
        <f>0</f>
        <v>0</v>
      </c>
      <c r="J57" s="131">
        <v>202.96999999999997</v>
      </c>
      <c r="K57" s="131">
        <v>-72.02</v>
      </c>
      <c r="L57" s="131"/>
      <c r="M57" s="131">
        <v>0</v>
      </c>
      <c r="N57" s="131">
        <v>0</v>
      </c>
      <c r="O57" s="131">
        <v>0</v>
      </c>
      <c r="P57" s="17">
        <f t="shared" si="1"/>
        <v>130.94999999999999</v>
      </c>
      <c r="Q57" s="1"/>
      <c r="R57" s="187"/>
      <c r="S57" s="1"/>
    </row>
    <row r="58" spans="1:22">
      <c r="A58" s="77">
        <f t="shared" si="0"/>
        <v>47</v>
      </c>
      <c r="B58" s="175">
        <v>8360</v>
      </c>
      <c r="C58" s="17" t="s">
        <v>263</v>
      </c>
      <c r="D58" s="178">
        <f>0</f>
        <v>0</v>
      </c>
      <c r="E58" s="178">
        <f>0</f>
        <v>0</v>
      </c>
      <c r="F58" s="178">
        <f>0</f>
        <v>0</v>
      </c>
      <c r="G58" s="178">
        <f>0</f>
        <v>0</v>
      </c>
      <c r="H58" s="178">
        <f>0</f>
        <v>0</v>
      </c>
      <c r="I58" s="178">
        <f>0</f>
        <v>0</v>
      </c>
      <c r="J58" s="131">
        <v>621.63</v>
      </c>
      <c r="K58" s="131">
        <v>-216.07</v>
      </c>
      <c r="L58" s="131"/>
      <c r="M58" s="131">
        <v>0</v>
      </c>
      <c r="N58" s="131">
        <v>0</v>
      </c>
      <c r="O58" s="131">
        <v>0</v>
      </c>
      <c r="P58" s="17">
        <f t="shared" si="1"/>
        <v>405.56</v>
      </c>
      <c r="Q58" s="1"/>
      <c r="R58" s="187"/>
      <c r="S58" s="1"/>
    </row>
    <row r="59" spans="1:22">
      <c r="A59" s="77">
        <f t="shared" si="0"/>
        <v>48</v>
      </c>
      <c r="B59" s="175">
        <v>8370</v>
      </c>
      <c r="C59" s="17" t="s">
        <v>116</v>
      </c>
      <c r="D59" s="178">
        <f>0</f>
        <v>0</v>
      </c>
      <c r="E59" s="178">
        <f>0</f>
        <v>0</v>
      </c>
      <c r="F59" s="178">
        <f>0</f>
        <v>0</v>
      </c>
      <c r="G59" s="178">
        <f>0</f>
        <v>0</v>
      </c>
      <c r="H59" s="178">
        <f>0</f>
        <v>0</v>
      </c>
      <c r="I59" s="178">
        <f>0</f>
        <v>0</v>
      </c>
      <c r="J59" s="131"/>
      <c r="K59" s="131"/>
      <c r="L59" s="131"/>
      <c r="M59" s="131">
        <v>0</v>
      </c>
      <c r="N59" s="131">
        <v>0</v>
      </c>
      <c r="O59" s="131">
        <v>0</v>
      </c>
      <c r="P59" s="17">
        <f t="shared" si="1"/>
        <v>0</v>
      </c>
      <c r="Q59" s="1"/>
      <c r="R59" s="187"/>
      <c r="S59" s="1"/>
    </row>
    <row r="60" spans="1:22">
      <c r="A60" s="77">
        <f t="shared" si="0"/>
        <v>49</v>
      </c>
      <c r="B60" s="175">
        <v>8410</v>
      </c>
      <c r="C60" s="17" t="s">
        <v>264</v>
      </c>
      <c r="D60" s="178">
        <v>17878.14</v>
      </c>
      <c r="E60" s="178">
        <v>2111.9299999999994</v>
      </c>
      <c r="F60" s="178">
        <v>9048.65</v>
      </c>
      <c r="G60" s="178">
        <v>11668.31</v>
      </c>
      <c r="H60" s="178">
        <v>15076.6</v>
      </c>
      <c r="I60" s="178">
        <v>13540.470000000003</v>
      </c>
      <c r="J60" s="131">
        <v>9068.5499999999993</v>
      </c>
      <c r="K60" s="131">
        <v>12523.28</v>
      </c>
      <c r="L60" s="131">
        <v>4971.4900000000007</v>
      </c>
      <c r="M60" s="131">
        <v>11685.87</v>
      </c>
      <c r="N60" s="131">
        <v>27816.39</v>
      </c>
      <c r="O60" s="131">
        <v>10423.831808760155</v>
      </c>
      <c r="P60" s="17">
        <f t="shared" si="1"/>
        <v>145813.51180876014</v>
      </c>
      <c r="Q60" s="1"/>
      <c r="R60" s="1"/>
      <c r="S60" s="1"/>
    </row>
    <row r="61" spans="1:22">
      <c r="A61" s="77">
        <f t="shared" si="0"/>
        <v>50</v>
      </c>
      <c r="B61" s="175">
        <v>8520</v>
      </c>
      <c r="C61" s="17" t="s">
        <v>121</v>
      </c>
      <c r="D61" s="178">
        <f>0</f>
        <v>0</v>
      </c>
      <c r="E61" s="178">
        <f>0</f>
        <v>0</v>
      </c>
      <c r="F61" s="178">
        <f>0</f>
        <v>0</v>
      </c>
      <c r="G61" s="178">
        <f>0</f>
        <v>0</v>
      </c>
      <c r="H61" s="178">
        <f>0</f>
        <v>0</v>
      </c>
      <c r="I61" s="178">
        <f>0</f>
        <v>0</v>
      </c>
      <c r="J61" s="131"/>
      <c r="K61" s="131"/>
      <c r="L61" s="131"/>
      <c r="M61" s="131">
        <v>0</v>
      </c>
      <c r="N61" s="131">
        <v>0</v>
      </c>
      <c r="O61" s="131">
        <v>0</v>
      </c>
      <c r="P61" s="17">
        <f t="shared" si="1"/>
        <v>0</v>
      </c>
      <c r="Q61" s="1"/>
      <c r="R61" s="1"/>
      <c r="S61" s="1"/>
      <c r="U61" s="179"/>
      <c r="V61" s="154"/>
    </row>
    <row r="62" spans="1:22">
      <c r="A62" s="77">
        <f t="shared" si="0"/>
        <v>51</v>
      </c>
      <c r="B62" s="175">
        <v>8550</v>
      </c>
      <c r="C62" s="17" t="s">
        <v>265</v>
      </c>
      <c r="D62" s="178">
        <v>31.3</v>
      </c>
      <c r="E62" s="178">
        <v>30.74</v>
      </c>
      <c r="F62" s="178">
        <v>30.4</v>
      </c>
      <c r="G62" s="178">
        <v>29.65</v>
      </c>
      <c r="H62" s="178">
        <v>29.54</v>
      </c>
      <c r="I62" s="178">
        <v>28.29</v>
      </c>
      <c r="J62" s="131">
        <v>33.14</v>
      </c>
      <c r="K62" s="131">
        <v>37.92</v>
      </c>
      <c r="L62" s="131">
        <v>36.19</v>
      </c>
      <c r="M62" s="131">
        <v>31.5</v>
      </c>
      <c r="N62" s="131">
        <v>43.54</v>
      </c>
      <c r="O62" s="131">
        <v>23.101880169170904</v>
      </c>
      <c r="P62" s="17">
        <f t="shared" si="1"/>
        <v>385.31188016917093</v>
      </c>
      <c r="Q62" s="1"/>
      <c r="R62" s="1"/>
      <c r="S62" s="1"/>
      <c r="U62" s="179"/>
      <c r="V62" s="154"/>
    </row>
    <row r="63" spans="1:22">
      <c r="A63" s="77">
        <f t="shared" si="0"/>
        <v>52</v>
      </c>
      <c r="B63" s="175">
        <v>8560</v>
      </c>
      <c r="C63" s="17" t="s">
        <v>266</v>
      </c>
      <c r="D63" s="178">
        <v>9552.4699999999993</v>
      </c>
      <c r="E63" s="178">
        <v>31996.649999999998</v>
      </c>
      <c r="F63" s="178">
        <v>28224.389999999992</v>
      </c>
      <c r="G63" s="178">
        <v>15085.860000000002</v>
      </c>
      <c r="H63" s="178">
        <v>22350.339999999997</v>
      </c>
      <c r="I63" s="178">
        <v>21291.460000000003</v>
      </c>
      <c r="J63" s="131">
        <v>20277.97</v>
      </c>
      <c r="K63" s="131">
        <v>16898.88</v>
      </c>
      <c r="L63" s="131">
        <v>19920.250000000004</v>
      </c>
      <c r="M63" s="131">
        <v>40821.11</v>
      </c>
      <c r="N63" s="131">
        <v>27981.169999999995</v>
      </c>
      <c r="O63" s="131">
        <v>19962.592915658344</v>
      </c>
      <c r="P63" s="17">
        <f t="shared" si="1"/>
        <v>274363.1429156583</v>
      </c>
      <c r="Q63" s="1"/>
      <c r="R63" s="187"/>
      <c r="S63" s="1"/>
    </row>
    <row r="64" spans="1:22">
      <c r="A64" s="77">
        <f t="shared" si="0"/>
        <v>53</v>
      </c>
      <c r="B64" s="175">
        <v>8570</v>
      </c>
      <c r="C64" s="17" t="s">
        <v>267</v>
      </c>
      <c r="D64" s="178">
        <v>842.1</v>
      </c>
      <c r="E64" s="178">
        <v>707.12000000000012</v>
      </c>
      <c r="F64" s="178">
        <v>867.69999999999993</v>
      </c>
      <c r="G64" s="178">
        <v>931.88</v>
      </c>
      <c r="H64" s="178">
        <v>1815.2399999999998</v>
      </c>
      <c r="I64" s="178">
        <v>915.41</v>
      </c>
      <c r="J64" s="131">
        <v>403.40999999999991</v>
      </c>
      <c r="K64" s="131">
        <v>687.53</v>
      </c>
      <c r="L64" s="131">
        <v>681.43000000000006</v>
      </c>
      <c r="M64" s="131">
        <v>6067.88</v>
      </c>
      <c r="N64" s="131">
        <v>6723.1099999999988</v>
      </c>
      <c r="O64" s="131">
        <v>867.22331951837737</v>
      </c>
      <c r="P64" s="17">
        <f t="shared" si="1"/>
        <v>21510.033319518374</v>
      </c>
      <c r="Q64" s="1"/>
      <c r="R64" s="1"/>
      <c r="S64" s="1"/>
    </row>
    <row r="65" spans="1:19">
      <c r="A65" s="77">
        <f>A64+1</f>
        <v>54</v>
      </c>
      <c r="B65" s="175">
        <v>8630</v>
      </c>
      <c r="C65" s="17" t="s">
        <v>268</v>
      </c>
      <c r="D65" s="178">
        <v>-676.01</v>
      </c>
      <c r="E65" s="178">
        <v>0</v>
      </c>
      <c r="F65" s="178">
        <v>0</v>
      </c>
      <c r="G65" s="178">
        <v>2122.2600000000002</v>
      </c>
      <c r="H65" s="178">
        <v>-144.44999999999999</v>
      </c>
      <c r="I65" s="178">
        <v>338.01</v>
      </c>
      <c r="J65" s="131">
        <v>4090.56</v>
      </c>
      <c r="K65" s="131">
        <v>9450.9</v>
      </c>
      <c r="L65" s="131">
        <v>5940.9399999999987</v>
      </c>
      <c r="M65" s="131">
        <v>317.42000000000007</v>
      </c>
      <c r="N65" s="131">
        <v>-467.83</v>
      </c>
      <c r="O65" s="131">
        <v>166.08277860624648</v>
      </c>
      <c r="P65" s="17">
        <f t="shared" si="1"/>
        <v>21137.882778606243</v>
      </c>
      <c r="Q65" s="1"/>
      <c r="R65" s="187"/>
      <c r="S65" s="1"/>
    </row>
    <row r="66" spans="1:19">
      <c r="A66" s="77">
        <f t="shared" si="0"/>
        <v>55</v>
      </c>
      <c r="B66" s="175">
        <v>8640</v>
      </c>
      <c r="C66" s="17" t="s">
        <v>269</v>
      </c>
      <c r="D66" s="178">
        <f>0</f>
        <v>0</v>
      </c>
      <c r="E66" s="178">
        <f>0</f>
        <v>0</v>
      </c>
      <c r="F66" s="178">
        <f>0</f>
        <v>0</v>
      </c>
      <c r="G66" s="178">
        <f>0</f>
        <v>0</v>
      </c>
      <c r="H66" s="178">
        <f>0</f>
        <v>0</v>
      </c>
      <c r="I66" s="178">
        <f>0</f>
        <v>0</v>
      </c>
      <c r="J66" s="131"/>
      <c r="K66" s="131"/>
      <c r="L66" s="131"/>
      <c r="M66" s="131">
        <v>0</v>
      </c>
      <c r="N66" s="131">
        <v>0</v>
      </c>
      <c r="O66" s="131">
        <v>0</v>
      </c>
      <c r="P66" s="17">
        <f t="shared" si="1"/>
        <v>0</v>
      </c>
      <c r="Q66" s="1"/>
      <c r="R66" s="187"/>
      <c r="S66" s="1"/>
    </row>
    <row r="67" spans="1:19">
      <c r="A67" s="77">
        <f t="shared" si="0"/>
        <v>56</v>
      </c>
      <c r="B67" s="175">
        <v>8650</v>
      </c>
      <c r="C67" s="17" t="s">
        <v>270</v>
      </c>
      <c r="D67" s="178">
        <v>0</v>
      </c>
      <c r="E67" s="178">
        <v>0</v>
      </c>
      <c r="F67" s="178">
        <v>0</v>
      </c>
      <c r="G67" s="178">
        <v>186.24</v>
      </c>
      <c r="H67" s="178">
        <v>11.17</v>
      </c>
      <c r="I67" s="178">
        <v>0</v>
      </c>
      <c r="J67" s="131"/>
      <c r="K67" s="131"/>
      <c r="L67" s="131"/>
      <c r="M67" s="131">
        <v>0</v>
      </c>
      <c r="N67" s="131">
        <v>0</v>
      </c>
      <c r="O67" s="131">
        <v>31.720231740225405</v>
      </c>
      <c r="P67" s="17">
        <f t="shared" si="1"/>
        <v>229.13023174022541</v>
      </c>
      <c r="Q67" s="1"/>
      <c r="R67" s="1"/>
      <c r="S67" s="1"/>
    </row>
    <row r="68" spans="1:19">
      <c r="A68" s="77"/>
      <c r="B68" s="175">
        <v>8670</v>
      </c>
      <c r="C68" t="s">
        <v>352</v>
      </c>
      <c r="D68" s="178"/>
      <c r="E68" s="178"/>
      <c r="F68" s="178"/>
      <c r="G68" s="178"/>
      <c r="H68" s="178"/>
      <c r="I68" s="178"/>
      <c r="J68" s="131">
        <v>116.6</v>
      </c>
      <c r="K68" s="131"/>
      <c r="L68" s="131"/>
      <c r="M68" s="131">
        <v>0</v>
      </c>
      <c r="N68" s="131">
        <v>0</v>
      </c>
      <c r="O68" s="131"/>
      <c r="P68" s="17"/>
      <c r="Q68" s="1"/>
      <c r="R68" s="1"/>
      <c r="S68" s="1"/>
    </row>
    <row r="69" spans="1:19">
      <c r="A69" s="77">
        <f>A67+1</f>
        <v>57</v>
      </c>
      <c r="B69" s="175">
        <v>8700</v>
      </c>
      <c r="C69" s="17" t="s">
        <v>271</v>
      </c>
      <c r="D69" s="178">
        <v>121488.34000000003</v>
      </c>
      <c r="E69" s="178">
        <v>66761.950000000186</v>
      </c>
      <c r="F69" s="178">
        <v>96506.540000000139</v>
      </c>
      <c r="G69" s="178">
        <v>95123.020000000135</v>
      </c>
      <c r="H69" s="178">
        <v>107405.7199999999</v>
      </c>
      <c r="I69" s="178">
        <v>97613.249999999825</v>
      </c>
      <c r="J69" s="131">
        <v>296251.62000000005</v>
      </c>
      <c r="K69" s="131">
        <v>366611.03000000014</v>
      </c>
      <c r="L69" s="131">
        <v>332519.45999999985</v>
      </c>
      <c r="M69" s="131">
        <v>84586.280000000013</v>
      </c>
      <c r="N69" s="131">
        <v>140209.88000000003</v>
      </c>
      <c r="O69" s="131">
        <v>95293.191333889205</v>
      </c>
      <c r="P69" s="17">
        <f t="shared" si="1"/>
        <v>1900370.28133389</v>
      </c>
      <c r="Q69" s="1"/>
      <c r="R69" s="187"/>
      <c r="S69" s="1"/>
    </row>
    <row r="70" spans="1:19">
      <c r="A70" s="77">
        <f t="shared" si="0"/>
        <v>58</v>
      </c>
      <c r="B70" s="175">
        <v>8710</v>
      </c>
      <c r="C70" s="17" t="s">
        <v>272</v>
      </c>
      <c r="D70" s="178">
        <v>50.39</v>
      </c>
      <c r="E70" s="178">
        <v>48.27</v>
      </c>
      <c r="F70" s="178">
        <v>58.99</v>
      </c>
      <c r="G70" s="178">
        <v>27.05</v>
      </c>
      <c r="H70" s="178">
        <v>61.11</v>
      </c>
      <c r="I70" s="178">
        <v>351.99</v>
      </c>
      <c r="J70" s="131"/>
      <c r="K70" s="131"/>
      <c r="L70" s="131">
        <v>35.770000000000003</v>
      </c>
      <c r="M70" s="131">
        <v>40.200000000000003</v>
      </c>
      <c r="N70" s="131">
        <v>101.45</v>
      </c>
      <c r="O70" s="131">
        <v>76.758025595433352</v>
      </c>
      <c r="P70" s="17">
        <f t="shared" si="1"/>
        <v>851.97802559543334</v>
      </c>
      <c r="Q70" s="1"/>
      <c r="R70" s="187"/>
      <c r="S70" s="1"/>
    </row>
    <row r="71" spans="1:19">
      <c r="A71" s="77">
        <f t="shared" si="0"/>
        <v>59</v>
      </c>
      <c r="B71" s="175">
        <v>8711</v>
      </c>
      <c r="C71" s="176" t="s">
        <v>273</v>
      </c>
      <c r="D71" s="178">
        <v>58.55</v>
      </c>
      <c r="E71" s="178">
        <v>0</v>
      </c>
      <c r="F71" s="178">
        <v>0</v>
      </c>
      <c r="G71" s="178">
        <v>1204.3900000000001</v>
      </c>
      <c r="H71" s="178">
        <v>0</v>
      </c>
      <c r="I71" s="178">
        <v>0</v>
      </c>
      <c r="J71" s="131"/>
      <c r="K71" s="131"/>
      <c r="L71" s="131"/>
      <c r="M71" s="131">
        <v>0</v>
      </c>
      <c r="N71" s="131">
        <v>0</v>
      </c>
      <c r="O71" s="131">
        <v>206.1541359559603</v>
      </c>
      <c r="P71" s="17">
        <f t="shared" si="1"/>
        <v>1469.0941359559604</v>
      </c>
      <c r="Q71" s="1"/>
      <c r="R71" s="187"/>
      <c r="S71" s="1"/>
    </row>
    <row r="72" spans="1:19">
      <c r="A72" s="77">
        <f t="shared" si="0"/>
        <v>60</v>
      </c>
      <c r="B72" s="175">
        <v>8720</v>
      </c>
      <c r="C72" s="176" t="s">
        <v>274</v>
      </c>
      <c r="D72" s="178">
        <f>0</f>
        <v>0</v>
      </c>
      <c r="E72" s="178">
        <f>0</f>
        <v>0</v>
      </c>
      <c r="F72" s="178">
        <f>0</f>
        <v>0</v>
      </c>
      <c r="G72" s="178">
        <f>0</f>
        <v>0</v>
      </c>
      <c r="H72" s="178">
        <f>0</f>
        <v>0</v>
      </c>
      <c r="I72" s="178">
        <f>0</f>
        <v>0</v>
      </c>
      <c r="J72" s="131"/>
      <c r="K72" s="131"/>
      <c r="L72" s="131"/>
      <c r="M72" s="131">
        <v>0</v>
      </c>
      <c r="N72" s="131">
        <v>0</v>
      </c>
      <c r="O72" s="131">
        <v>0</v>
      </c>
      <c r="P72" s="17">
        <f t="shared" si="1"/>
        <v>0</v>
      </c>
      <c r="Q72" s="1"/>
      <c r="R72" s="187"/>
      <c r="S72" s="1"/>
    </row>
    <row r="73" spans="1:19">
      <c r="A73" s="77">
        <f t="shared" si="0"/>
        <v>61</v>
      </c>
      <c r="B73" s="175">
        <v>8740</v>
      </c>
      <c r="C73" s="17" t="s">
        <v>275</v>
      </c>
      <c r="D73" s="178">
        <v>226559.30000000008</v>
      </c>
      <c r="E73" s="178">
        <v>356356.31999999995</v>
      </c>
      <c r="F73" s="178">
        <v>331226.78999999986</v>
      </c>
      <c r="G73" s="178">
        <v>248100.91999999972</v>
      </c>
      <c r="H73" s="178">
        <v>307975.7300000001</v>
      </c>
      <c r="I73" s="178">
        <v>220157.03999999998</v>
      </c>
      <c r="J73" s="131">
        <v>396455.3899999999</v>
      </c>
      <c r="K73" s="131">
        <v>381085.20999999956</v>
      </c>
      <c r="L73" s="131">
        <v>437312.37999999983</v>
      </c>
      <c r="M73" s="131">
        <v>278576.54999999987</v>
      </c>
      <c r="N73" s="131">
        <v>372515.3600000001</v>
      </c>
      <c r="O73" s="131">
        <v>252970.41187216531</v>
      </c>
      <c r="P73" s="17">
        <f t="shared" si="1"/>
        <v>3809291.4018721646</v>
      </c>
      <c r="Q73" s="1"/>
      <c r="R73" s="187"/>
      <c r="S73" s="1"/>
    </row>
    <row r="74" spans="1:19">
      <c r="A74" s="77">
        <f t="shared" si="0"/>
        <v>62</v>
      </c>
      <c r="B74" s="175">
        <v>8750</v>
      </c>
      <c r="C74" s="17" t="s">
        <v>276</v>
      </c>
      <c r="D74" s="178">
        <v>61861.51</v>
      </c>
      <c r="E74" s="178">
        <v>19205.089999999997</v>
      </c>
      <c r="F74" s="178">
        <v>28782.089999999993</v>
      </c>
      <c r="G74" s="178">
        <v>39929.380000000005</v>
      </c>
      <c r="H74" s="178">
        <v>50494.560000000005</v>
      </c>
      <c r="I74" s="178">
        <v>41510.879999999997</v>
      </c>
      <c r="J74" s="131">
        <v>41433.399999999994</v>
      </c>
      <c r="K74" s="131">
        <v>26330.780000000002</v>
      </c>
      <c r="L74" s="131">
        <v>21567.85</v>
      </c>
      <c r="M74" s="131">
        <v>34115.060000000005</v>
      </c>
      <c r="N74" s="131">
        <v>58998.63</v>
      </c>
      <c r="O74" s="131">
        <v>38140.22107850157</v>
      </c>
      <c r="P74" s="17">
        <f t="shared" si="1"/>
        <v>462369.45107850159</v>
      </c>
      <c r="Q74" s="1"/>
      <c r="R74" s="187"/>
      <c r="S74" s="1"/>
    </row>
    <row r="75" spans="1:19">
      <c r="A75" s="77">
        <f t="shared" si="0"/>
        <v>63</v>
      </c>
      <c r="B75" s="175">
        <v>8760</v>
      </c>
      <c r="C75" s="17" t="s">
        <v>277</v>
      </c>
      <c r="D75" s="178">
        <v>2603.9899999999998</v>
      </c>
      <c r="E75" s="178">
        <v>3727.6899999999996</v>
      </c>
      <c r="F75" s="178">
        <v>2853.23</v>
      </c>
      <c r="G75" s="178">
        <v>3280.3199999999997</v>
      </c>
      <c r="H75" s="178">
        <v>2718.58</v>
      </c>
      <c r="I75" s="178">
        <v>-32.42999999999995</v>
      </c>
      <c r="J75" s="131">
        <v>1268.75</v>
      </c>
      <c r="K75" s="131">
        <v>10782.25</v>
      </c>
      <c r="L75" s="131">
        <v>17003.879999999997</v>
      </c>
      <c r="M75" s="131">
        <v>11149.63</v>
      </c>
      <c r="N75" s="131">
        <v>7056.18</v>
      </c>
      <c r="O75" s="131">
        <v>2422.2999497006622</v>
      </c>
      <c r="P75" s="17">
        <f t="shared" si="1"/>
        <v>64834.369949700653</v>
      </c>
      <c r="Q75" s="1"/>
      <c r="R75" s="187"/>
      <c r="S75" s="1"/>
    </row>
    <row r="76" spans="1:19">
      <c r="A76" s="77">
        <f t="shared" si="0"/>
        <v>64</v>
      </c>
      <c r="B76" s="175">
        <v>8770</v>
      </c>
      <c r="C76" s="17" t="s">
        <v>278</v>
      </c>
      <c r="D76" s="178">
        <v>487.4</v>
      </c>
      <c r="E76" s="178">
        <v>1110.8999999999999</v>
      </c>
      <c r="F76" s="178">
        <v>1390.9699999999998</v>
      </c>
      <c r="G76" s="178">
        <v>96.56</v>
      </c>
      <c r="H76" s="178">
        <v>511.49</v>
      </c>
      <c r="I76" s="178">
        <v>7618.79</v>
      </c>
      <c r="J76" s="131">
        <v>14677.91</v>
      </c>
      <c r="K76" s="131">
        <v>3573.1899999999996</v>
      </c>
      <c r="L76" s="131">
        <v>47.37</v>
      </c>
      <c r="M76" s="131">
        <v>184.54999999999998</v>
      </c>
      <c r="N76" s="131">
        <v>8030.28</v>
      </c>
      <c r="O76" s="131">
        <v>1719.9396598412845</v>
      </c>
      <c r="P76" s="17">
        <f t="shared" si="1"/>
        <v>39449.349659841282</v>
      </c>
      <c r="Q76" s="1"/>
      <c r="R76" s="187"/>
      <c r="S76" s="1"/>
    </row>
    <row r="77" spans="1:19">
      <c r="A77" s="77">
        <f t="shared" si="0"/>
        <v>65</v>
      </c>
      <c r="B77" s="175">
        <v>8780</v>
      </c>
      <c r="C77" s="17" t="s">
        <v>279</v>
      </c>
      <c r="D77" s="178">
        <v>98617.510000000009</v>
      </c>
      <c r="E77" s="178">
        <v>50225.19999999999</v>
      </c>
      <c r="F77" s="178">
        <v>78582.409999999945</v>
      </c>
      <c r="G77" s="178">
        <v>75636.77</v>
      </c>
      <c r="H77" s="178">
        <v>88113.15</v>
      </c>
      <c r="I77" s="178">
        <v>80622.14</v>
      </c>
      <c r="J77" s="131">
        <v>78372.48000000001</v>
      </c>
      <c r="K77" s="131">
        <v>83229.02</v>
      </c>
      <c r="L77" s="131">
        <v>82119.69</v>
      </c>
      <c r="M77" s="131">
        <v>99091.000000000044</v>
      </c>
      <c r="N77" s="131">
        <v>155491.75999999998</v>
      </c>
      <c r="O77" s="131">
        <v>75101.526312815549</v>
      </c>
      <c r="P77" s="17">
        <f t="shared" si="1"/>
        <v>1045202.6563128154</v>
      </c>
      <c r="Q77" s="1"/>
      <c r="R77" s="187"/>
      <c r="S77" s="1"/>
    </row>
    <row r="78" spans="1:19">
      <c r="A78" s="77">
        <f t="shared" ref="A78:A112" si="3">A77+1</f>
        <v>66</v>
      </c>
      <c r="B78" s="175">
        <v>8790</v>
      </c>
      <c r="C78" s="17" t="s">
        <v>280</v>
      </c>
      <c r="D78" s="178">
        <v>26.67</v>
      </c>
      <c r="E78" s="178">
        <v>1976.07</v>
      </c>
      <c r="F78" s="178">
        <v>0</v>
      </c>
      <c r="G78" s="178">
        <v>0</v>
      </c>
      <c r="H78" s="178">
        <v>0</v>
      </c>
      <c r="I78" s="178">
        <v>0</v>
      </c>
      <c r="J78" s="131"/>
      <c r="K78" s="131"/>
      <c r="L78" s="131">
        <v>11.7</v>
      </c>
      <c r="M78" s="131">
        <v>0</v>
      </c>
      <c r="N78" s="131">
        <v>0</v>
      </c>
      <c r="O78" s="131">
        <v>321.80424960953866</v>
      </c>
      <c r="P78" s="17">
        <f t="shared" si="1"/>
        <v>2336.2442496095387</v>
      </c>
      <c r="Q78" s="1"/>
      <c r="R78" s="187"/>
      <c r="S78" s="1"/>
    </row>
    <row r="79" spans="1:19">
      <c r="A79" s="77">
        <f t="shared" si="3"/>
        <v>67</v>
      </c>
      <c r="B79" s="175">
        <v>8800</v>
      </c>
      <c r="C79" s="17" t="s">
        <v>281</v>
      </c>
      <c r="D79" s="178">
        <v>4559.17</v>
      </c>
      <c r="E79" s="178">
        <v>9769.4200000000019</v>
      </c>
      <c r="F79" s="178">
        <v>25806.979999999996</v>
      </c>
      <c r="G79" s="178">
        <v>9218.4900000000016</v>
      </c>
      <c r="H79" s="178">
        <v>12897.25</v>
      </c>
      <c r="I79" s="178">
        <v>11839.650000000001</v>
      </c>
      <c r="J79" s="131">
        <v>8419.1999999999971</v>
      </c>
      <c r="K79" s="131">
        <v>3913.4800000000005</v>
      </c>
      <c r="L79" s="131">
        <v>17124.010000000002</v>
      </c>
      <c r="M79" s="131">
        <v>9368.5300000000007</v>
      </c>
      <c r="N79" s="131">
        <v>2703.6</v>
      </c>
      <c r="O79" s="131">
        <v>11560.000851689232</v>
      </c>
      <c r="P79" s="17">
        <f t="shared" ref="P79:P107" si="4">SUM(D79:O79)</f>
        <v>127179.78085168923</v>
      </c>
      <c r="Q79" s="1"/>
      <c r="R79" s="1"/>
      <c r="S79" s="1"/>
    </row>
    <row r="80" spans="1:19">
      <c r="A80" s="77">
        <f t="shared" si="3"/>
        <v>68</v>
      </c>
      <c r="B80" s="175">
        <v>8810</v>
      </c>
      <c r="C80" s="17" t="s">
        <v>282</v>
      </c>
      <c r="D80" s="178">
        <v>37613.359999999993</v>
      </c>
      <c r="E80" s="178">
        <v>31576.730000000003</v>
      </c>
      <c r="F80" s="178">
        <v>33008.11</v>
      </c>
      <c r="G80" s="178">
        <v>30693.929999999989</v>
      </c>
      <c r="H80" s="178">
        <v>34123.14</v>
      </c>
      <c r="I80" s="178">
        <v>40750.900000000009</v>
      </c>
      <c r="J80" s="131">
        <v>30285.15</v>
      </c>
      <c r="K80" s="131">
        <v>33669.629999999997</v>
      </c>
      <c r="L80" s="131">
        <v>42344.860000000008</v>
      </c>
      <c r="M80" s="131">
        <v>19715.550000000003</v>
      </c>
      <c r="N80" s="131">
        <v>57078.260000000017</v>
      </c>
      <c r="O80" s="131">
        <v>26576.724497062107</v>
      </c>
      <c r="P80" s="17">
        <f t="shared" si="4"/>
        <v>417436.34449706203</v>
      </c>
      <c r="Q80" s="1"/>
      <c r="R80" s="1"/>
      <c r="S80" s="1"/>
    </row>
    <row r="81" spans="1:21">
      <c r="A81" s="77">
        <f t="shared" si="3"/>
        <v>69</v>
      </c>
      <c r="B81" s="175">
        <v>8850</v>
      </c>
      <c r="C81" s="17" t="s">
        <v>283</v>
      </c>
      <c r="D81" s="178">
        <v>312.39</v>
      </c>
      <c r="E81" s="178">
        <v>168.3</v>
      </c>
      <c r="F81" s="178">
        <v>21.29</v>
      </c>
      <c r="G81" s="178">
        <v>0</v>
      </c>
      <c r="H81" s="178">
        <v>238.17</v>
      </c>
      <c r="I81" s="178">
        <v>174</v>
      </c>
      <c r="J81" s="131">
        <v>33.769999999999996</v>
      </c>
      <c r="K81" s="131">
        <v>192.1</v>
      </c>
      <c r="L81" s="131">
        <v>202.07</v>
      </c>
      <c r="M81" s="131">
        <v>0</v>
      </c>
      <c r="N81" s="131">
        <v>333.74</v>
      </c>
      <c r="O81" s="131">
        <v>132.83889573824285</v>
      </c>
      <c r="P81" s="17">
        <f t="shared" si="4"/>
        <v>1808.6688957382428</v>
      </c>
      <c r="Q81" s="1"/>
      <c r="R81" s="1"/>
      <c r="S81" s="1"/>
    </row>
    <row r="82" spans="1:21">
      <c r="A82" s="77">
        <f t="shared" si="3"/>
        <v>70</v>
      </c>
      <c r="B82" s="175">
        <v>8860</v>
      </c>
      <c r="C82" s="17" t="s">
        <v>284</v>
      </c>
      <c r="D82" s="178">
        <v>0</v>
      </c>
      <c r="E82" s="178">
        <v>13.02</v>
      </c>
      <c r="F82" s="178">
        <v>47.55</v>
      </c>
      <c r="G82" s="178">
        <v>22.37</v>
      </c>
      <c r="H82" s="178">
        <v>0</v>
      </c>
      <c r="I82" s="178">
        <v>67.63</v>
      </c>
      <c r="J82" s="131"/>
      <c r="K82" s="131"/>
      <c r="L82" s="131">
        <v>24.69</v>
      </c>
      <c r="M82" s="131">
        <v>199.31</v>
      </c>
      <c r="N82" s="131">
        <v>0</v>
      </c>
      <c r="O82" s="131">
        <v>23.773586802020912</v>
      </c>
      <c r="P82" s="17">
        <f t="shared" si="4"/>
        <v>398.34358680202092</v>
      </c>
      <c r="Q82" s="1"/>
      <c r="R82" s="1"/>
      <c r="S82" s="1"/>
    </row>
    <row r="83" spans="1:21">
      <c r="A83" s="77">
        <f t="shared" si="3"/>
        <v>71</v>
      </c>
      <c r="B83" s="175">
        <v>8870</v>
      </c>
      <c r="C83" s="17" t="s">
        <v>285</v>
      </c>
      <c r="D83" s="178">
        <v>2051.67</v>
      </c>
      <c r="E83" s="178">
        <v>1614.92</v>
      </c>
      <c r="F83" s="178">
        <v>2274.3399999999997</v>
      </c>
      <c r="G83" s="178">
        <v>1692.15</v>
      </c>
      <c r="H83" s="178">
        <v>2720.2899999999995</v>
      </c>
      <c r="I83" s="178">
        <v>4890.25</v>
      </c>
      <c r="J83" s="131">
        <v>4695.3200000000006</v>
      </c>
      <c r="K83" s="131">
        <v>2887.0900000000006</v>
      </c>
      <c r="L83" s="131">
        <v>3602.1800000000012</v>
      </c>
      <c r="M83" s="131">
        <v>5245.13</v>
      </c>
      <c r="N83" s="131">
        <v>-749.24000000000012</v>
      </c>
      <c r="O83" s="131">
        <v>2224.8269566308263</v>
      </c>
      <c r="P83" s="17">
        <f t="shared" si="4"/>
        <v>33148.926956630821</v>
      </c>
      <c r="Q83" s="1"/>
      <c r="R83" s="188"/>
      <c r="S83" s="1"/>
    </row>
    <row r="84" spans="1:21">
      <c r="A84" s="77">
        <f t="shared" si="3"/>
        <v>72</v>
      </c>
      <c r="B84" s="175">
        <v>8890</v>
      </c>
      <c r="C84" s="189" t="s">
        <v>286</v>
      </c>
      <c r="D84" s="178">
        <v>0</v>
      </c>
      <c r="E84" s="178">
        <v>0</v>
      </c>
      <c r="F84" s="178">
        <v>0</v>
      </c>
      <c r="G84" s="178">
        <v>18.02</v>
      </c>
      <c r="H84" s="178">
        <v>0</v>
      </c>
      <c r="I84" s="178">
        <v>0</v>
      </c>
      <c r="J84" s="131">
        <v>813.7</v>
      </c>
      <c r="K84" s="131">
        <v>-288.73</v>
      </c>
      <c r="L84" s="131">
        <v>42.18</v>
      </c>
      <c r="M84" s="131">
        <v>2246.08</v>
      </c>
      <c r="N84" s="131">
        <v>-582.32000000000005</v>
      </c>
      <c r="O84" s="131">
        <v>2.8954894684102217</v>
      </c>
      <c r="P84" s="17">
        <f t="shared" si="4"/>
        <v>2251.8254894684101</v>
      </c>
      <c r="Q84" s="1"/>
      <c r="R84" s="1"/>
      <c r="S84" s="1"/>
    </row>
    <row r="85" spans="1:21">
      <c r="A85" s="77">
        <f t="shared" si="3"/>
        <v>73</v>
      </c>
      <c r="B85" s="175">
        <v>8900</v>
      </c>
      <c r="C85" s="17" t="s">
        <v>287</v>
      </c>
      <c r="D85" s="178">
        <v>4089.86</v>
      </c>
      <c r="E85" s="178">
        <v>299.19</v>
      </c>
      <c r="F85" s="178">
        <v>0</v>
      </c>
      <c r="G85" s="178">
        <v>0</v>
      </c>
      <c r="H85" s="178">
        <v>0</v>
      </c>
      <c r="I85" s="178">
        <v>0</v>
      </c>
      <c r="J85" s="131">
        <v>1292.5</v>
      </c>
      <c r="K85" s="131">
        <v>-458.63</v>
      </c>
      <c r="L85" s="131"/>
      <c r="M85" s="131">
        <v>1391.88</v>
      </c>
      <c r="N85" s="131">
        <v>0</v>
      </c>
      <c r="O85" s="131">
        <v>705.24129030665279</v>
      </c>
      <c r="P85" s="17">
        <f t="shared" si="4"/>
        <v>7320.0412903066526</v>
      </c>
      <c r="Q85" s="1"/>
      <c r="R85" s="1"/>
      <c r="S85" s="1"/>
    </row>
    <row r="86" spans="1:21">
      <c r="A86" s="77">
        <f t="shared" si="3"/>
        <v>74</v>
      </c>
      <c r="B86" s="175">
        <v>8910</v>
      </c>
      <c r="C86" s="17" t="s">
        <v>288</v>
      </c>
      <c r="D86" s="178">
        <v>114</v>
      </c>
      <c r="E86" s="178">
        <v>1284.8</v>
      </c>
      <c r="F86" s="178">
        <v>52.81</v>
      </c>
      <c r="G86" s="178">
        <v>170</v>
      </c>
      <c r="H86" s="178">
        <v>0</v>
      </c>
      <c r="I86" s="178">
        <v>583</v>
      </c>
      <c r="J86" s="131">
        <v>-33</v>
      </c>
      <c r="K86" s="131">
        <v>1015.5</v>
      </c>
      <c r="L86" s="131">
        <v>300</v>
      </c>
      <c r="M86" s="131">
        <v>0</v>
      </c>
      <c r="N86" s="131">
        <v>0</v>
      </c>
      <c r="O86" s="131">
        <v>326.25337055710253</v>
      </c>
      <c r="P86" s="17">
        <f t="shared" si="4"/>
        <v>3813.3633705571024</v>
      </c>
      <c r="Q86" s="1"/>
      <c r="R86" s="1"/>
      <c r="S86" s="1"/>
    </row>
    <row r="87" spans="1:21">
      <c r="A87" s="77">
        <f t="shared" si="3"/>
        <v>75</v>
      </c>
      <c r="B87" s="175">
        <v>8920</v>
      </c>
      <c r="C87" s="17" t="s">
        <v>289</v>
      </c>
      <c r="D87" s="178">
        <v>0</v>
      </c>
      <c r="E87" s="178">
        <v>0</v>
      </c>
      <c r="F87" s="178">
        <v>0</v>
      </c>
      <c r="G87" s="178">
        <v>0</v>
      </c>
      <c r="H87" s="178">
        <v>50.87</v>
      </c>
      <c r="I87" s="178">
        <v>0</v>
      </c>
      <c r="J87" s="131"/>
      <c r="K87" s="131">
        <v>0</v>
      </c>
      <c r="L87" s="131"/>
      <c r="M87" s="131">
        <v>411.40999999999997</v>
      </c>
      <c r="N87" s="131">
        <v>347.3</v>
      </c>
      <c r="O87" s="131">
        <v>8.1738928556064341</v>
      </c>
      <c r="P87" s="17">
        <f t="shared" si="4"/>
        <v>817.75389285560641</v>
      </c>
      <c r="Q87" s="1"/>
      <c r="R87" s="1"/>
      <c r="S87" s="1"/>
    </row>
    <row r="88" spans="1:21">
      <c r="A88" s="77">
        <f t="shared" si="3"/>
        <v>76</v>
      </c>
      <c r="B88" s="175">
        <v>8930</v>
      </c>
      <c r="C88" s="17" t="s">
        <v>290</v>
      </c>
      <c r="D88" s="178">
        <v>3597.5099999999998</v>
      </c>
      <c r="E88" s="178">
        <v>17018.47</v>
      </c>
      <c r="F88" s="178">
        <v>12171.419999999998</v>
      </c>
      <c r="G88" s="178">
        <v>1369.0500000000002</v>
      </c>
      <c r="H88" s="178">
        <v>1322.5700000000002</v>
      </c>
      <c r="I88" s="178">
        <v>9941.74</v>
      </c>
      <c r="J88" s="131">
        <v>8626.11</v>
      </c>
      <c r="K88" s="131">
        <v>5295.46</v>
      </c>
      <c r="L88" s="131">
        <v>14111.19</v>
      </c>
      <c r="M88" s="131">
        <v>6631.5</v>
      </c>
      <c r="N88" s="131">
        <v>-1651.85</v>
      </c>
      <c r="O88" s="131">
        <v>7225.739916185109</v>
      </c>
      <c r="P88" s="17">
        <f t="shared" si="4"/>
        <v>85658.90991618509</v>
      </c>
      <c r="Q88" s="1"/>
      <c r="R88" s="1"/>
      <c r="S88" s="1"/>
    </row>
    <row r="89" spans="1:21">
      <c r="A89" s="77">
        <f t="shared" si="3"/>
        <v>77</v>
      </c>
      <c r="B89" s="175">
        <v>8940</v>
      </c>
      <c r="C89" s="17" t="s">
        <v>291</v>
      </c>
      <c r="D89" s="178">
        <v>875.79000000000008</v>
      </c>
      <c r="E89" s="178">
        <v>813.25</v>
      </c>
      <c r="F89" s="178">
        <v>1734.98</v>
      </c>
      <c r="G89" s="178">
        <v>992.0100000000001</v>
      </c>
      <c r="H89" s="178">
        <v>525.57000000000005</v>
      </c>
      <c r="I89" s="178">
        <v>239.21</v>
      </c>
      <c r="J89" s="131">
        <v>515.14</v>
      </c>
      <c r="K89" s="131">
        <v>1293.7299999999998</v>
      </c>
      <c r="L89" s="131">
        <v>378.21</v>
      </c>
      <c r="M89" s="131">
        <v>726.77</v>
      </c>
      <c r="N89" s="131">
        <v>3374.6600000000003</v>
      </c>
      <c r="O89" s="131">
        <v>819.11890968288139</v>
      </c>
      <c r="P89" s="17">
        <f t="shared" si="4"/>
        <v>12288.438909682882</v>
      </c>
      <c r="Q89" s="1"/>
      <c r="R89" s="1"/>
      <c r="S89" s="1"/>
    </row>
    <row r="90" spans="1:21">
      <c r="A90" s="77">
        <f t="shared" si="3"/>
        <v>78</v>
      </c>
      <c r="B90" s="175">
        <v>9010</v>
      </c>
      <c r="C90" s="154" t="s">
        <v>292</v>
      </c>
      <c r="D90" s="178">
        <v>0</v>
      </c>
      <c r="E90" s="178">
        <v>48.86</v>
      </c>
      <c r="F90" s="178">
        <v>-18.32</v>
      </c>
      <c r="G90" s="178">
        <v>172.46</v>
      </c>
      <c r="H90" s="178">
        <v>0</v>
      </c>
      <c r="I90" s="178">
        <v>0</v>
      </c>
      <c r="J90" s="131"/>
      <c r="K90" s="131"/>
      <c r="L90" s="131"/>
      <c r="M90" s="131">
        <v>0</v>
      </c>
      <c r="N90" s="131">
        <v>0</v>
      </c>
      <c r="O90" s="131">
        <v>32.569657394952593</v>
      </c>
      <c r="P90" s="17">
        <f t="shared" si="4"/>
        <v>235.5696573949526</v>
      </c>
      <c r="Q90" s="1"/>
      <c r="R90" s="1"/>
      <c r="S90" s="1"/>
    </row>
    <row r="91" spans="1:21">
      <c r="A91" s="77">
        <f t="shared" si="3"/>
        <v>79</v>
      </c>
      <c r="B91" s="175">
        <v>9020</v>
      </c>
      <c r="C91" s="17" t="s">
        <v>293</v>
      </c>
      <c r="D91" s="178">
        <v>110784.90999999999</v>
      </c>
      <c r="E91" s="178">
        <v>105089.31999999998</v>
      </c>
      <c r="F91" s="178">
        <v>126664.08000000002</v>
      </c>
      <c r="G91" s="178">
        <v>97026.380000000019</v>
      </c>
      <c r="H91" s="178">
        <v>108759.08</v>
      </c>
      <c r="I91" s="178">
        <v>104421.48000000001</v>
      </c>
      <c r="J91" s="131">
        <v>87767.889999999985</v>
      </c>
      <c r="K91" s="131">
        <v>92447.279999999984</v>
      </c>
      <c r="L91" s="131">
        <v>107669.81999999999</v>
      </c>
      <c r="M91" s="131">
        <v>99560.579999999987</v>
      </c>
      <c r="N91" s="131">
        <v>116687.65</v>
      </c>
      <c r="O91" s="131">
        <v>76385.467928657512</v>
      </c>
      <c r="P91" s="17">
        <f t="shared" si="4"/>
        <v>1233263.9379286575</v>
      </c>
      <c r="Q91" s="75"/>
      <c r="R91" s="75"/>
      <c r="S91" s="75"/>
      <c r="T91" s="75"/>
      <c r="U91" s="75"/>
    </row>
    <row r="92" spans="1:21">
      <c r="A92" s="77">
        <f t="shared" si="3"/>
        <v>80</v>
      </c>
      <c r="B92" s="175">
        <v>9030</v>
      </c>
      <c r="C92" s="17" t="s">
        <v>294</v>
      </c>
      <c r="D92" s="178">
        <v>23155.33</v>
      </c>
      <c r="E92" s="178">
        <v>39749.359999999993</v>
      </c>
      <c r="F92" s="178">
        <v>501984.22000000003</v>
      </c>
      <c r="G92" s="178">
        <v>102686.18999999999</v>
      </c>
      <c r="H92" s="178">
        <v>138341.84999999998</v>
      </c>
      <c r="I92" s="178">
        <v>123054.95999999999</v>
      </c>
      <c r="J92" s="131">
        <v>93463.530000000013</v>
      </c>
      <c r="K92" s="131">
        <v>101698.82999999999</v>
      </c>
      <c r="L92" s="131">
        <v>97580.010000000024</v>
      </c>
      <c r="M92" s="131">
        <v>102951.24999999999</v>
      </c>
      <c r="N92" s="131">
        <v>96974.390000000014</v>
      </c>
      <c r="O92" s="131">
        <v>98963.309252858511</v>
      </c>
      <c r="P92" s="17">
        <f t="shared" si="4"/>
        <v>1520603.2292528586</v>
      </c>
      <c r="Q92" s="75"/>
      <c r="R92" s="75"/>
      <c r="S92" s="75"/>
      <c r="T92" s="75"/>
      <c r="U92" s="75"/>
    </row>
    <row r="93" spans="1:21">
      <c r="A93" s="77">
        <f t="shared" si="3"/>
        <v>81</v>
      </c>
      <c r="B93" s="175">
        <v>9040</v>
      </c>
      <c r="C93" s="17" t="s">
        <v>295</v>
      </c>
      <c r="D93" s="178">
        <v>49058</v>
      </c>
      <c r="E93" s="178">
        <v>39838</v>
      </c>
      <c r="F93" s="178">
        <v>32057</v>
      </c>
      <c r="G93" s="178">
        <v>27877</v>
      </c>
      <c r="H93" s="178">
        <v>23175</v>
      </c>
      <c r="I93" s="178">
        <v>21912</v>
      </c>
      <c r="J93" s="131">
        <v>21244</v>
      </c>
      <c r="K93" s="131">
        <v>21832</v>
      </c>
      <c r="L93" s="131">
        <v>553378.49</v>
      </c>
      <c r="M93" s="131">
        <v>25972</v>
      </c>
      <c r="N93" s="131">
        <v>34005</v>
      </c>
      <c r="O93" s="131">
        <v>46799.183700000001</v>
      </c>
      <c r="P93" s="17">
        <f t="shared" si="4"/>
        <v>897147.67370000004</v>
      </c>
      <c r="Q93" s="1"/>
      <c r="R93" s="1"/>
      <c r="S93" s="1"/>
    </row>
    <row r="94" spans="1:21">
      <c r="A94" s="77">
        <f t="shared" si="3"/>
        <v>82</v>
      </c>
      <c r="B94" s="175">
        <v>9090</v>
      </c>
      <c r="C94" s="17" t="s">
        <v>296</v>
      </c>
      <c r="D94" s="178">
        <v>10133.370000000001</v>
      </c>
      <c r="E94" s="178">
        <v>9037.86</v>
      </c>
      <c r="F94" s="178">
        <v>11220.49</v>
      </c>
      <c r="G94" s="178">
        <v>9707.85</v>
      </c>
      <c r="H94" s="178">
        <v>12366.190000000002</v>
      </c>
      <c r="I94" s="178">
        <v>12062.02</v>
      </c>
      <c r="J94" s="131">
        <v>8632.9500000000007</v>
      </c>
      <c r="K94" s="131">
        <v>13002.810000000001</v>
      </c>
      <c r="L94" s="131">
        <v>12021.180000000002</v>
      </c>
      <c r="M94" s="131">
        <v>11797.130000000001</v>
      </c>
      <c r="N94" s="131">
        <v>12463.240000000002</v>
      </c>
      <c r="O94" s="131">
        <v>10675.868313112467</v>
      </c>
      <c r="P94" s="17">
        <f t="shared" si="4"/>
        <v>133120.95831311247</v>
      </c>
      <c r="Q94" s="1"/>
      <c r="R94" s="1"/>
      <c r="S94" s="1"/>
    </row>
    <row r="95" spans="1:21">
      <c r="A95" s="77">
        <f t="shared" si="3"/>
        <v>83</v>
      </c>
      <c r="B95" s="175">
        <v>9100</v>
      </c>
      <c r="C95" s="17" t="s">
        <v>297</v>
      </c>
      <c r="D95" s="178">
        <f>0</f>
        <v>0</v>
      </c>
      <c r="E95" s="178">
        <f>0</f>
        <v>0</v>
      </c>
      <c r="F95" s="178">
        <f>0</f>
        <v>0</v>
      </c>
      <c r="G95" s="178">
        <f>0</f>
        <v>0</v>
      </c>
      <c r="H95" s="178">
        <f>0</f>
        <v>0</v>
      </c>
      <c r="I95" s="178">
        <f>0</f>
        <v>0</v>
      </c>
      <c r="J95" s="131"/>
      <c r="K95" s="131"/>
      <c r="L95" s="131"/>
      <c r="M95" s="131">
        <v>0</v>
      </c>
      <c r="N95" s="131">
        <v>0</v>
      </c>
      <c r="O95" s="131">
        <v>0</v>
      </c>
      <c r="P95" s="17">
        <f t="shared" si="4"/>
        <v>0</v>
      </c>
      <c r="Q95" s="1"/>
      <c r="R95" s="1"/>
      <c r="S95" s="1"/>
    </row>
    <row r="96" spans="1:21">
      <c r="A96" s="77">
        <f t="shared" si="3"/>
        <v>84</v>
      </c>
      <c r="B96" s="175">
        <v>9110</v>
      </c>
      <c r="C96" s="17" t="s">
        <v>298</v>
      </c>
      <c r="D96" s="178">
        <v>22301.33</v>
      </c>
      <c r="E96" s="178">
        <v>16762.810000000001</v>
      </c>
      <c r="F96" s="178">
        <v>23243.09</v>
      </c>
      <c r="G96" s="178">
        <v>19798.989999999998</v>
      </c>
      <c r="H96" s="178">
        <v>21407.67</v>
      </c>
      <c r="I96" s="178">
        <v>21584.890000000003</v>
      </c>
      <c r="J96" s="131">
        <v>21689.460000000003</v>
      </c>
      <c r="K96" s="131">
        <v>21079.389999999996</v>
      </c>
      <c r="L96" s="131">
        <v>21336.530000000002</v>
      </c>
      <c r="M96" s="131">
        <v>20579.049999999996</v>
      </c>
      <c r="N96" s="131">
        <v>20141.570000000003</v>
      </c>
      <c r="O96" s="131">
        <v>21532.913795045988</v>
      </c>
      <c r="P96" s="17">
        <f t="shared" si="4"/>
        <v>251457.69379504595</v>
      </c>
      <c r="Q96" s="1"/>
      <c r="R96" s="188"/>
      <c r="S96" s="1"/>
    </row>
    <row r="97" spans="1:19">
      <c r="A97" s="77">
        <f t="shared" si="3"/>
        <v>85</v>
      </c>
      <c r="B97" s="175">
        <v>9120</v>
      </c>
      <c r="C97" s="17" t="s">
        <v>299</v>
      </c>
      <c r="D97" s="178">
        <v>16390.32</v>
      </c>
      <c r="E97" s="178">
        <v>8111.26</v>
      </c>
      <c r="F97" s="178">
        <v>12044.060000000001</v>
      </c>
      <c r="G97" s="178">
        <v>10477.56</v>
      </c>
      <c r="H97" s="178">
        <v>6937.37</v>
      </c>
      <c r="I97" s="178">
        <v>6607.42</v>
      </c>
      <c r="J97" s="131">
        <v>10145.080000000002</v>
      </c>
      <c r="K97" s="131">
        <v>16776.350000000002</v>
      </c>
      <c r="L97" s="131">
        <v>10761.349999999999</v>
      </c>
      <c r="M97" s="131">
        <v>11706.539999999999</v>
      </c>
      <c r="N97" s="131">
        <v>8070.49</v>
      </c>
      <c r="O97" s="131">
        <v>10032.512903661907</v>
      </c>
      <c r="P97" s="17">
        <f t="shared" si="4"/>
        <v>128060.31290366192</v>
      </c>
      <c r="Q97" s="1"/>
      <c r="R97" s="188"/>
      <c r="S97" s="1"/>
    </row>
    <row r="98" spans="1:19">
      <c r="A98" s="77">
        <f t="shared" si="3"/>
        <v>86</v>
      </c>
      <c r="B98" s="175">
        <v>9130</v>
      </c>
      <c r="C98" s="17" t="s">
        <v>300</v>
      </c>
      <c r="D98" s="178">
        <v>1111.1600000000001</v>
      </c>
      <c r="E98" s="178">
        <v>7084.3</v>
      </c>
      <c r="F98" s="178">
        <v>2365.9899999999998</v>
      </c>
      <c r="G98" s="178">
        <v>2627.1400000000003</v>
      </c>
      <c r="H98" s="178">
        <v>3104.84</v>
      </c>
      <c r="I98" s="178">
        <v>3025</v>
      </c>
      <c r="J98" s="131">
        <v>705</v>
      </c>
      <c r="K98" s="131">
        <v>394.03</v>
      </c>
      <c r="L98" s="131">
        <v>529.5</v>
      </c>
      <c r="M98" s="131">
        <v>3625.6</v>
      </c>
      <c r="N98" s="131">
        <v>1081.78</v>
      </c>
      <c r="O98" s="131">
        <v>3367.2511335634836</v>
      </c>
      <c r="P98" s="17">
        <f t="shared" si="4"/>
        <v>29021.591133563481</v>
      </c>
      <c r="Q98" s="1"/>
      <c r="R98" s="1"/>
      <c r="S98" s="1"/>
    </row>
    <row r="99" spans="1:19">
      <c r="A99" s="77">
        <f t="shared" si="3"/>
        <v>87</v>
      </c>
      <c r="B99" s="175">
        <v>9200</v>
      </c>
      <c r="C99" s="176" t="s">
        <v>301</v>
      </c>
      <c r="D99" s="178">
        <v>13290.94</v>
      </c>
      <c r="E99" s="178">
        <v>9993.0299999999988</v>
      </c>
      <c r="F99" s="178">
        <v>13406.640000000001</v>
      </c>
      <c r="G99" s="178">
        <v>10433.07</v>
      </c>
      <c r="H99" s="178">
        <v>12196.779999999999</v>
      </c>
      <c r="I99" s="178">
        <v>12401.91</v>
      </c>
      <c r="J99" s="131">
        <v>15308.199999999999</v>
      </c>
      <c r="K99" s="131">
        <v>28121.84</v>
      </c>
      <c r="L99" s="131">
        <v>11180.450000000003</v>
      </c>
      <c r="M99" s="131">
        <v>11664.400000000001</v>
      </c>
      <c r="N99" s="131">
        <v>11798.75</v>
      </c>
      <c r="O99" s="131">
        <v>11409.918984015183</v>
      </c>
      <c r="P99" s="17">
        <f t="shared" si="4"/>
        <v>161205.92898401516</v>
      </c>
      <c r="Q99" s="1"/>
      <c r="R99" s="188"/>
      <c r="S99" s="1"/>
    </row>
    <row r="100" spans="1:19">
      <c r="A100" s="77">
        <f t="shared" si="3"/>
        <v>88</v>
      </c>
      <c r="B100" s="175">
        <v>9210</v>
      </c>
      <c r="C100" s="17" t="s">
        <v>302</v>
      </c>
      <c r="D100" s="178">
        <v>213</v>
      </c>
      <c r="E100" s="178">
        <v>-50</v>
      </c>
      <c r="F100" s="178">
        <v>141.4</v>
      </c>
      <c r="G100" s="178">
        <v>397.76</v>
      </c>
      <c r="H100" s="178">
        <v>623.2399999999999</v>
      </c>
      <c r="I100" s="178">
        <v>375.99</v>
      </c>
      <c r="J100" s="131">
        <v>745.06</v>
      </c>
      <c r="K100" s="131">
        <v>680.96</v>
      </c>
      <c r="L100" s="131">
        <v>2339.6400000000003</v>
      </c>
      <c r="M100" s="131">
        <v>480.19000000000005</v>
      </c>
      <c r="N100" s="131">
        <v>344.51</v>
      </c>
      <c r="O100" s="131">
        <v>270.37413966801546</v>
      </c>
      <c r="P100" s="17">
        <f t="shared" si="4"/>
        <v>6562.1241396680152</v>
      </c>
      <c r="Q100" s="1"/>
      <c r="R100" s="188"/>
      <c r="S100" s="1"/>
    </row>
    <row r="101" spans="1:19">
      <c r="A101" s="77">
        <f t="shared" si="3"/>
        <v>89</v>
      </c>
      <c r="B101" s="175">
        <v>9220</v>
      </c>
      <c r="C101" s="17" t="s">
        <v>303</v>
      </c>
      <c r="D101" s="178">
        <v>1165023.74</v>
      </c>
      <c r="E101" s="178">
        <v>1094816.6299999999</v>
      </c>
      <c r="F101" s="178">
        <v>946831.91999999993</v>
      </c>
      <c r="G101" s="178">
        <v>1026190.3400000001</v>
      </c>
      <c r="H101" s="178">
        <v>1198875.8399999999</v>
      </c>
      <c r="I101" s="178">
        <v>640902.33000000007</v>
      </c>
      <c r="J101" s="113">
        <v>1238264.1099999999</v>
      </c>
      <c r="K101" s="113">
        <v>781151.06</v>
      </c>
      <c r="L101" s="113">
        <v>1190968.1599999999</v>
      </c>
      <c r="M101" s="113">
        <v>733123.58</v>
      </c>
      <c r="N101" s="113">
        <v>810780.5</v>
      </c>
      <c r="O101" s="113">
        <f>-('C.2.2 B 02'!O44+'C.2.2 B 12'!O34+'C.2.2 B 91'!O57)</f>
        <v>1115317.6166687084</v>
      </c>
      <c r="P101" s="17">
        <f>SUM(D101:O101)</f>
        <v>11942245.82666871</v>
      </c>
      <c r="Q101" s="75"/>
      <c r="R101" s="190"/>
      <c r="S101" s="17"/>
    </row>
    <row r="102" spans="1:19">
      <c r="A102" s="77">
        <f t="shared" si="3"/>
        <v>90</v>
      </c>
      <c r="B102" s="175">
        <v>9230</v>
      </c>
      <c r="C102" s="17" t="s">
        <v>304</v>
      </c>
      <c r="D102" s="178">
        <v>7268.05</v>
      </c>
      <c r="E102" s="178">
        <v>5262.9</v>
      </c>
      <c r="F102" s="178">
        <v>0</v>
      </c>
      <c r="G102" s="178">
        <v>10119.08</v>
      </c>
      <c r="H102" s="178">
        <v>9741.08</v>
      </c>
      <c r="I102" s="178">
        <v>5019.95</v>
      </c>
      <c r="J102" s="131">
        <v>5468.07</v>
      </c>
      <c r="K102" s="131">
        <v>90663.5</v>
      </c>
      <c r="L102" s="131">
        <v>96639.9</v>
      </c>
      <c r="M102" s="131">
        <v>8455.0300000000007</v>
      </c>
      <c r="N102" s="131">
        <v>454.98</v>
      </c>
      <c r="O102" s="131">
        <v>3418.6418831471237</v>
      </c>
      <c r="P102" s="17">
        <f t="shared" si="4"/>
        <v>242511.18188314713</v>
      </c>
      <c r="Q102" s="1"/>
      <c r="R102" s="188"/>
      <c r="S102" s="1"/>
    </row>
    <row r="103" spans="1:19">
      <c r="A103" s="77">
        <f t="shared" si="3"/>
        <v>91</v>
      </c>
      <c r="B103" s="175">
        <v>9240</v>
      </c>
      <c r="C103" s="17" t="s">
        <v>305</v>
      </c>
      <c r="D103" s="178">
        <v>13990.779999999999</v>
      </c>
      <c r="E103" s="178">
        <v>13921.75</v>
      </c>
      <c r="F103" s="178">
        <v>14167.420000000002</v>
      </c>
      <c r="G103" s="178">
        <v>13939.490000000002</v>
      </c>
      <c r="H103" s="178">
        <v>14230.75</v>
      </c>
      <c r="I103" s="178">
        <v>13802.05</v>
      </c>
      <c r="J103" s="131">
        <v>13276.230000000003</v>
      </c>
      <c r="K103" s="131">
        <v>12885.93</v>
      </c>
      <c r="L103" s="131">
        <v>13496.669999999998</v>
      </c>
      <c r="M103" s="131">
        <v>13953.380000000001</v>
      </c>
      <c r="N103" s="131">
        <v>15107.59</v>
      </c>
      <c r="O103" s="131">
        <v>394.33366306974824</v>
      </c>
      <c r="P103" s="17">
        <f t="shared" si="4"/>
        <v>153166.37366306974</v>
      </c>
      <c r="Q103" s="1"/>
      <c r="R103" s="188"/>
      <c r="S103" s="1"/>
    </row>
    <row r="104" spans="1:19">
      <c r="A104" s="77">
        <f t="shared" si="3"/>
        <v>92</v>
      </c>
      <c r="B104" s="175">
        <v>9250</v>
      </c>
      <c r="C104" s="17" t="s">
        <v>306</v>
      </c>
      <c r="D104" s="178">
        <v>1847.5900000000001</v>
      </c>
      <c r="E104" s="178">
        <v>783.72</v>
      </c>
      <c r="F104" s="178">
        <v>2141.4499999999998</v>
      </c>
      <c r="G104" s="178">
        <v>5523.7</v>
      </c>
      <c r="H104" s="178">
        <v>488.45</v>
      </c>
      <c r="I104" s="178">
        <v>313.65999999999997</v>
      </c>
      <c r="J104" s="131">
        <v>761.99</v>
      </c>
      <c r="K104" s="131">
        <v>10373.709999999999</v>
      </c>
      <c r="L104" s="131">
        <v>2357.0299999999997</v>
      </c>
      <c r="M104" s="131">
        <v>7328.29</v>
      </c>
      <c r="N104" s="131">
        <v>3341.6000000000004</v>
      </c>
      <c r="O104" s="131">
        <v>1067.8093835746895</v>
      </c>
      <c r="P104" s="17">
        <f t="shared" si="4"/>
        <v>36328.999383574686</v>
      </c>
      <c r="Q104" s="1"/>
      <c r="R104" s="188"/>
      <c r="S104" s="1"/>
    </row>
    <row r="105" spans="1:19">
      <c r="A105" s="77">
        <f t="shared" si="3"/>
        <v>93</v>
      </c>
      <c r="B105" s="175">
        <v>9260</v>
      </c>
      <c r="C105" s="17" t="s">
        <v>307</v>
      </c>
      <c r="D105" s="178">
        <v>174539.36999999988</v>
      </c>
      <c r="E105" s="178">
        <v>152249.79999999996</v>
      </c>
      <c r="F105" s="178">
        <v>185191.22000000012</v>
      </c>
      <c r="G105" s="178">
        <v>160523.91999999995</v>
      </c>
      <c r="H105" s="178">
        <v>188456.50000000003</v>
      </c>
      <c r="I105" s="178">
        <v>160942.74000000005</v>
      </c>
      <c r="J105" s="131">
        <v>155717.7600000001</v>
      </c>
      <c r="K105" s="131">
        <v>171305.77999999994</v>
      </c>
      <c r="L105" s="131">
        <v>164424.24999999997</v>
      </c>
      <c r="M105" s="131">
        <v>161479.67999999991</v>
      </c>
      <c r="N105" s="131">
        <v>178681.24000000017</v>
      </c>
      <c r="O105" s="131">
        <v>136624.56752368226</v>
      </c>
      <c r="P105" s="17">
        <f>SUM(D105:O105)</f>
        <v>1990136.8275236823</v>
      </c>
      <c r="Q105" s="1"/>
      <c r="R105" s="188"/>
      <c r="S105" s="1"/>
    </row>
    <row r="106" spans="1:19">
      <c r="A106" s="77">
        <f t="shared" si="3"/>
        <v>94</v>
      </c>
      <c r="B106" s="175">
        <v>9270</v>
      </c>
      <c r="C106" s="17" t="s">
        <v>308</v>
      </c>
      <c r="D106" s="178">
        <v>0</v>
      </c>
      <c r="E106" s="178">
        <v>0</v>
      </c>
      <c r="F106" s="178">
        <v>842.28</v>
      </c>
      <c r="G106" s="178">
        <v>0</v>
      </c>
      <c r="H106" s="178">
        <v>14.37</v>
      </c>
      <c r="I106" s="178">
        <v>0</v>
      </c>
      <c r="J106" s="131"/>
      <c r="K106" s="131"/>
      <c r="L106" s="131">
        <v>439.95</v>
      </c>
      <c r="M106" s="131">
        <v>0</v>
      </c>
      <c r="N106" s="131">
        <v>0</v>
      </c>
      <c r="O106" s="131">
        <v>47.88898431433725</v>
      </c>
      <c r="P106" s="17">
        <f t="shared" si="4"/>
        <v>1344.4889843143371</v>
      </c>
      <c r="Q106" s="1"/>
      <c r="R106" s="188"/>
      <c r="S106" s="1"/>
    </row>
    <row r="107" spans="1:19">
      <c r="A107" s="77">
        <f t="shared" si="3"/>
        <v>95</v>
      </c>
      <c r="B107" s="175">
        <v>9280</v>
      </c>
      <c r="C107" s="17" t="s">
        <v>309</v>
      </c>
      <c r="D107" s="178">
        <f>0</f>
        <v>0</v>
      </c>
      <c r="E107" s="178">
        <f>0</f>
        <v>0</v>
      </c>
      <c r="F107" s="178">
        <f>0</f>
        <v>0</v>
      </c>
      <c r="G107" s="178">
        <f>0</f>
        <v>0</v>
      </c>
      <c r="H107" s="178">
        <f>0</f>
        <v>0</v>
      </c>
      <c r="I107" s="178">
        <f>0</f>
        <v>0</v>
      </c>
      <c r="J107" s="131"/>
      <c r="K107" s="131"/>
      <c r="L107" s="131">
        <v>621.41999999999996</v>
      </c>
      <c r="M107" s="131">
        <v>33334.5</v>
      </c>
      <c r="N107" s="131">
        <v>93803.01</v>
      </c>
      <c r="O107" s="131">
        <v>0</v>
      </c>
      <c r="P107" s="17">
        <f t="shared" si="4"/>
        <v>127758.93</v>
      </c>
      <c r="Q107" s="1"/>
      <c r="R107" s="188"/>
      <c r="S107" s="1"/>
    </row>
    <row r="108" spans="1:19">
      <c r="A108" s="77">
        <f t="shared" si="3"/>
        <v>96</v>
      </c>
      <c r="B108" s="175">
        <v>9302</v>
      </c>
      <c r="C108" s="17" t="s">
        <v>310</v>
      </c>
      <c r="D108" s="178">
        <v>12347.07</v>
      </c>
      <c r="E108" s="178">
        <v>7382.07</v>
      </c>
      <c r="F108" s="178">
        <v>8449.07</v>
      </c>
      <c r="G108" s="178">
        <v>4277.07</v>
      </c>
      <c r="H108" s="178">
        <v>14490.15</v>
      </c>
      <c r="I108" s="178">
        <v>4482.07</v>
      </c>
      <c r="J108" s="131">
        <v>4706.4299999999994</v>
      </c>
      <c r="K108" s="131">
        <v>5057.07</v>
      </c>
      <c r="L108" s="131">
        <v>7397.07</v>
      </c>
      <c r="M108" s="131">
        <v>17377.03</v>
      </c>
      <c r="N108" s="131">
        <v>15592.03</v>
      </c>
      <c r="O108" s="131">
        <v>5642.6403298598962</v>
      </c>
      <c r="P108" s="17">
        <f t="shared" ref="P108:P110" si="5">SUM(D108:O108)</f>
        <v>107199.77032985989</v>
      </c>
      <c r="Q108" s="1"/>
      <c r="R108" s="188"/>
      <c r="S108" s="1"/>
    </row>
    <row r="109" spans="1:19">
      <c r="A109" s="77">
        <f t="shared" si="3"/>
        <v>97</v>
      </c>
      <c r="B109" s="175">
        <v>9310</v>
      </c>
      <c r="C109" s="176" t="s">
        <v>199</v>
      </c>
      <c r="D109" s="178">
        <v>1283.2</v>
      </c>
      <c r="E109" s="178">
        <v>1283.2</v>
      </c>
      <c r="F109" s="178">
        <v>1283.2</v>
      </c>
      <c r="G109" s="178">
        <v>1283.2</v>
      </c>
      <c r="H109" s="178">
        <v>1304.52</v>
      </c>
      <c r="I109" s="178">
        <v>1304.52</v>
      </c>
      <c r="J109" s="131">
        <v>1304.52</v>
      </c>
      <c r="K109" s="131">
        <v>1304.52</v>
      </c>
      <c r="L109" s="131">
        <v>1304.52</v>
      </c>
      <c r="M109" s="131">
        <v>1304.52</v>
      </c>
      <c r="N109" s="131">
        <v>1304.52</v>
      </c>
      <c r="O109" s="131">
        <v>994.05880373996285</v>
      </c>
      <c r="P109" s="17">
        <f t="shared" si="5"/>
        <v>15258.498803739965</v>
      </c>
      <c r="Q109" s="1"/>
      <c r="R109" s="188"/>
      <c r="S109" s="1"/>
    </row>
    <row r="110" spans="1:19">
      <c r="A110" s="77">
        <f t="shared" si="3"/>
        <v>98</v>
      </c>
      <c r="B110" s="175">
        <v>9320</v>
      </c>
      <c r="C110" s="154" t="s">
        <v>311</v>
      </c>
      <c r="D110" s="178">
        <f>0</f>
        <v>0</v>
      </c>
      <c r="E110" s="178">
        <f>0</f>
        <v>0</v>
      </c>
      <c r="F110" s="178">
        <f>0</f>
        <v>0</v>
      </c>
      <c r="G110" s="178">
        <f>0</f>
        <v>0</v>
      </c>
      <c r="H110" s="178">
        <f>0</f>
        <v>0</v>
      </c>
      <c r="I110" s="178">
        <f>0</f>
        <v>0</v>
      </c>
      <c r="J110" s="131"/>
      <c r="K110" s="131"/>
      <c r="L110" s="131"/>
      <c r="M110" s="131">
        <v>0</v>
      </c>
      <c r="N110" s="131">
        <v>0</v>
      </c>
      <c r="O110" s="131">
        <v>0</v>
      </c>
      <c r="P110" s="17">
        <f t="shared" si="5"/>
        <v>0</v>
      </c>
      <c r="Q110" s="1"/>
      <c r="R110" s="1"/>
      <c r="S110" s="1"/>
    </row>
    <row r="111" spans="1:19">
      <c r="A111" s="9">
        <f t="shared" si="3"/>
        <v>99</v>
      </c>
      <c r="B111" s="1"/>
      <c r="C111" s="1"/>
      <c r="D111" s="191"/>
      <c r="E111" s="191"/>
      <c r="F111" s="191"/>
      <c r="G111" s="191"/>
      <c r="H111" s="191"/>
      <c r="I111" s="191"/>
      <c r="J111" s="192"/>
      <c r="K111" s="192"/>
      <c r="L111" s="192"/>
      <c r="M111" s="191"/>
      <c r="N111" s="191"/>
      <c r="O111" s="192"/>
      <c r="P111" s="1"/>
      <c r="Q111" s="1"/>
      <c r="R111" s="1"/>
      <c r="S111" s="1"/>
    </row>
    <row r="112" spans="1:19" ht="15.75" thickBot="1">
      <c r="A112" s="9">
        <f t="shared" si="3"/>
        <v>100</v>
      </c>
      <c r="B112" s="1"/>
      <c r="C112" s="1" t="s">
        <v>312</v>
      </c>
      <c r="D112" s="193">
        <f t="shared" ref="D112:O112" si="6">SUM(D14:D111)</f>
        <v>-7658331.7099999897</v>
      </c>
      <c r="E112" s="193">
        <f t="shared" si="6"/>
        <v>-5898687.0200000051</v>
      </c>
      <c r="F112" s="193">
        <f t="shared" si="6"/>
        <v>-4089591.2500000005</v>
      </c>
      <c r="G112" s="193">
        <f t="shared" si="6"/>
        <v>-3275126.7900000024</v>
      </c>
      <c r="H112" s="193">
        <f t="shared" si="6"/>
        <v>-1785227.6200000027</v>
      </c>
      <c r="I112" s="193">
        <f t="shared" si="6"/>
        <v>-2193179.8899999997</v>
      </c>
      <c r="J112" s="194">
        <f t="shared" si="6"/>
        <v>-989011.62999999733</v>
      </c>
      <c r="K112" s="193">
        <f t="shared" si="6"/>
        <v>-1466647.500000003</v>
      </c>
      <c r="L112" s="193">
        <f t="shared" si="6"/>
        <v>1096768.2199999993</v>
      </c>
      <c r="M112" s="193">
        <f t="shared" si="6"/>
        <v>-2880849.4600000004</v>
      </c>
      <c r="N112" s="193">
        <f t="shared" si="6"/>
        <v>-4159337.6700000027</v>
      </c>
      <c r="O112" s="193">
        <f t="shared" si="6"/>
        <v>-5389655.8251106674</v>
      </c>
      <c r="P112" s="193">
        <f>SUM(P12:P111)</f>
        <v>-27022410.119551513</v>
      </c>
      <c r="Q112" s="195"/>
      <c r="R112" s="17"/>
      <c r="S112" s="1"/>
    </row>
    <row r="113" spans="1:19" ht="15.7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 t="s">
        <v>313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R114" s="1"/>
      <c r="S114" s="1"/>
    </row>
    <row r="115" spans="1:19">
      <c r="A115" s="1"/>
      <c r="B115" s="1"/>
      <c r="C115" s="196" t="s">
        <v>314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75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17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7"/>
      <c r="K117" s="17"/>
      <c r="L117" s="1"/>
      <c r="M117" s="1"/>
      <c r="N117" s="1"/>
      <c r="P117" s="154"/>
      <c r="Q117" s="154"/>
      <c r="R117" s="1"/>
      <c r="S117" s="1"/>
    </row>
    <row r="118" spans="1:19">
      <c r="A118" s="1"/>
      <c r="B118" s="1"/>
      <c r="C118" s="196"/>
      <c r="D118" s="1"/>
      <c r="E118" s="1"/>
      <c r="F118" s="17"/>
      <c r="G118" s="1"/>
      <c r="H118" s="1"/>
      <c r="I118" s="1"/>
      <c r="J118" s="17"/>
      <c r="K118" s="17"/>
      <c r="L118" s="1"/>
      <c r="M118" s="1"/>
      <c r="N118" s="1"/>
      <c r="P118" s="177"/>
      <c r="R118" s="1"/>
      <c r="S118" s="1"/>
    </row>
    <row r="119" spans="1:19">
      <c r="A119" s="1"/>
      <c r="B119" s="1"/>
      <c r="C119" s="1"/>
      <c r="D119" s="197"/>
      <c r="E119" s="197"/>
      <c r="F119" s="19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7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"/>
      <c r="P120" s="1"/>
      <c r="Q120" s="17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1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57"/>
      <c r="P122" s="17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57"/>
      <c r="P123" s="17"/>
      <c r="Q123" s="1"/>
      <c r="R123" s="1"/>
      <c r="S123" s="1"/>
    </row>
    <row r="124" spans="1:19">
      <c r="A124" s="1"/>
      <c r="B124" s="1"/>
      <c r="C124" s="75"/>
      <c r="D124" s="198"/>
      <c r="E124" s="198"/>
      <c r="F124" s="198"/>
      <c r="G124" s="198"/>
      <c r="H124" s="198"/>
      <c r="I124" s="198"/>
      <c r="J124" s="198"/>
      <c r="K124" s="198"/>
      <c r="L124" s="1"/>
      <c r="M124" s="1"/>
      <c r="N124" s="1"/>
      <c r="O124" s="157"/>
      <c r="P124" s="17"/>
      <c r="Q124" s="1"/>
      <c r="R124" s="1"/>
      <c r="S124" s="1"/>
    </row>
    <row r="125" spans="1:1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96"/>
      <c r="O125" s="157"/>
      <c r="P125" s="17"/>
      <c r="Q125" s="1"/>
      <c r="R125" s="1"/>
      <c r="S125" s="1"/>
    </row>
    <row r="126" spans="1:19">
      <c r="A126" s="1"/>
      <c r="B126" s="1"/>
      <c r="C126" s="7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1"/>
      <c r="R126" s="1"/>
      <c r="S126" s="1"/>
    </row>
    <row r="127" spans="1:19">
      <c r="A127" s="1"/>
      <c r="B127" s="1"/>
      <c r="C127" s="14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57"/>
      <c r="P127" s="1"/>
      <c r="Q127" s="1"/>
      <c r="R127" s="1"/>
      <c r="S127" s="1"/>
    </row>
    <row r="128" spans="1:19">
      <c r="A128" s="1"/>
      <c r="B128" s="1"/>
      <c r="C128" s="14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57"/>
      <c r="P128" s="17"/>
      <c r="Q128" s="1"/>
      <c r="R128" s="1"/>
      <c r="S128" s="1"/>
    </row>
    <row r="129" spans="1:19">
      <c r="A129" s="1"/>
      <c r="B129" s="1"/>
      <c r="C129" s="14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7"/>
      <c r="P129" s="1"/>
      <c r="Q129" s="1"/>
      <c r="R129" s="1"/>
      <c r="S129" s="1"/>
    </row>
    <row r="130" spans="1:19">
      <c r="A130" s="1"/>
      <c r="B130" s="1"/>
      <c r="C130" s="14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7"/>
      <c r="P130" s="1"/>
      <c r="Q130" s="1"/>
      <c r="R130" s="1"/>
      <c r="S130" s="1"/>
    </row>
    <row r="131" spans="1:19">
      <c r="P131" s="1"/>
    </row>
    <row r="132" spans="1:19">
      <c r="P132" s="1"/>
    </row>
    <row r="133" spans="1:19">
      <c r="P133" s="1"/>
    </row>
    <row r="134" spans="1:19">
      <c r="P134" s="1"/>
    </row>
    <row r="136" spans="1:19"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</row>
    <row r="137" spans="1:19">
      <c r="J137" s="154"/>
      <c r="K137" s="154"/>
      <c r="L137" s="154"/>
      <c r="M137" s="154"/>
      <c r="N137" s="154"/>
      <c r="O137" s="154"/>
    </row>
    <row r="138" spans="1:19">
      <c r="D138" s="200"/>
    </row>
    <row r="140" spans="1:19">
      <c r="J140" s="201"/>
    </row>
    <row r="142" spans="1:19">
      <c r="C14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7" fitToHeight="2" orientation="landscape" verticalDpi="300" r:id="rId1"/>
  <headerFooter alignWithMargins="0">
    <oddHeader>&amp;RCASE NO. 2017-00349
ATTACHMENT 1
TO STAFF DR NO. 1-46
(SUPPLEMENT 01-03-18)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5"/>
  <sheetViews>
    <sheetView view="pageBreakPreview" zoomScale="60" zoomScaleNormal="70" workbookViewId="0">
      <pane xSplit="3" ySplit="11" topLeftCell="D12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D12" sqref="D12"/>
    </sheetView>
  </sheetViews>
  <sheetFormatPr defaultColWidth="7.109375" defaultRowHeight="15"/>
  <cols>
    <col min="1" max="1" width="4.6640625" style="154" customWidth="1"/>
    <col min="2" max="2" width="6.6640625" style="154" customWidth="1"/>
    <col min="3" max="3" width="38.88671875" style="154" customWidth="1"/>
    <col min="4" max="16" width="16.33203125" style="154" customWidth="1"/>
    <col min="17" max="17" width="9.109375" style="154" customWidth="1"/>
    <col min="18" max="18" width="12.5546875" style="154" customWidth="1"/>
    <col min="19" max="22" width="7.109375" style="154"/>
    <col min="23" max="23" width="11.33203125" style="154" customWidth="1"/>
    <col min="24" max="24" width="12.5546875" style="154" customWidth="1"/>
    <col min="25" max="16384" width="7.109375" style="154"/>
  </cols>
  <sheetData>
    <row r="1" spans="1:18">
      <c r="A1" s="269" t="s">
        <v>353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7"/>
    </row>
    <row r="2" spans="1:18">
      <c r="A2" s="269" t="s">
        <v>354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7"/>
    </row>
    <row r="3" spans="1:18" ht="15.75">
      <c r="A3" s="269" t="s">
        <v>315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17"/>
    </row>
    <row r="4" spans="1:18">
      <c r="A4" s="269" t="s">
        <v>356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7"/>
    </row>
    <row r="5" spans="1:18">
      <c r="A5" s="17"/>
      <c r="B5" s="202"/>
      <c r="C5" s="202"/>
      <c r="D5" s="202"/>
      <c r="E5" s="202"/>
      <c r="F5" s="202"/>
      <c r="G5" s="203"/>
      <c r="H5" s="158"/>
      <c r="I5" s="202"/>
      <c r="J5" s="202"/>
      <c r="K5" s="202"/>
      <c r="L5" s="202"/>
      <c r="M5" s="202"/>
      <c r="N5" s="202"/>
      <c r="O5" s="202"/>
      <c r="P5" s="17"/>
      <c r="Q5" s="17"/>
    </row>
    <row r="6" spans="1:18" ht="15.75">
      <c r="A6" s="156" t="str">
        <f>'C.2.2 B 09'!A6</f>
        <v>Data:___X____Base Period________Forecasted Period</v>
      </c>
      <c r="B6" s="17"/>
      <c r="C6" s="156"/>
      <c r="D6" s="17"/>
      <c r="E6" s="17"/>
      <c r="F6" s="17"/>
      <c r="G6" s="17"/>
      <c r="H6" s="204"/>
      <c r="I6" s="17"/>
      <c r="K6" s="205"/>
      <c r="L6" s="17"/>
      <c r="M6" s="17"/>
      <c r="N6" s="202"/>
      <c r="O6" s="202"/>
      <c r="P6" s="157" t="s">
        <v>213</v>
      </c>
      <c r="Q6" s="17"/>
    </row>
    <row r="7" spans="1:18">
      <c r="A7" s="156" t="str">
        <f>'C.2.2 B 09'!A7</f>
        <v>Type of Filing:___X____Original________Updated ________Revised</v>
      </c>
      <c r="B7" s="17"/>
      <c r="C7" s="156"/>
      <c r="D7" s="17"/>
      <c r="E7" s="158"/>
      <c r="F7" s="17"/>
      <c r="G7" s="17"/>
      <c r="H7" s="17"/>
      <c r="I7" s="17"/>
      <c r="J7" s="17"/>
      <c r="K7" s="17"/>
      <c r="L7" s="17"/>
      <c r="M7" s="17"/>
      <c r="N7" s="202"/>
      <c r="O7" s="202"/>
      <c r="P7" s="159" t="s">
        <v>214</v>
      </c>
      <c r="Q7" s="17"/>
    </row>
    <row r="8" spans="1:18">
      <c r="A8" s="156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63" t="str">
        <f>C.1!J9</f>
        <v>Witness: Waller, Martin</v>
      </c>
      <c r="Q8" s="17"/>
    </row>
    <row r="9" spans="1:18">
      <c r="A9" s="164" t="s">
        <v>9</v>
      </c>
      <c r="B9" s="165" t="s">
        <v>215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7" t="str">
        <f>'C.2.2 B 09'!I9</f>
        <v>actual</v>
      </c>
      <c r="J9" s="207" t="s">
        <v>216</v>
      </c>
      <c r="K9" s="207" t="s">
        <v>216</v>
      </c>
      <c r="L9" s="207" t="s">
        <v>216</v>
      </c>
      <c r="M9" s="207" t="str">
        <f>'C.2.2 B 09'!M9</f>
        <v>actual</v>
      </c>
      <c r="N9" s="207" t="str">
        <f>'C.2.2 B 09'!N9</f>
        <v>actual</v>
      </c>
      <c r="O9" s="207" t="str">
        <f>'C.2.2 B 09'!O9</f>
        <v>Budgeted</v>
      </c>
      <c r="P9" s="208"/>
      <c r="Q9" s="17"/>
    </row>
    <row r="10" spans="1:18">
      <c r="A10" s="169" t="s">
        <v>12</v>
      </c>
      <c r="B10" s="170" t="s">
        <v>12</v>
      </c>
      <c r="C10" s="171" t="s">
        <v>218</v>
      </c>
      <c r="D10" s="209">
        <f>'C.2.2 B 09'!D10</f>
        <v>42736</v>
      </c>
      <c r="E10" s="209">
        <f>'C.2.2 B 09'!F10</f>
        <v>42795</v>
      </c>
      <c r="F10" s="209">
        <f>'C.2.2 B 09'!F10</f>
        <v>42795</v>
      </c>
      <c r="G10" s="209">
        <f>'C.2.2 B 09'!G10</f>
        <v>42826</v>
      </c>
      <c r="H10" s="209">
        <f>'C.2.2 B 09'!H10</f>
        <v>42856</v>
      </c>
      <c r="I10" s="209">
        <f>'C.2.2 B 09'!I10</f>
        <v>42887</v>
      </c>
      <c r="J10" s="209">
        <f>'C.2.2 B 09'!J10</f>
        <v>42917</v>
      </c>
      <c r="K10" s="209">
        <f>'C.2.2 B 09'!K10</f>
        <v>42948</v>
      </c>
      <c r="L10" s="209">
        <f>'C.2.2 B 09'!L10</f>
        <v>42979</v>
      </c>
      <c r="M10" s="209">
        <f>'C.2.2 B 09'!M10</f>
        <v>43009</v>
      </c>
      <c r="N10" s="209">
        <f>'C.2.2 B 09'!N10</f>
        <v>43040</v>
      </c>
      <c r="O10" s="209">
        <f>'C.2.2 B 09'!O10</f>
        <v>43070</v>
      </c>
      <c r="P10" s="209" t="str">
        <f>'C.2.2 B 09'!P10</f>
        <v>Total</v>
      </c>
      <c r="Q10" s="17"/>
    </row>
    <row r="11" spans="1:18">
      <c r="A11" s="17"/>
      <c r="B11" s="17"/>
      <c r="C11" s="17"/>
      <c r="D11" s="64" t="s">
        <v>220</v>
      </c>
      <c r="E11" s="64" t="s">
        <v>220</v>
      </c>
      <c r="F11" s="64" t="s">
        <v>220</v>
      </c>
      <c r="G11" s="64" t="s">
        <v>220</v>
      </c>
      <c r="H11" s="64" t="s">
        <v>220</v>
      </c>
      <c r="I11" s="64" t="s">
        <v>220</v>
      </c>
      <c r="J11" s="64" t="s">
        <v>220</v>
      </c>
      <c r="K11" s="64" t="s">
        <v>220</v>
      </c>
      <c r="L11" s="64" t="s">
        <v>220</v>
      </c>
      <c r="M11" s="64" t="s">
        <v>220</v>
      </c>
      <c r="N11" s="64" t="s">
        <v>220</v>
      </c>
      <c r="O11" s="64" t="s">
        <v>220</v>
      </c>
      <c r="P11" s="64" t="s">
        <v>220</v>
      </c>
      <c r="Q11" s="17"/>
    </row>
    <row r="12" spans="1:18">
      <c r="A12" s="17"/>
      <c r="B12" s="175" t="s">
        <v>208</v>
      </c>
      <c r="C12" s="176" t="s">
        <v>221</v>
      </c>
      <c r="D12" s="178">
        <v>-273263.57000000007</v>
      </c>
      <c r="E12" s="178">
        <v>-98036.37</v>
      </c>
      <c r="F12" s="178">
        <v>819269.8599999994</v>
      </c>
      <c r="G12" s="178">
        <v>1343143.58</v>
      </c>
      <c r="H12" s="178">
        <v>-712768.66</v>
      </c>
      <c r="I12" s="178">
        <v>-257808.63000000082</v>
      </c>
      <c r="J12" s="178"/>
      <c r="K12" s="178"/>
      <c r="L12" s="178"/>
      <c r="M12" s="178"/>
      <c r="N12" s="178"/>
      <c r="O12" s="178"/>
      <c r="P12" s="17">
        <f t="shared" ref="P12:P13" si="0">SUM(D12:O12)</f>
        <v>820536.20999999857</v>
      </c>
      <c r="Q12" s="17"/>
      <c r="R12" s="179"/>
    </row>
    <row r="13" spans="1:18">
      <c r="A13" s="17"/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7">
        <f t="shared" si="0"/>
        <v>0</v>
      </c>
      <c r="Q13" s="17"/>
    </row>
    <row r="14" spans="1:18">
      <c r="A14" s="77">
        <v>1</v>
      </c>
      <c r="B14" s="175">
        <v>4030</v>
      </c>
      <c r="C14" s="17" t="s">
        <v>59</v>
      </c>
      <c r="D14" s="178">
        <v>7.2759576141834259E-11</v>
      </c>
      <c r="E14" s="178">
        <v>8.7311491370201111E-11</v>
      </c>
      <c r="F14" s="178">
        <v>0</v>
      </c>
      <c r="G14" s="178">
        <v>-2.9103830456733704E-11</v>
      </c>
      <c r="H14" s="178">
        <v>4.3655745685100555E-11</v>
      </c>
      <c r="I14" s="178">
        <v>-2.3283064365386963E-10</v>
      </c>
      <c r="J14" s="113">
        <v>1.1641532182693481E-10</v>
      </c>
      <c r="K14" s="113">
        <v>5.8207660913467407E-11</v>
      </c>
      <c r="L14" s="113">
        <v>-7.2759576141834259E-11</v>
      </c>
      <c r="M14" s="113">
        <v>0</v>
      </c>
      <c r="N14" s="113">
        <v>0</v>
      </c>
      <c r="O14" s="113">
        <v>0</v>
      </c>
      <c r="P14" s="17">
        <f>SUM(D14:O14)</f>
        <v>4.3655745685100555E-11</v>
      </c>
      <c r="Q14" s="158"/>
      <c r="R14" s="179"/>
    </row>
    <row r="15" spans="1:18">
      <c r="A15" s="77">
        <f>A14+1</f>
        <v>2</v>
      </c>
      <c r="B15" s="175">
        <v>4081</v>
      </c>
      <c r="C15" s="17" t="s">
        <v>224</v>
      </c>
      <c r="D15" s="178">
        <v>2.0000000036361598E-2</v>
      </c>
      <c r="E15" s="178">
        <v>1.9999999945866875E-2</v>
      </c>
      <c r="F15" s="178">
        <v>1.0000000049330993E-2</v>
      </c>
      <c r="G15" s="178">
        <v>-2327847.38</v>
      </c>
      <c r="H15" s="178">
        <v>2327847.3600000003</v>
      </c>
      <c r="I15" s="178">
        <v>180543.63</v>
      </c>
      <c r="J15" s="178">
        <v>26607.570000000047</v>
      </c>
      <c r="K15" s="178">
        <v>-1.8644641386345029E-11</v>
      </c>
      <c r="L15" s="178">
        <v>1095601.0000000002</v>
      </c>
      <c r="M15" s="178">
        <v>0</v>
      </c>
      <c r="N15" s="178">
        <v>0</v>
      </c>
      <c r="O15" s="178">
        <v>0</v>
      </c>
      <c r="P15" s="17">
        <f>SUM(D15:O15)</f>
        <v>1302752.2300000004</v>
      </c>
      <c r="Q15" s="158"/>
    </row>
    <row r="16" spans="1:18">
      <c r="A16" s="77">
        <v>2</v>
      </c>
      <c r="B16" s="175">
        <v>8210</v>
      </c>
      <c r="C16" s="176" t="s">
        <v>257</v>
      </c>
      <c r="D16" s="178">
        <v>0</v>
      </c>
      <c r="E16" s="178">
        <v>1500</v>
      </c>
      <c r="F16" s="178">
        <v>0</v>
      </c>
      <c r="G16" s="178">
        <v>0</v>
      </c>
      <c r="H16" s="178">
        <v>0</v>
      </c>
      <c r="I16" s="178">
        <v>0</v>
      </c>
      <c r="J16" s="264"/>
      <c r="K16" s="264"/>
      <c r="L16" s="264"/>
      <c r="M16" s="264">
        <v>0</v>
      </c>
      <c r="N16" s="264">
        <v>0</v>
      </c>
      <c r="O16" s="178">
        <v>452.31893526110503</v>
      </c>
      <c r="P16" s="17">
        <f>SUM(D16:O16)</f>
        <v>1952.318935261105</v>
      </c>
      <c r="Q16" s="158"/>
    </row>
    <row r="17" spans="1:17">
      <c r="A17" s="77">
        <f t="shared" ref="A17" si="1">A16+1</f>
        <v>3</v>
      </c>
      <c r="B17" s="175">
        <v>8230</v>
      </c>
      <c r="C17" t="s">
        <v>350</v>
      </c>
      <c r="D17" s="178"/>
      <c r="E17" s="178"/>
      <c r="F17" s="178"/>
      <c r="G17" s="178"/>
      <c r="H17" s="178"/>
      <c r="I17" s="178"/>
      <c r="J17" s="264"/>
      <c r="K17" s="264">
        <v>6062</v>
      </c>
      <c r="L17" s="264"/>
      <c r="M17" s="264">
        <v>0</v>
      </c>
      <c r="N17" s="264">
        <v>0</v>
      </c>
      <c r="O17" s="178"/>
      <c r="P17" s="17"/>
      <c r="Q17" s="158"/>
    </row>
    <row r="18" spans="1:17">
      <c r="A18" s="77">
        <v>3</v>
      </c>
      <c r="B18" s="175">
        <v>8560</v>
      </c>
      <c r="C18" s="17" t="s">
        <v>266</v>
      </c>
      <c r="D18" s="178">
        <f>0</f>
        <v>0</v>
      </c>
      <c r="E18" s="178">
        <f>0</f>
        <v>0</v>
      </c>
      <c r="F18" s="178">
        <f>0</f>
        <v>0</v>
      </c>
      <c r="G18" s="178">
        <f>0</f>
        <v>0</v>
      </c>
      <c r="H18" s="178">
        <f>0</f>
        <v>0</v>
      </c>
      <c r="I18" s="178">
        <f>0</f>
        <v>0</v>
      </c>
      <c r="J18" s="178"/>
      <c r="K18" s="178"/>
      <c r="L18" s="178"/>
      <c r="M18" s="178">
        <v>0</v>
      </c>
      <c r="N18" s="178">
        <v>0</v>
      </c>
      <c r="O18" s="178">
        <v>0</v>
      </c>
      <c r="P18" s="17">
        <f t="shared" ref="P18:P39" si="2">SUM(D18:O18)</f>
        <v>0</v>
      </c>
      <c r="Q18" s="17"/>
    </row>
    <row r="19" spans="1:17">
      <c r="A19" s="77">
        <f t="shared" ref="A19" si="3">A18+1</f>
        <v>4</v>
      </c>
      <c r="B19" s="175">
        <v>8700</v>
      </c>
      <c r="C19" s="17" t="s">
        <v>271</v>
      </c>
      <c r="D19" s="178">
        <v>280.74</v>
      </c>
      <c r="E19" s="178">
        <v>365.24000000000012</v>
      </c>
      <c r="F19" s="178">
        <v>155.97</v>
      </c>
      <c r="G19" s="178">
        <v>155.97</v>
      </c>
      <c r="H19" s="178">
        <v>155.97</v>
      </c>
      <c r="I19" s="178">
        <v>616.26</v>
      </c>
      <c r="J19" s="264">
        <v>2.1200000000000045</v>
      </c>
      <c r="K19" s="264">
        <v>60872.66</v>
      </c>
      <c r="L19" s="264">
        <v>30693.540000000005</v>
      </c>
      <c r="M19" s="264">
        <v>50.42</v>
      </c>
      <c r="N19" s="264">
        <v>21868.44</v>
      </c>
      <c r="O19" s="178">
        <v>507.23532928866837</v>
      </c>
      <c r="P19" s="17">
        <f t="shared" si="2"/>
        <v>115724.56532928867</v>
      </c>
      <c r="Q19" s="17"/>
    </row>
    <row r="20" spans="1:17">
      <c r="A20" s="77">
        <v>4</v>
      </c>
      <c r="B20" s="175">
        <v>8740</v>
      </c>
      <c r="C20" s="17" t="s">
        <v>275</v>
      </c>
      <c r="D20" s="178">
        <v>1954.3399999999997</v>
      </c>
      <c r="E20" s="178">
        <v>-7920.6399999999994</v>
      </c>
      <c r="F20" s="178">
        <v>4035.44</v>
      </c>
      <c r="G20" s="178">
        <v>4414.1499999999996</v>
      </c>
      <c r="H20" s="178">
        <v>16.680000000000177</v>
      </c>
      <c r="I20" s="178">
        <v>10987</v>
      </c>
      <c r="J20" s="264">
        <v>6008.5800000000008</v>
      </c>
      <c r="K20" s="264">
        <v>4551.34</v>
      </c>
      <c r="L20" s="264">
        <v>5317.8400000000011</v>
      </c>
      <c r="M20" s="264">
        <v>326.96000000000021</v>
      </c>
      <c r="N20" s="264">
        <v>3996.1299999999997</v>
      </c>
      <c r="O20" s="178">
        <v>4744.2454274134461</v>
      </c>
      <c r="P20" s="17">
        <f t="shared" si="2"/>
        <v>38432.065427413443</v>
      </c>
      <c r="Q20" s="17"/>
    </row>
    <row r="21" spans="1:17">
      <c r="A21" s="77">
        <f t="shared" ref="A21" si="4">A20+1</f>
        <v>5</v>
      </c>
      <c r="B21" s="175">
        <v>8780</v>
      </c>
      <c r="C21" s="17" t="s">
        <v>279</v>
      </c>
      <c r="D21" s="178">
        <f>0</f>
        <v>0</v>
      </c>
      <c r="E21" s="178">
        <f>0</f>
        <v>0</v>
      </c>
      <c r="F21" s="178">
        <f>0</f>
        <v>0</v>
      </c>
      <c r="G21" s="178">
        <f>0</f>
        <v>0</v>
      </c>
      <c r="H21" s="178">
        <f>0</f>
        <v>0</v>
      </c>
      <c r="I21" s="178">
        <f>0</f>
        <v>0</v>
      </c>
      <c r="J21" s="264"/>
      <c r="K21" s="264"/>
      <c r="L21" s="264"/>
      <c r="M21" s="264">
        <v>0</v>
      </c>
      <c r="N21" s="264">
        <v>0</v>
      </c>
      <c r="O21" s="178">
        <v>0</v>
      </c>
      <c r="P21" s="17">
        <f t="shared" si="2"/>
        <v>0</v>
      </c>
      <c r="Q21" s="17"/>
    </row>
    <row r="22" spans="1:17">
      <c r="A22" s="77">
        <v>5</v>
      </c>
      <c r="B22" s="175">
        <v>8800</v>
      </c>
      <c r="C22" s="17" t="s">
        <v>281</v>
      </c>
      <c r="D22" s="178">
        <v>89.61</v>
      </c>
      <c r="E22" s="178">
        <v>7.39</v>
      </c>
      <c r="F22" s="178">
        <v>0</v>
      </c>
      <c r="G22" s="178">
        <v>0</v>
      </c>
      <c r="H22" s="178">
        <v>0</v>
      </c>
      <c r="I22" s="178">
        <v>0</v>
      </c>
      <c r="J22" s="264"/>
      <c r="K22" s="264"/>
      <c r="L22" s="264"/>
      <c r="M22" s="264">
        <v>0</v>
      </c>
      <c r="N22" s="264">
        <v>0</v>
      </c>
      <c r="O22" s="178">
        <v>19.790766511887888</v>
      </c>
      <c r="P22" s="17">
        <f t="shared" si="2"/>
        <v>116.79076651188788</v>
      </c>
      <c r="Q22" s="17"/>
    </row>
    <row r="23" spans="1:17">
      <c r="A23" s="77">
        <f t="shared" ref="A23" si="5">A22+1</f>
        <v>6</v>
      </c>
      <c r="B23" s="175">
        <v>8900</v>
      </c>
      <c r="C23" s="154" t="s">
        <v>287</v>
      </c>
      <c r="D23" s="178">
        <v>0</v>
      </c>
      <c r="E23" s="178">
        <v>0</v>
      </c>
      <c r="F23" s="178">
        <v>248.29</v>
      </c>
      <c r="G23" s="178">
        <v>0</v>
      </c>
      <c r="H23" s="178">
        <v>0</v>
      </c>
      <c r="I23" s="178">
        <v>0</v>
      </c>
      <c r="M23" s="154">
        <v>0</v>
      </c>
      <c r="N23" s="154">
        <v>0</v>
      </c>
      <c r="O23" s="178">
        <v>51.845893155152702</v>
      </c>
      <c r="P23" s="17">
        <f t="shared" si="2"/>
        <v>300.1358931551527</v>
      </c>
      <c r="Q23" s="17"/>
    </row>
    <row r="24" spans="1:17">
      <c r="A24" s="77">
        <v>6</v>
      </c>
      <c r="B24" s="175">
        <v>9010</v>
      </c>
      <c r="C24" s="17" t="s">
        <v>292</v>
      </c>
      <c r="D24" s="178">
        <v>0</v>
      </c>
      <c r="E24" s="178">
        <v>0</v>
      </c>
      <c r="F24" s="178">
        <v>0</v>
      </c>
      <c r="G24" s="178">
        <v>4879.2</v>
      </c>
      <c r="H24" s="178">
        <v>0</v>
      </c>
      <c r="I24" s="178">
        <v>0</v>
      </c>
      <c r="J24" s="264">
        <v>102.81</v>
      </c>
      <c r="K24" s="264"/>
      <c r="L24" s="264"/>
      <c r="M24" s="264">
        <v>0</v>
      </c>
      <c r="N24" s="264">
        <v>14.99</v>
      </c>
      <c r="O24" s="178">
        <v>1434.3382072361674</v>
      </c>
      <c r="P24" s="17">
        <f t="shared" si="2"/>
        <v>6431.3382072361674</v>
      </c>
      <c r="Q24" s="17"/>
    </row>
    <row r="25" spans="1:17">
      <c r="A25" s="77">
        <f t="shared" ref="A25" si="6">A24+1</f>
        <v>7</v>
      </c>
      <c r="B25" s="175">
        <v>9030</v>
      </c>
      <c r="C25" s="17" t="s">
        <v>294</v>
      </c>
      <c r="D25" s="178">
        <v>123041.54999999999</v>
      </c>
      <c r="E25" s="178">
        <v>78422.819999999992</v>
      </c>
      <c r="F25" s="178">
        <v>-46797.619999999995</v>
      </c>
      <c r="G25" s="178">
        <v>5338.03</v>
      </c>
      <c r="H25" s="178">
        <v>4231.3500000000004</v>
      </c>
      <c r="I25" s="178">
        <v>5818.82</v>
      </c>
      <c r="J25" s="264">
        <v>3863.4199999999996</v>
      </c>
      <c r="K25" s="264">
        <v>5011.26</v>
      </c>
      <c r="L25" s="264">
        <v>4008.2099999999996</v>
      </c>
      <c r="M25" s="264">
        <v>4196.41</v>
      </c>
      <c r="N25" s="264">
        <v>3455.41</v>
      </c>
      <c r="O25" s="178">
        <v>25705.083707587506</v>
      </c>
      <c r="P25" s="17">
        <f t="shared" si="2"/>
        <v>216294.74370758754</v>
      </c>
      <c r="Q25" s="17"/>
    </row>
    <row r="26" spans="1:17">
      <c r="A26" s="77">
        <v>7</v>
      </c>
      <c r="B26" s="175" t="s">
        <v>351</v>
      </c>
      <c r="C26" s="17" t="s">
        <v>295</v>
      </c>
      <c r="D26" s="178"/>
      <c r="E26" s="178"/>
      <c r="F26" s="178"/>
      <c r="G26" s="178"/>
      <c r="H26" s="178"/>
      <c r="I26" s="178"/>
      <c r="J26" s="264"/>
      <c r="K26" s="264">
        <v>3000000</v>
      </c>
      <c r="L26" s="264">
        <v>-3000000</v>
      </c>
      <c r="M26" s="264">
        <v>0</v>
      </c>
      <c r="N26" s="264">
        <v>0</v>
      </c>
      <c r="O26" s="178"/>
      <c r="P26" s="17"/>
      <c r="Q26" s="17"/>
    </row>
    <row r="27" spans="1:17">
      <c r="A27" s="77">
        <f t="shared" ref="A27" si="7">A26+1</f>
        <v>8</v>
      </c>
      <c r="B27" s="175">
        <v>9100</v>
      </c>
      <c r="C27" s="17" t="s">
        <v>297</v>
      </c>
      <c r="D27" s="178">
        <v>10825</v>
      </c>
      <c r="E27" s="178">
        <v>0</v>
      </c>
      <c r="F27" s="178">
        <v>143.68</v>
      </c>
      <c r="G27" s="178">
        <v>0</v>
      </c>
      <c r="H27" s="178">
        <v>0</v>
      </c>
      <c r="I27" s="178">
        <v>0</v>
      </c>
      <c r="J27" s="264"/>
      <c r="K27" s="264">
        <v>119.35</v>
      </c>
      <c r="L27" s="264"/>
      <c r="M27" s="264">
        <v>3587.93</v>
      </c>
      <c r="N27" s="264">
        <v>0</v>
      </c>
      <c r="O27" s="178">
        <v>2251.9348601014171</v>
      </c>
      <c r="P27" s="17">
        <f t="shared" si="2"/>
        <v>16927.89486010142</v>
      </c>
      <c r="Q27" s="17"/>
    </row>
    <row r="28" spans="1:17">
      <c r="A28" s="77">
        <v>8</v>
      </c>
      <c r="B28" s="175">
        <v>9120</v>
      </c>
      <c r="C28" s="176" t="s">
        <v>299</v>
      </c>
      <c r="D28" s="178">
        <v>0</v>
      </c>
      <c r="E28" s="178">
        <v>0</v>
      </c>
      <c r="F28" s="178">
        <v>703.63</v>
      </c>
      <c r="G28" s="178">
        <v>0</v>
      </c>
      <c r="H28" s="178">
        <v>0</v>
      </c>
      <c r="I28" s="178">
        <v>32.42</v>
      </c>
      <c r="J28" s="264">
        <v>8265.7100000000009</v>
      </c>
      <c r="K28" s="264">
        <v>490.23</v>
      </c>
      <c r="L28" s="264">
        <v>471.56</v>
      </c>
      <c r="M28" s="264">
        <v>0</v>
      </c>
      <c r="N28" s="264">
        <v>0</v>
      </c>
      <c r="O28" s="178">
        <v>220.04825550504253</v>
      </c>
      <c r="P28" s="17">
        <f t="shared" si="2"/>
        <v>10183.598255505041</v>
      </c>
      <c r="Q28" s="17"/>
    </row>
    <row r="29" spans="1:17">
      <c r="A29" s="77">
        <f t="shared" ref="A29" si="8">A28+1</f>
        <v>9</v>
      </c>
      <c r="B29" s="175">
        <v>9200</v>
      </c>
      <c r="C29" s="17" t="s">
        <v>301</v>
      </c>
      <c r="D29" s="178">
        <v>-538447.11999999895</v>
      </c>
      <c r="E29" s="178">
        <v>2507033.6699999995</v>
      </c>
      <c r="F29" s="178">
        <v>-5517789.9199999971</v>
      </c>
      <c r="G29" s="178">
        <v>-564879.08999999939</v>
      </c>
      <c r="H29" s="178">
        <v>-1149809.3399999987</v>
      </c>
      <c r="I29" s="178">
        <v>-3208563.5699999994</v>
      </c>
      <c r="J29" s="264">
        <v>-528937.74000000057</v>
      </c>
      <c r="K29" s="264">
        <v>-2443147.2399999998</v>
      </c>
      <c r="L29" s="264">
        <v>-1135719.8500000017</v>
      </c>
      <c r="M29" s="264">
        <v>-2961310.1200000006</v>
      </c>
      <c r="N29" s="264">
        <v>-957765.6199999993</v>
      </c>
      <c r="O29" s="178">
        <v>-1431636.133695106</v>
      </c>
      <c r="P29" s="17">
        <f t="shared" si="2"/>
        <v>-17930972.073695101</v>
      </c>
      <c r="Q29" s="17"/>
    </row>
    <row r="30" spans="1:17">
      <c r="A30" s="77">
        <v>9</v>
      </c>
      <c r="B30" s="175">
        <v>9210</v>
      </c>
      <c r="C30" s="17" t="s">
        <v>302</v>
      </c>
      <c r="D30" s="178">
        <v>1879091.5199999977</v>
      </c>
      <c r="E30" s="178">
        <v>1803283.3399999996</v>
      </c>
      <c r="F30" s="178">
        <v>1780993.9900000005</v>
      </c>
      <c r="G30" s="178">
        <v>1994425.5500000003</v>
      </c>
      <c r="H30" s="178">
        <v>2051435.4400000004</v>
      </c>
      <c r="I30" s="178">
        <v>1876271.4200000002</v>
      </c>
      <c r="J30" s="264">
        <v>1774784.8</v>
      </c>
      <c r="K30" s="264">
        <v>1959880.5400000003</v>
      </c>
      <c r="L30" s="264">
        <v>2403130.3699999969</v>
      </c>
      <c r="M30" s="264">
        <v>1716839.0999999996</v>
      </c>
      <c r="N30" s="264">
        <v>1888208.2999999998</v>
      </c>
      <c r="O30" s="178">
        <v>2661407.3268217808</v>
      </c>
      <c r="P30" s="17">
        <f t="shared" si="2"/>
        <v>23789751.696821783</v>
      </c>
      <c r="Q30" s="17"/>
    </row>
    <row r="31" spans="1:17">
      <c r="A31" s="77">
        <f t="shared" ref="A31" si="9">A30+1</f>
        <v>10</v>
      </c>
      <c r="B31" s="175">
        <v>9220</v>
      </c>
      <c r="C31" s="17" t="s">
        <v>303</v>
      </c>
      <c r="D31" s="178">
        <v>-9503163.1400000062</v>
      </c>
      <c r="E31" s="178">
        <v>-10347930.919999998</v>
      </c>
      <c r="F31" s="178">
        <v>-8779190.9300000053</v>
      </c>
      <c r="G31" s="178">
        <v>-8550668.129999999</v>
      </c>
      <c r="H31" s="178">
        <v>-11459070.680000009</v>
      </c>
      <c r="I31" s="178">
        <v>-3001889.7900000028</v>
      </c>
      <c r="J31" s="264">
        <v>-11344576.610000009</v>
      </c>
      <c r="K31" s="264">
        <v>-4725265.9200000064</v>
      </c>
      <c r="L31" s="264">
        <v>-10699945.919999998</v>
      </c>
      <c r="M31" s="264">
        <v>-5272954.7799999993</v>
      </c>
      <c r="N31" s="264">
        <v>-6563501.7399999974</v>
      </c>
      <c r="O31" s="210">
        <f t="shared" ref="O31" si="10">-(SUM(O14:O30,O32:O39))</f>
        <v>-8603953.6960281041</v>
      </c>
      <c r="P31" s="17">
        <f t="shared" si="2"/>
        <v>-98852112.256028131</v>
      </c>
      <c r="Q31" s="158"/>
    </row>
    <row r="32" spans="1:17">
      <c r="A32" s="77">
        <v>10</v>
      </c>
      <c r="B32" s="175">
        <v>9230</v>
      </c>
      <c r="C32" s="17" t="s">
        <v>304</v>
      </c>
      <c r="D32" s="178">
        <v>706893.02</v>
      </c>
      <c r="E32" s="178">
        <v>754577.54000000015</v>
      </c>
      <c r="F32" s="178">
        <v>661736.9</v>
      </c>
      <c r="G32" s="178">
        <v>848668.5</v>
      </c>
      <c r="H32" s="178">
        <v>797262.56000000017</v>
      </c>
      <c r="I32" s="178">
        <v>865257.68</v>
      </c>
      <c r="J32" s="264">
        <v>613165.22000000009</v>
      </c>
      <c r="K32" s="264">
        <v>903482.36</v>
      </c>
      <c r="L32" s="264">
        <v>1864696.0399999996</v>
      </c>
      <c r="M32" s="264">
        <v>770653.17999999993</v>
      </c>
      <c r="N32" s="264">
        <v>597078.56999999995</v>
      </c>
      <c r="O32" s="178">
        <v>947969.71947690879</v>
      </c>
      <c r="P32" s="17">
        <f t="shared" si="2"/>
        <v>10331441.289476909</v>
      </c>
      <c r="Q32" s="17"/>
    </row>
    <row r="33" spans="1:18">
      <c r="A33" s="77">
        <f t="shared" ref="A33" si="11">A32+1</f>
        <v>11</v>
      </c>
      <c r="B33" s="175">
        <v>9240</v>
      </c>
      <c r="C33" s="17" t="s">
        <v>305</v>
      </c>
      <c r="D33" s="178">
        <v>49861.919999999998</v>
      </c>
      <c r="E33" s="178">
        <v>13327.54</v>
      </c>
      <c r="F33" s="178">
        <v>11426.37</v>
      </c>
      <c r="G33" s="178">
        <v>11426.37</v>
      </c>
      <c r="H33" s="178">
        <v>11426.37</v>
      </c>
      <c r="I33" s="178">
        <v>11426.37</v>
      </c>
      <c r="J33" s="264">
        <v>11426.37</v>
      </c>
      <c r="K33" s="264">
        <v>11426.37</v>
      </c>
      <c r="L33" s="264">
        <v>11426.37</v>
      </c>
      <c r="M33" s="264">
        <v>11426.37</v>
      </c>
      <c r="N33" s="264">
        <v>11426.37</v>
      </c>
      <c r="O33" s="178">
        <v>21456.099886766111</v>
      </c>
      <c r="P33" s="17">
        <f t="shared" si="2"/>
        <v>187482.88988676609</v>
      </c>
      <c r="Q33" s="17"/>
    </row>
    <row r="34" spans="1:18">
      <c r="A34" s="77">
        <v>11</v>
      </c>
      <c r="B34" s="175">
        <v>9250</v>
      </c>
      <c r="C34" s="17" t="s">
        <v>306</v>
      </c>
      <c r="D34" s="178">
        <v>1662084.3299999996</v>
      </c>
      <c r="E34" s="178">
        <v>1665651.13</v>
      </c>
      <c r="F34" s="178">
        <v>-465576.55000000022</v>
      </c>
      <c r="G34" s="178">
        <v>1612256.64</v>
      </c>
      <c r="H34" s="178">
        <v>1654705.59</v>
      </c>
      <c r="I34" s="178">
        <v>648483.03</v>
      </c>
      <c r="J34" s="264">
        <v>1660498.52</v>
      </c>
      <c r="K34" s="264">
        <v>2466434.3800000004</v>
      </c>
      <c r="L34" s="264">
        <v>2205274.02</v>
      </c>
      <c r="M34" s="264">
        <v>1587547.31</v>
      </c>
      <c r="N34" s="264">
        <v>1586520.95</v>
      </c>
      <c r="O34" s="178">
        <v>1743542.5242013182</v>
      </c>
      <c r="P34" s="17">
        <f t="shared" si="2"/>
        <v>18027421.874201316</v>
      </c>
      <c r="Q34" s="17"/>
    </row>
    <row r="35" spans="1:18">
      <c r="A35" s="77">
        <f t="shared" ref="A35" si="12">A34+1</f>
        <v>12</v>
      </c>
      <c r="B35" s="175">
        <v>9260</v>
      </c>
      <c r="C35" s="17" t="s">
        <v>307</v>
      </c>
      <c r="D35" s="178">
        <v>4593478.3000000017</v>
      </c>
      <c r="E35" s="178">
        <v>2675101.0300000012</v>
      </c>
      <c r="F35" s="178">
        <v>6938585.0599999875</v>
      </c>
      <c r="G35" s="178">
        <v>3861946.7700000009</v>
      </c>
      <c r="H35" s="178">
        <v>7562267.4600000028</v>
      </c>
      <c r="I35" s="178">
        <v>1252928.2299999979</v>
      </c>
      <c r="J35" s="264">
        <v>6939571.3000000007</v>
      </c>
      <c r="K35" s="264">
        <v>1941388.4899999986</v>
      </c>
      <c r="L35" s="264">
        <v>4992846.0199999986</v>
      </c>
      <c r="M35" s="264">
        <v>2983898.1599999997</v>
      </c>
      <c r="N35" s="264">
        <v>2737079.5700000012</v>
      </c>
      <c r="O35" s="178">
        <v>3631246.6032994143</v>
      </c>
      <c r="P35" s="17">
        <f t="shared" si="2"/>
        <v>50110336.993299402</v>
      </c>
      <c r="Q35" s="17"/>
    </row>
    <row r="36" spans="1:18">
      <c r="A36" s="77">
        <v>12</v>
      </c>
      <c r="B36" s="175">
        <v>9301</v>
      </c>
      <c r="C36" s="17" t="s">
        <v>316</v>
      </c>
      <c r="D36" s="178">
        <f>0</f>
        <v>0</v>
      </c>
      <c r="E36" s="178">
        <f>0</f>
        <v>0</v>
      </c>
      <c r="F36" s="178">
        <f>0</f>
        <v>0</v>
      </c>
      <c r="G36" s="178">
        <f>0</f>
        <v>0</v>
      </c>
      <c r="H36" s="178">
        <f>0</f>
        <v>0</v>
      </c>
      <c r="I36" s="178">
        <f>0</f>
        <v>0</v>
      </c>
      <c r="J36" s="178"/>
      <c r="K36" s="178"/>
      <c r="L36" s="178"/>
      <c r="M36" s="178">
        <v>0</v>
      </c>
      <c r="N36" s="178">
        <v>0</v>
      </c>
      <c r="O36" s="178">
        <v>0</v>
      </c>
      <c r="P36" s="17">
        <f t="shared" si="2"/>
        <v>0</v>
      </c>
      <c r="Q36" s="17"/>
    </row>
    <row r="37" spans="1:18">
      <c r="A37" s="77">
        <f t="shared" ref="A37" si="13">A36+1</f>
        <v>13</v>
      </c>
      <c r="B37" s="175">
        <v>9302</v>
      </c>
      <c r="C37" s="17" t="s">
        <v>310</v>
      </c>
      <c r="D37" s="178">
        <v>595052.67999999993</v>
      </c>
      <c r="E37" s="178">
        <v>449836.70999999996</v>
      </c>
      <c r="F37" s="178">
        <v>3023947.0500000012</v>
      </c>
      <c r="G37" s="178">
        <v>394237</v>
      </c>
      <c r="H37" s="178">
        <v>187444.52</v>
      </c>
      <c r="I37" s="178">
        <v>257864.97999999998</v>
      </c>
      <c r="J37" s="264">
        <v>434504.25000000006</v>
      </c>
      <c r="K37" s="264">
        <v>149930.11000000002</v>
      </c>
      <c r="L37" s="264">
        <v>242831.26000000004</v>
      </c>
      <c r="M37" s="264">
        <v>453830.29000000004</v>
      </c>
      <c r="N37" s="264">
        <v>185459.75</v>
      </c>
      <c r="O37" s="178">
        <v>475499.21606570622</v>
      </c>
      <c r="P37" s="17">
        <f t="shared" si="2"/>
        <v>6850437.8160657082</v>
      </c>
      <c r="Q37" s="17"/>
    </row>
    <row r="38" spans="1:18">
      <c r="A38" s="77">
        <v>13</v>
      </c>
      <c r="B38" s="175">
        <v>9310</v>
      </c>
      <c r="C38" s="17" t="s">
        <v>199</v>
      </c>
      <c r="D38" s="178">
        <v>428689.95000000013</v>
      </c>
      <c r="E38" s="178">
        <v>449036.42000000004</v>
      </c>
      <c r="F38" s="178">
        <v>438477.07000000007</v>
      </c>
      <c r="G38" s="178">
        <v>474772.79000000004</v>
      </c>
      <c r="H38" s="178">
        <v>453249.64</v>
      </c>
      <c r="I38" s="178">
        <v>212237.21999999994</v>
      </c>
      <c r="J38" s="264">
        <v>395862.04999999981</v>
      </c>
      <c r="K38" s="264">
        <v>426133.01</v>
      </c>
      <c r="L38" s="264">
        <v>745301.54999999981</v>
      </c>
      <c r="M38" s="264">
        <v>431540</v>
      </c>
      <c r="N38" s="264">
        <v>451238.60999999993</v>
      </c>
      <c r="O38" s="178">
        <v>485351.08633891132</v>
      </c>
      <c r="P38" s="17">
        <f t="shared" si="2"/>
        <v>5391889.3963389108</v>
      </c>
      <c r="Q38" s="17"/>
    </row>
    <row r="39" spans="1:18">
      <c r="A39" s="77">
        <f t="shared" ref="A39" si="14">A38+1</f>
        <v>14</v>
      </c>
      <c r="B39" s="175">
        <v>9320</v>
      </c>
      <c r="C39" s="17" t="s">
        <v>311</v>
      </c>
      <c r="D39" s="178">
        <v>16630.04</v>
      </c>
      <c r="E39" s="178">
        <v>4065.24</v>
      </c>
      <c r="F39" s="178">
        <v>41241.620000000003</v>
      </c>
      <c r="G39" s="178">
        <v>22521.310000000005</v>
      </c>
      <c r="H39" s="178">
        <v>33625.659999999996</v>
      </c>
      <c r="I39" s="178">
        <v>28692.5</v>
      </c>
      <c r="J39" s="264">
        <v>32745.800000000003</v>
      </c>
      <c r="K39" s="264">
        <v>22490.730000000007</v>
      </c>
      <c r="L39" s="264">
        <v>51892.869999999995</v>
      </c>
      <c r="M39" s="264">
        <v>20304.16</v>
      </c>
      <c r="N39" s="264">
        <v>42786.06</v>
      </c>
      <c r="O39" s="178">
        <v>33730.41225034363</v>
      </c>
      <c r="P39" s="17">
        <f t="shared" si="2"/>
        <v>350726.40225034364</v>
      </c>
      <c r="Q39" s="17"/>
    </row>
    <row r="40" spans="1:18" ht="15.75" thickBot="1">
      <c r="A40" s="77">
        <v>14</v>
      </c>
      <c r="B40" s="17" t="s">
        <v>312</v>
      </c>
      <c r="C40" s="211"/>
      <c r="D40" s="212">
        <f t="shared" ref="D40:O40" si="15">SUM(D14:D39)</f>
        <v>26362.759999993395</v>
      </c>
      <c r="E40" s="212">
        <f t="shared" si="15"/>
        <v>46356.530000002014</v>
      </c>
      <c r="F40" s="212">
        <f t="shared" si="15"/>
        <v>-1907659.9400000132</v>
      </c>
      <c r="G40" s="212">
        <f t="shared" si="15"/>
        <v>-2208352.3199999975</v>
      </c>
      <c r="H40" s="212">
        <f t="shared" si="15"/>
        <v>2474788.5799999973</v>
      </c>
      <c r="I40" s="212">
        <f t="shared" si="15"/>
        <v>-859293.80000000447</v>
      </c>
      <c r="J40" s="212">
        <f t="shared" si="15"/>
        <v>33894.16999999086</v>
      </c>
      <c r="K40" s="212">
        <f t="shared" si="15"/>
        <v>3789859.6699999929</v>
      </c>
      <c r="L40" s="212">
        <f t="shared" si="15"/>
        <v>-1182175.1200000057</v>
      </c>
      <c r="M40" s="212">
        <f t="shared" si="15"/>
        <v>-250064.61000000048</v>
      </c>
      <c r="N40" s="212">
        <f t="shared" si="15"/>
        <v>7865.7900000046939</v>
      </c>
      <c r="O40" s="212">
        <f t="shared" si="15"/>
        <v>-8.9494278654456139E-10</v>
      </c>
      <c r="P40" s="212">
        <f>SUM(P14:P39)</f>
        <v>-34480.290000024543</v>
      </c>
      <c r="Q40" s="17"/>
    </row>
    <row r="41" spans="1:18" ht="15.75" thickTop="1">
      <c r="A41" s="77">
        <f t="shared" ref="A41" si="16">A40+1</f>
        <v>15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8">
      <c r="A42" s="77">
        <v>15</v>
      </c>
      <c r="B42" s="175">
        <f>B31</f>
        <v>9220</v>
      </c>
      <c r="C42" s="175" t="str">
        <f>C31</f>
        <v>A&amp;G-Administrative expense transferred-Credit</v>
      </c>
      <c r="D42" s="213">
        <f>D31</f>
        <v>-9503163.1400000062</v>
      </c>
      <c r="E42" s="213">
        <f t="shared" ref="E42:L42" si="17">E31</f>
        <v>-10347930.919999998</v>
      </c>
      <c r="F42" s="213">
        <f t="shared" si="17"/>
        <v>-8779190.9300000053</v>
      </c>
      <c r="G42" s="213">
        <f t="shared" si="17"/>
        <v>-8550668.129999999</v>
      </c>
      <c r="H42" s="213">
        <f t="shared" si="17"/>
        <v>-11459070.680000009</v>
      </c>
      <c r="I42" s="213">
        <f t="shared" si="17"/>
        <v>-3001889.7900000028</v>
      </c>
      <c r="J42" s="213">
        <f t="shared" si="17"/>
        <v>-11344576.610000009</v>
      </c>
      <c r="K42" s="213">
        <f t="shared" si="17"/>
        <v>-4725265.9200000064</v>
      </c>
      <c r="L42" s="213">
        <f t="shared" si="17"/>
        <v>-10699945.919999998</v>
      </c>
      <c r="M42" s="213">
        <f>M31</f>
        <v>-5272954.7799999993</v>
      </c>
      <c r="N42" s="213">
        <f>N31</f>
        <v>-6563501.7399999974</v>
      </c>
      <c r="O42" s="213">
        <f>O31</f>
        <v>-8603953.6960281041</v>
      </c>
      <c r="P42" s="17">
        <f t="shared" ref="P42" si="18">SUM(D42:O42)</f>
        <v>-98852112.256028131</v>
      </c>
      <c r="Q42" s="17"/>
    </row>
    <row r="43" spans="1:18">
      <c r="A43" s="77">
        <f t="shared" ref="A43" si="19">A42+1</f>
        <v>16</v>
      </c>
      <c r="B43" s="17"/>
      <c r="C43" s="214" t="s">
        <v>317</v>
      </c>
      <c r="D43" s="215">
        <f>D44/D42</f>
        <v>5.8185640070996365E-2</v>
      </c>
      <c r="E43" s="215">
        <f t="shared" ref="E43:N43" si="20">E44/E42</f>
        <v>5.5680180362085385E-2</v>
      </c>
      <c r="F43" s="215">
        <f t="shared" si="20"/>
        <v>5.7991083012019613E-2</v>
      </c>
      <c r="G43" s="215">
        <f t="shared" si="20"/>
        <v>5.8175113621208932E-2</v>
      </c>
      <c r="H43" s="215">
        <f t="shared" si="20"/>
        <v>5.62968488470829E-2</v>
      </c>
      <c r="I43" s="215">
        <f t="shared" si="20"/>
        <v>7.1022474146194364E-2</v>
      </c>
      <c r="J43" s="215">
        <f t="shared" si="20"/>
        <v>5.5407957617908801E-2</v>
      </c>
      <c r="K43" s="215">
        <f t="shared" si="20"/>
        <v>6.382533493480079E-2</v>
      </c>
      <c r="L43" s="215">
        <f t="shared" si="20"/>
        <v>5.769469160083382E-2</v>
      </c>
      <c r="M43" s="215">
        <f t="shared" si="20"/>
        <v>6.1325900466000213E-2</v>
      </c>
      <c r="N43" s="215">
        <f t="shared" si="20"/>
        <v>5.9377369800164038E-2</v>
      </c>
      <c r="O43" s="215">
        <v>5.2010158342223917E-2</v>
      </c>
      <c r="P43" s="215">
        <f t="shared" ref="P43" si="21">P44/P42</f>
        <v>5.7682845555501669E-2</v>
      </c>
      <c r="Q43" s="17"/>
      <c r="R43" s="179"/>
    </row>
    <row r="44" spans="1:18">
      <c r="A44" s="77">
        <v>16</v>
      </c>
      <c r="B44" s="17"/>
      <c r="C44" s="17" t="s">
        <v>318</v>
      </c>
      <c r="D44" s="17">
        <v>-552947.63</v>
      </c>
      <c r="E44" s="17">
        <v>-576174.66</v>
      </c>
      <c r="F44" s="17">
        <v>-509114.79</v>
      </c>
      <c r="G44" s="17">
        <v>-497436.09</v>
      </c>
      <c r="H44" s="17">
        <v>-645109.56999999995</v>
      </c>
      <c r="I44" s="17">
        <v>-213201.64</v>
      </c>
      <c r="J44" s="17">
        <v>-628579.81999999995</v>
      </c>
      <c r="K44" s="17">
        <v>-301591.67999999999</v>
      </c>
      <c r="L44" s="17">
        <v>-617330.07999999996</v>
      </c>
      <c r="M44" s="17">
        <v>-323368.7</v>
      </c>
      <c r="N44" s="17">
        <v>-389723.47</v>
      </c>
      <c r="O44" s="17">
        <f t="shared" ref="O44" si="22">O42*O43</f>
        <v>-447492.99409958441</v>
      </c>
      <c r="P44" s="17">
        <f>SUM(D44:O44)</f>
        <v>-5702071.1240995843</v>
      </c>
      <c r="Q44" s="17"/>
      <c r="R44" s="179"/>
    </row>
    <row r="45" spans="1: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3"/>
      <c r="P45" s="153"/>
      <c r="Q45" s="17"/>
    </row>
    <row r="46" spans="1: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53"/>
      <c r="P46" s="153"/>
      <c r="Q46" s="17"/>
    </row>
    <row r="47" spans="1:18">
      <c r="A47" s="17"/>
      <c r="B47" s="17" t="s">
        <v>319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53"/>
      <c r="P47" s="153"/>
      <c r="Q47" s="17"/>
    </row>
    <row r="48" spans="1: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58"/>
      <c r="Q48" s="17"/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53"/>
      <c r="Q49" s="17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53"/>
      <c r="Q50" s="17"/>
    </row>
    <row r="51" spans="1:1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3"/>
      <c r="Q51" s="216"/>
    </row>
    <row r="52" spans="1:1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17"/>
      <c r="P52" s="153"/>
      <c r="Q52" s="218"/>
    </row>
    <row r="53" spans="1:17">
      <c r="A53" s="17"/>
      <c r="B53" s="17"/>
      <c r="C53" s="157"/>
      <c r="D53" s="77"/>
      <c r="E53" s="219"/>
      <c r="F53" s="219"/>
      <c r="G53" s="77"/>
      <c r="H53" s="77"/>
      <c r="I53" s="77"/>
      <c r="J53" s="219"/>
      <c r="K53" s="219"/>
      <c r="L53" s="77"/>
      <c r="M53" s="77"/>
      <c r="N53" s="77"/>
      <c r="O53" s="77"/>
      <c r="P53" s="153"/>
      <c r="Q53" s="218"/>
    </row>
    <row r="54" spans="1:17">
      <c r="A54" s="17"/>
      <c r="B54" s="17"/>
      <c r="C54" s="17"/>
      <c r="D54" s="33"/>
      <c r="E54" s="33"/>
      <c r="F54" s="33"/>
      <c r="G54" s="33"/>
      <c r="H54" s="33"/>
      <c r="I54" s="33"/>
      <c r="J54" s="33"/>
      <c r="K54" s="220"/>
      <c r="L54" s="220"/>
      <c r="M54" s="220"/>
      <c r="N54" s="220"/>
      <c r="O54" s="157"/>
      <c r="P54" s="153"/>
      <c r="Q54" s="218"/>
    </row>
    <row r="55" spans="1:17">
      <c r="A55" s="17"/>
      <c r="B55" s="158"/>
      <c r="C55" s="15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53"/>
      <c r="P55" s="153"/>
      <c r="Q55" s="218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18"/>
    </row>
    <row r="57" spans="1:17">
      <c r="A57" s="17"/>
      <c r="B57" s="17"/>
      <c r="C57" s="17"/>
      <c r="D57" s="17"/>
      <c r="E57" s="17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>
      <c r="A59" s="17"/>
      <c r="B59" s="17"/>
      <c r="C59" s="158"/>
      <c r="D59" s="17"/>
      <c r="E59" s="17"/>
      <c r="F59" s="17"/>
      <c r="G59" s="17"/>
      <c r="H59" s="17"/>
      <c r="I59" s="17"/>
      <c r="J59" s="17"/>
      <c r="K59" s="17"/>
      <c r="L59" s="17"/>
      <c r="M59" s="179"/>
      <c r="N59" s="17"/>
      <c r="O59" s="17"/>
      <c r="P59" s="17"/>
      <c r="Q59" s="17"/>
    </row>
    <row r="60" spans="1:17">
      <c r="A60" s="17"/>
      <c r="B60" s="17"/>
      <c r="C60" s="15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>
      <c r="O61" s="157"/>
    </row>
    <row r="62" spans="1:17">
      <c r="O62" s="157"/>
    </row>
    <row r="63" spans="1:17">
      <c r="O63" s="157"/>
    </row>
    <row r="65" spans="3:3">
      <c r="C65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0" fitToHeight="2" orientation="landscape" verticalDpi="300" r:id="rId1"/>
  <headerFooter alignWithMargins="0">
    <oddHeader>&amp;RCASE NO. 2017-00349
ATTACHMENT 1
TO STAFF DR NO. 1-46
(SUPPLEMENT 01-03-18)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154" customWidth="1"/>
    <col min="2" max="2" width="7.21875" style="154" customWidth="1"/>
    <col min="3" max="3" width="54.21875" style="154" customWidth="1"/>
    <col min="4" max="4" width="13.109375" style="154" bestFit="1" customWidth="1"/>
    <col min="5" max="6" width="11.109375" style="154" customWidth="1"/>
    <col min="7" max="8" width="13.109375" style="154" bestFit="1" customWidth="1"/>
    <col min="9" max="9" width="11.109375" style="154" customWidth="1"/>
    <col min="10" max="10" width="10.88671875" style="154" customWidth="1"/>
    <col min="11" max="14" width="13.109375" style="154" bestFit="1" customWidth="1"/>
    <col min="15" max="15" width="12.44140625" style="154" customWidth="1"/>
    <col min="16" max="16" width="12.44140625" style="154" bestFit="1" customWidth="1"/>
    <col min="17" max="17" width="12.44140625" style="154" customWidth="1"/>
    <col min="18" max="18" width="12.5546875" style="154" customWidth="1"/>
    <col min="19" max="19" width="11.33203125" style="154" bestFit="1" customWidth="1"/>
    <col min="20" max="16384" width="7.109375" style="154"/>
  </cols>
  <sheetData>
    <row r="1" spans="1:17">
      <c r="A1" s="269" t="s">
        <v>353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7"/>
    </row>
    <row r="2" spans="1:17">
      <c r="A2" s="269" t="s">
        <v>354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7"/>
    </row>
    <row r="3" spans="1:17" ht="15.75">
      <c r="A3" s="269" t="s">
        <v>320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17"/>
    </row>
    <row r="4" spans="1:17">
      <c r="A4" s="269" t="s">
        <v>356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7"/>
    </row>
    <row r="5" spans="1:17">
      <c r="A5" s="17"/>
      <c r="B5" s="202"/>
      <c r="C5" s="202"/>
      <c r="D5" s="202"/>
      <c r="E5" s="202"/>
      <c r="F5" s="202"/>
      <c r="G5" s="203"/>
      <c r="H5" s="202"/>
      <c r="I5" s="202"/>
      <c r="J5" s="202"/>
      <c r="K5" s="202"/>
      <c r="L5" s="202"/>
      <c r="M5" s="202"/>
      <c r="N5" s="202"/>
      <c r="O5" s="202"/>
      <c r="P5" s="17"/>
      <c r="Q5" s="17"/>
    </row>
    <row r="6" spans="1:17" ht="15.75">
      <c r="A6" s="156" t="str">
        <f>'C.2.2 B 09'!A6</f>
        <v>Data:___X____Base Period________Forecasted Period</v>
      </c>
      <c r="B6" s="17"/>
      <c r="C6" s="156"/>
      <c r="D6" s="20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57" t="s">
        <v>213</v>
      </c>
      <c r="Q6" s="17"/>
    </row>
    <row r="7" spans="1:17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9" t="s">
        <v>214</v>
      </c>
      <c r="Q7" s="17"/>
    </row>
    <row r="8" spans="1:17">
      <c r="A8" s="160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63" t="str">
        <f>C.1!J9</f>
        <v>Witness: Waller, Martin</v>
      </c>
      <c r="Q8" s="17"/>
    </row>
    <row r="9" spans="1:17">
      <c r="A9" s="164" t="s">
        <v>9</v>
      </c>
      <c r="B9" s="165" t="s">
        <v>215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7" t="str">
        <f>'C.2.2 B 09'!I9</f>
        <v>actual</v>
      </c>
      <c r="J9" s="207" t="s">
        <v>216</v>
      </c>
      <c r="K9" s="207" t="s">
        <v>216</v>
      </c>
      <c r="L9" s="207" t="s">
        <v>216</v>
      </c>
      <c r="M9" s="207" t="str">
        <f>'C.2.2 B 09'!M9</f>
        <v>actual</v>
      </c>
      <c r="N9" s="207" t="str">
        <f>'C.2.2 B 09'!N9</f>
        <v>actual</v>
      </c>
      <c r="O9" s="207" t="str">
        <f>'C.2.2 B 09'!O9</f>
        <v>Budgeted</v>
      </c>
      <c r="P9" s="208"/>
      <c r="Q9" s="77"/>
    </row>
    <row r="10" spans="1:17">
      <c r="A10" s="169" t="s">
        <v>12</v>
      </c>
      <c r="B10" s="170" t="s">
        <v>12</v>
      </c>
      <c r="C10" s="171" t="s">
        <v>218</v>
      </c>
      <c r="D10" s="209">
        <f>'C.2.2 B 09'!D10</f>
        <v>42736</v>
      </c>
      <c r="E10" s="209">
        <f>'C.2.2 B 09'!F10</f>
        <v>42795</v>
      </c>
      <c r="F10" s="209">
        <f>'C.2.2 B 09'!F10</f>
        <v>42795</v>
      </c>
      <c r="G10" s="209">
        <f>'C.2.2 B 09'!G10</f>
        <v>42826</v>
      </c>
      <c r="H10" s="209">
        <f>'C.2.2 B 09'!H10</f>
        <v>42856</v>
      </c>
      <c r="I10" s="209">
        <f>'C.2.2 B 09'!I10</f>
        <v>42887</v>
      </c>
      <c r="J10" s="209">
        <f>'C.2.2 B 09'!J10</f>
        <v>42917</v>
      </c>
      <c r="K10" s="209">
        <f>'C.2.2 B 09'!K10</f>
        <v>42948</v>
      </c>
      <c r="L10" s="209">
        <f>'C.2.2 B 09'!L10</f>
        <v>42979</v>
      </c>
      <c r="M10" s="209">
        <f>'C.2.2 B 09'!M10</f>
        <v>43009</v>
      </c>
      <c r="N10" s="209">
        <f>'C.2.2 B 09'!N10</f>
        <v>43040</v>
      </c>
      <c r="O10" s="209">
        <f>'C.2.2 B 09'!O10</f>
        <v>43070</v>
      </c>
      <c r="P10" s="209" t="str">
        <f>'C.2.2 B 09'!P10</f>
        <v>Total</v>
      </c>
      <c r="Q10" s="221"/>
    </row>
    <row r="11" spans="1:17">
      <c r="A11" s="17"/>
      <c r="B11" s="17"/>
      <c r="C11" s="17"/>
      <c r="D11" s="64" t="s">
        <v>220</v>
      </c>
      <c r="E11" s="64" t="s">
        <v>220</v>
      </c>
      <c r="F11" s="64" t="s">
        <v>220</v>
      </c>
      <c r="G11" s="64" t="s">
        <v>220</v>
      </c>
      <c r="H11" s="64" t="s">
        <v>220</v>
      </c>
      <c r="I11" s="64" t="s">
        <v>220</v>
      </c>
      <c r="J11" s="64" t="s">
        <v>220</v>
      </c>
      <c r="K11" s="64" t="s">
        <v>220</v>
      </c>
      <c r="L11" s="64" t="s">
        <v>220</v>
      </c>
      <c r="M11" s="64" t="s">
        <v>220</v>
      </c>
      <c r="N11" s="64" t="s">
        <v>220</v>
      </c>
      <c r="O11" s="64" t="s">
        <v>220</v>
      </c>
      <c r="P11" s="64" t="s">
        <v>220</v>
      </c>
      <c r="Q11" s="64"/>
    </row>
    <row r="12" spans="1:17">
      <c r="A12" s="77">
        <v>1</v>
      </c>
      <c r="B12" s="175">
        <v>4030</v>
      </c>
      <c r="C12" s="17" t="s">
        <v>59</v>
      </c>
      <c r="D12" s="178">
        <v>-1.4551915228366852E-11</v>
      </c>
      <c r="E12" s="178">
        <v>-2.9103830456733704E-11</v>
      </c>
      <c r="F12" s="178">
        <v>-1.1641532182693481E-10</v>
      </c>
      <c r="G12" s="178">
        <v>0</v>
      </c>
      <c r="H12" s="178">
        <v>3.637978807091713E-11</v>
      </c>
      <c r="I12" s="178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7">
        <f t="shared" ref="P12:P25" si="0">SUM(D12:O12)</f>
        <v>-1.2369127944111824E-10</v>
      </c>
      <c r="Q12" s="158"/>
    </row>
    <row r="13" spans="1:17">
      <c r="A13" s="77">
        <f>A12+1</f>
        <v>2</v>
      </c>
      <c r="B13" s="175">
        <v>4081</v>
      </c>
      <c r="C13" s="17" t="s">
        <v>224</v>
      </c>
      <c r="D13" s="178">
        <v>-9.9999999678459517E-3</v>
      </c>
      <c r="E13" s="178">
        <v>1.5546675058430992E-11</v>
      </c>
      <c r="F13" s="178">
        <v>1.2732925824820995E-11</v>
      </c>
      <c r="G13" s="178">
        <v>2.9540814239226165E-11</v>
      </c>
      <c r="H13" s="178">
        <v>6.0196292395175988E-12</v>
      </c>
      <c r="I13" s="178">
        <v>1.0000000012951205E-2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7">
        <f t="shared" si="0"/>
        <v>1.0894529722804691E-10</v>
      </c>
      <c r="Q13" s="17"/>
    </row>
    <row r="14" spans="1:17">
      <c r="A14" s="77">
        <f t="shared" ref="A14:A35" si="1">A13+1</f>
        <v>3</v>
      </c>
      <c r="B14" s="175">
        <v>8700</v>
      </c>
      <c r="C14" s="17" t="s">
        <v>271</v>
      </c>
      <c r="D14" s="178">
        <f>0</f>
        <v>0</v>
      </c>
      <c r="E14" s="178">
        <f>0</f>
        <v>0</v>
      </c>
      <c r="F14" s="178">
        <f>0</f>
        <v>0</v>
      </c>
      <c r="G14" s="178">
        <f>0</f>
        <v>0</v>
      </c>
      <c r="H14" s="178">
        <f>0</f>
        <v>0</v>
      </c>
      <c r="I14" s="178">
        <f>0</f>
        <v>0</v>
      </c>
      <c r="J14" s="113">
        <v>53.61</v>
      </c>
      <c r="K14" s="113">
        <v>-19.02</v>
      </c>
      <c r="L14" s="113">
        <v>309.25</v>
      </c>
      <c r="M14" s="113">
        <v>0</v>
      </c>
      <c r="N14" s="113">
        <v>0</v>
      </c>
      <c r="O14" s="113">
        <v>0</v>
      </c>
      <c r="P14" s="17">
        <f t="shared" si="0"/>
        <v>343.84000000000003</v>
      </c>
      <c r="Q14" s="17"/>
    </row>
    <row r="15" spans="1:17">
      <c r="A15" s="77">
        <f t="shared" si="1"/>
        <v>4</v>
      </c>
      <c r="B15" s="175">
        <v>8740</v>
      </c>
      <c r="C15" s="17" t="s">
        <v>275</v>
      </c>
      <c r="D15" s="178">
        <v>2021.33</v>
      </c>
      <c r="E15" s="178">
        <v>1302.98</v>
      </c>
      <c r="F15" s="178">
        <v>1296.21</v>
      </c>
      <c r="G15" s="178">
        <v>1673.07</v>
      </c>
      <c r="H15" s="178">
        <v>1951.15</v>
      </c>
      <c r="I15" s="178">
        <v>1635.9399999999998</v>
      </c>
      <c r="J15" s="113">
        <v>1097.3800000000001</v>
      </c>
      <c r="K15" s="113">
        <v>1992</v>
      </c>
      <c r="L15" s="113">
        <v>1961.9700000000003</v>
      </c>
      <c r="M15" s="113">
        <v>1505.36</v>
      </c>
      <c r="N15" s="113">
        <v>1865.2799999999997</v>
      </c>
      <c r="O15" s="113">
        <v>1699.7957741350851</v>
      </c>
      <c r="P15" s="17">
        <f t="shared" si="0"/>
        <v>20002.465774135086</v>
      </c>
      <c r="Q15" s="17"/>
    </row>
    <row r="16" spans="1:17">
      <c r="A16" s="77">
        <f t="shared" si="1"/>
        <v>5</v>
      </c>
      <c r="B16" s="175">
        <v>8800</v>
      </c>
      <c r="C16" s="17" t="s">
        <v>281</v>
      </c>
      <c r="D16" s="178">
        <f>0</f>
        <v>0</v>
      </c>
      <c r="E16" s="178">
        <f>0</f>
        <v>0</v>
      </c>
      <c r="F16" s="178">
        <f>0</f>
        <v>0</v>
      </c>
      <c r="G16" s="178">
        <f>0</f>
        <v>0</v>
      </c>
      <c r="H16" s="178">
        <f>0</f>
        <v>0</v>
      </c>
      <c r="I16" s="178">
        <f>0</f>
        <v>0</v>
      </c>
      <c r="J16" s="113"/>
      <c r="K16" s="113"/>
      <c r="L16" s="113"/>
      <c r="M16" s="113">
        <v>0</v>
      </c>
      <c r="N16" s="113">
        <v>36.81</v>
      </c>
      <c r="O16" s="113">
        <v>0</v>
      </c>
      <c r="P16" s="17">
        <f t="shared" si="0"/>
        <v>36.81</v>
      </c>
      <c r="Q16" s="17"/>
    </row>
    <row r="17" spans="1:17">
      <c r="A17" s="77">
        <f t="shared" si="1"/>
        <v>6</v>
      </c>
      <c r="B17" s="175">
        <v>9010</v>
      </c>
      <c r="C17" s="17" t="s">
        <v>292</v>
      </c>
      <c r="D17" s="178">
        <v>345788.8</v>
      </c>
      <c r="E17" s="178">
        <v>325501.09999999998</v>
      </c>
      <c r="F17" s="178">
        <v>371262.11</v>
      </c>
      <c r="G17" s="178">
        <v>315776.92000000004</v>
      </c>
      <c r="H17" s="178">
        <v>363030.96000000008</v>
      </c>
      <c r="I17" s="178">
        <v>355088.25</v>
      </c>
      <c r="J17" s="113">
        <v>320967.62000000005</v>
      </c>
      <c r="K17" s="113">
        <v>384593.75</v>
      </c>
      <c r="L17" s="113">
        <v>343712.7</v>
      </c>
      <c r="M17" s="113">
        <v>344070.85000000003</v>
      </c>
      <c r="N17" s="113">
        <v>354179.72999999992</v>
      </c>
      <c r="O17" s="113">
        <v>393911.68921853218</v>
      </c>
      <c r="P17" s="17">
        <f t="shared" si="0"/>
        <v>4217884.4792185323</v>
      </c>
      <c r="Q17" s="17"/>
    </row>
    <row r="18" spans="1:17">
      <c r="A18" s="77">
        <f t="shared" si="1"/>
        <v>7</v>
      </c>
      <c r="B18" s="175">
        <v>9020</v>
      </c>
      <c r="C18" s="17" t="s">
        <v>293</v>
      </c>
      <c r="D18" s="178">
        <v>2827.18</v>
      </c>
      <c r="E18" s="178">
        <v>2492.65</v>
      </c>
      <c r="F18" s="178">
        <v>3252.47</v>
      </c>
      <c r="G18" s="178">
        <v>2426.96</v>
      </c>
      <c r="H18" s="178">
        <v>2434.3700000000003</v>
      </c>
      <c r="I18" s="178">
        <v>2598.9900000000002</v>
      </c>
      <c r="J18" s="113">
        <v>2329.1800000000003</v>
      </c>
      <c r="K18" s="113">
        <v>2512.75</v>
      </c>
      <c r="L18" s="113">
        <v>2052.87</v>
      </c>
      <c r="M18" s="113">
        <v>581.56999999999994</v>
      </c>
      <c r="N18" s="113">
        <v>-284</v>
      </c>
      <c r="O18" s="113">
        <v>3061.9902347822399</v>
      </c>
      <c r="P18" s="17">
        <f t="shared" si="0"/>
        <v>26286.980234782237</v>
      </c>
      <c r="Q18" s="17"/>
    </row>
    <row r="19" spans="1:17">
      <c r="A19" s="77">
        <f t="shared" si="1"/>
        <v>8</v>
      </c>
      <c r="B19" s="175">
        <v>9030</v>
      </c>
      <c r="C19" s="17" t="s">
        <v>294</v>
      </c>
      <c r="D19" s="178">
        <v>1596481.55</v>
      </c>
      <c r="E19" s="178">
        <v>1399178.37</v>
      </c>
      <c r="F19" s="178">
        <v>1619284.2600000002</v>
      </c>
      <c r="G19" s="178">
        <v>1395506.2899999998</v>
      </c>
      <c r="H19" s="178">
        <v>1567812.4299999997</v>
      </c>
      <c r="I19" s="178">
        <v>1532666.09</v>
      </c>
      <c r="J19" s="113">
        <v>1427889.7000000002</v>
      </c>
      <c r="K19" s="113">
        <v>1539630.7999999998</v>
      </c>
      <c r="L19" s="113">
        <v>1491875.6099999999</v>
      </c>
      <c r="M19" s="113">
        <v>1556346.47</v>
      </c>
      <c r="N19" s="113">
        <v>1531374.56</v>
      </c>
      <c r="O19" s="113">
        <v>1719696.3008250946</v>
      </c>
      <c r="P19" s="17">
        <f t="shared" si="0"/>
        <v>18377742.430825096</v>
      </c>
      <c r="Q19" s="17"/>
    </row>
    <row r="20" spans="1:17">
      <c r="A20" s="77">
        <f t="shared" si="1"/>
        <v>9</v>
      </c>
      <c r="B20" s="175">
        <v>9200</v>
      </c>
      <c r="C20" s="17" t="s">
        <v>301</v>
      </c>
      <c r="D20" s="178">
        <v>445375.62000000005</v>
      </c>
      <c r="E20" s="178">
        <v>369782.82000000007</v>
      </c>
      <c r="F20" s="178">
        <v>424768.47000000009</v>
      </c>
      <c r="G20" s="178">
        <v>278911.63</v>
      </c>
      <c r="H20" s="178">
        <v>332812.16000000003</v>
      </c>
      <c r="I20" s="178">
        <v>307847.19</v>
      </c>
      <c r="J20" s="113">
        <v>297529.11999999994</v>
      </c>
      <c r="K20" s="113">
        <v>339428.06</v>
      </c>
      <c r="L20" s="113">
        <v>274755.52999999991</v>
      </c>
      <c r="M20" s="113">
        <v>365839.17</v>
      </c>
      <c r="N20" s="113">
        <v>329567.52999999997</v>
      </c>
      <c r="O20" s="113">
        <v>412431.7454797065</v>
      </c>
      <c r="P20" s="17">
        <f t="shared" si="0"/>
        <v>4179049.0454797065</v>
      </c>
      <c r="Q20" s="17"/>
    </row>
    <row r="21" spans="1:17">
      <c r="A21" s="77">
        <f t="shared" si="1"/>
        <v>10</v>
      </c>
      <c r="B21" s="175">
        <v>9210</v>
      </c>
      <c r="C21" s="17" t="s">
        <v>302</v>
      </c>
      <c r="D21" s="178">
        <v>744503.11999999988</v>
      </c>
      <c r="E21" s="178">
        <v>642804.87</v>
      </c>
      <c r="F21" s="178">
        <v>706185.25</v>
      </c>
      <c r="G21" s="178">
        <v>673818.10999999952</v>
      </c>
      <c r="H21" s="178">
        <v>750436.9099999998</v>
      </c>
      <c r="I21" s="178">
        <v>967833.5399999998</v>
      </c>
      <c r="J21" s="113">
        <v>552843.49</v>
      </c>
      <c r="K21" s="113">
        <v>633212.95000000019</v>
      </c>
      <c r="L21" s="113">
        <v>786458.09999999986</v>
      </c>
      <c r="M21" s="113">
        <v>592828.65999999968</v>
      </c>
      <c r="N21" s="113">
        <v>618253.37000000011</v>
      </c>
      <c r="O21" s="113">
        <v>202317.90444773136</v>
      </c>
      <c r="P21" s="17">
        <f t="shared" si="0"/>
        <v>7871496.2744477298</v>
      </c>
      <c r="Q21" s="17"/>
    </row>
    <row r="22" spans="1:17">
      <c r="A22" s="77">
        <f t="shared" si="1"/>
        <v>11</v>
      </c>
      <c r="B22" s="175">
        <v>9220</v>
      </c>
      <c r="C22" s="17" t="s">
        <v>303</v>
      </c>
      <c r="D22" s="178">
        <v>-4104410.0699999975</v>
      </c>
      <c r="E22" s="178">
        <v>-3692373.38</v>
      </c>
      <c r="F22" s="178">
        <v>-4255879.66</v>
      </c>
      <c r="G22" s="178">
        <v>-3697685.17</v>
      </c>
      <c r="H22" s="178">
        <v>-4192143.9400000009</v>
      </c>
      <c r="I22" s="178">
        <v>-4117575.1800000025</v>
      </c>
      <c r="J22" s="113">
        <v>-3577514.8199999984</v>
      </c>
      <c r="K22" s="113">
        <v>-3840097.1099999994</v>
      </c>
      <c r="L22" s="113">
        <v>-3965147.8299999996</v>
      </c>
      <c r="M22" s="113">
        <v>-3797622.8700000006</v>
      </c>
      <c r="N22" s="113">
        <v>-3764583.4300000006</v>
      </c>
      <c r="O22" s="113">
        <f t="shared" ref="O22" si="2">-(SUM(O12:O21)+SUM(O23:O28))</f>
        <v>-3760952.8256000006</v>
      </c>
      <c r="P22" s="17">
        <f t="shared" si="0"/>
        <v>-46765986.285599992</v>
      </c>
      <c r="Q22" s="158"/>
    </row>
    <row r="23" spans="1:17">
      <c r="A23" s="77">
        <f t="shared" si="1"/>
        <v>12</v>
      </c>
      <c r="B23" s="175">
        <v>9230</v>
      </c>
      <c r="C23" s="17" t="s">
        <v>304</v>
      </c>
      <c r="D23" s="178">
        <v>1419.9699999999993</v>
      </c>
      <c r="E23" s="178">
        <v>69053.959999999992</v>
      </c>
      <c r="F23" s="178">
        <v>109043.51</v>
      </c>
      <c r="G23" s="178">
        <v>110711.93000000001</v>
      </c>
      <c r="H23" s="178">
        <v>79952.899999999994</v>
      </c>
      <c r="I23" s="178">
        <v>53126</v>
      </c>
      <c r="J23" s="113">
        <v>41752.449999999997</v>
      </c>
      <c r="K23" s="113">
        <v>37062.539999999994</v>
      </c>
      <c r="L23" s="113">
        <v>210722.27</v>
      </c>
      <c r="M23" s="113">
        <v>42810.79</v>
      </c>
      <c r="N23" s="113">
        <v>51118.32</v>
      </c>
      <c r="O23" s="113">
        <v>36457.316934983966</v>
      </c>
      <c r="P23" s="17">
        <f t="shared" si="0"/>
        <v>843231.95693498396</v>
      </c>
      <c r="Q23" s="17"/>
    </row>
    <row r="24" spans="1:17">
      <c r="A24" s="77">
        <f t="shared" si="1"/>
        <v>13</v>
      </c>
      <c r="B24" s="175">
        <v>9240</v>
      </c>
      <c r="C24" s="17" t="s">
        <v>305</v>
      </c>
      <c r="D24" s="178">
        <v>9998.56</v>
      </c>
      <c r="E24" s="178">
        <v>9998.56</v>
      </c>
      <c r="F24" s="178">
        <v>8105.89</v>
      </c>
      <c r="G24" s="178">
        <v>8105.89</v>
      </c>
      <c r="H24" s="178">
        <v>8105.89</v>
      </c>
      <c r="I24" s="178">
        <v>8105.89</v>
      </c>
      <c r="J24" s="113">
        <v>8105.89</v>
      </c>
      <c r="K24" s="113">
        <v>8105.89</v>
      </c>
      <c r="L24" s="113">
        <v>8105.89</v>
      </c>
      <c r="M24" s="113">
        <v>8105.89</v>
      </c>
      <c r="N24" s="113">
        <v>8105.89</v>
      </c>
      <c r="O24" s="113">
        <v>0</v>
      </c>
      <c r="P24" s="17">
        <f t="shared" si="0"/>
        <v>92950.13</v>
      </c>
      <c r="Q24" s="17"/>
    </row>
    <row r="25" spans="1:17">
      <c r="A25" s="77">
        <f t="shared" si="1"/>
        <v>14</v>
      </c>
      <c r="B25" s="175">
        <v>9250</v>
      </c>
      <c r="C25" s="154" t="s">
        <v>306</v>
      </c>
      <c r="D25" s="178">
        <v>0</v>
      </c>
      <c r="E25" s="178">
        <v>0</v>
      </c>
      <c r="F25" s="178">
        <v>0</v>
      </c>
      <c r="G25" s="178">
        <v>17.690000000000001</v>
      </c>
      <c r="H25" s="178">
        <v>17.28</v>
      </c>
      <c r="I25" s="178">
        <v>17.28</v>
      </c>
      <c r="J25" s="113">
        <v>17.28</v>
      </c>
      <c r="K25" s="113">
        <v>17.28</v>
      </c>
      <c r="L25" s="113">
        <v>17.28</v>
      </c>
      <c r="M25" s="113">
        <v>17.28</v>
      </c>
      <c r="N25" s="113">
        <v>17.28</v>
      </c>
      <c r="O25" s="113">
        <v>0</v>
      </c>
      <c r="P25" s="17">
        <f t="shared" si="0"/>
        <v>138.65</v>
      </c>
      <c r="Q25" s="17"/>
    </row>
    <row r="26" spans="1:17">
      <c r="A26" s="77">
        <f t="shared" si="1"/>
        <v>15</v>
      </c>
      <c r="B26" s="175">
        <v>9260</v>
      </c>
      <c r="C26" s="17" t="s">
        <v>307</v>
      </c>
      <c r="D26" s="178">
        <v>801817.73</v>
      </c>
      <c r="E26" s="178">
        <v>713976.82</v>
      </c>
      <c r="F26" s="178">
        <v>858462.23</v>
      </c>
      <c r="G26" s="178">
        <v>672241.46000000008</v>
      </c>
      <c r="H26" s="178">
        <v>835509.42000000027</v>
      </c>
      <c r="I26" s="178">
        <v>734230.03000000014</v>
      </c>
      <c r="J26" s="113">
        <v>769191.33</v>
      </c>
      <c r="K26" s="113">
        <v>737854.64000000013</v>
      </c>
      <c r="L26" s="113">
        <v>690587.70999999985</v>
      </c>
      <c r="M26" s="113">
        <v>751646.30999999982</v>
      </c>
      <c r="N26" s="113">
        <v>743453.63000000024</v>
      </c>
      <c r="O26" s="113">
        <v>850375.73900060658</v>
      </c>
      <c r="P26" s="17">
        <f>SUM(D26:O26)</f>
        <v>9159347.0490006059</v>
      </c>
      <c r="Q26" s="17"/>
    </row>
    <row r="27" spans="1:17">
      <c r="A27" s="77">
        <f t="shared" si="1"/>
        <v>16</v>
      </c>
      <c r="B27" s="175">
        <v>9310</v>
      </c>
      <c r="C27" s="17" t="s">
        <v>199</v>
      </c>
      <c r="D27" s="178">
        <v>153533.72000000003</v>
      </c>
      <c r="E27" s="178">
        <v>154542.82</v>
      </c>
      <c r="F27" s="178">
        <v>153235.66</v>
      </c>
      <c r="G27" s="178">
        <v>153107.31</v>
      </c>
      <c r="H27" s="178">
        <v>153617.66</v>
      </c>
      <c r="I27" s="178">
        <v>154426.03</v>
      </c>
      <c r="J27" s="113">
        <v>154492.58000000002</v>
      </c>
      <c r="K27" s="113">
        <v>154594.59</v>
      </c>
      <c r="L27" s="113">
        <v>154588.67000000001</v>
      </c>
      <c r="M27" s="113">
        <v>131437.94</v>
      </c>
      <c r="N27" s="113">
        <v>125022.39000000001</v>
      </c>
      <c r="O27" s="113">
        <v>140991.97614756582</v>
      </c>
      <c r="P27" s="17">
        <f>SUM(D27:O27)</f>
        <v>1783591.3461475659</v>
      </c>
      <c r="Q27" s="17"/>
    </row>
    <row r="28" spans="1:17">
      <c r="A28" s="77">
        <f t="shared" si="1"/>
        <v>17</v>
      </c>
      <c r="B28" s="175">
        <v>9320</v>
      </c>
      <c r="C28" s="17" t="s">
        <v>311</v>
      </c>
      <c r="D28" s="178">
        <v>642.48</v>
      </c>
      <c r="E28" s="178">
        <v>3738.4300000000003</v>
      </c>
      <c r="F28" s="178">
        <v>983.61000000000013</v>
      </c>
      <c r="G28" s="178">
        <v>323.14</v>
      </c>
      <c r="H28" s="178">
        <v>5.41</v>
      </c>
      <c r="I28" s="178">
        <v>0</v>
      </c>
      <c r="J28" s="113">
        <v>1245.18</v>
      </c>
      <c r="K28" s="113">
        <v>1110.8899999999999</v>
      </c>
      <c r="L28" s="113"/>
      <c r="M28" s="113">
        <v>2432.5700000000002</v>
      </c>
      <c r="N28" s="113">
        <v>1872.65</v>
      </c>
      <c r="O28" s="113">
        <v>8.3675368620837762</v>
      </c>
      <c r="P28" s="17">
        <f>SUM(D28:O28)</f>
        <v>12362.727536862085</v>
      </c>
      <c r="Q28" s="17"/>
    </row>
    <row r="29" spans="1:17">
      <c r="A29" s="77">
        <f t="shared" si="1"/>
        <v>18</v>
      </c>
      <c r="B29" s="17"/>
      <c r="C29" s="21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7"/>
      <c r="Q29" s="17"/>
    </row>
    <row r="30" spans="1:17" ht="15.75" thickBot="1">
      <c r="A30" s="77">
        <f t="shared" si="1"/>
        <v>19</v>
      </c>
      <c r="B30" s="17" t="s">
        <v>312</v>
      </c>
      <c r="C30" s="211"/>
      <c r="D30" s="212">
        <f>SUM(D12:D28)</f>
        <v>-1.9999997613467713E-2</v>
      </c>
      <c r="E30" s="212">
        <f t="shared" ref="E30:P30" si="3">SUM(E12:E29)</f>
        <v>1.2369127944111824E-10</v>
      </c>
      <c r="F30" s="212">
        <f t="shared" si="3"/>
        <v>9.9999998778912413E-3</v>
      </c>
      <c r="G30" s="212">
        <f t="shared" si="3"/>
        <v>-85064.77000000079</v>
      </c>
      <c r="H30" s="212">
        <f t="shared" si="3"/>
        <v>-96457.400000001246</v>
      </c>
      <c r="I30" s="212">
        <f t="shared" si="3"/>
        <v>5.9999997465638444E-2</v>
      </c>
      <c r="J30" s="212">
        <f t="shared" si="3"/>
        <v>-9.9999983724501362E-3</v>
      </c>
      <c r="K30" s="212">
        <f t="shared" si="3"/>
        <v>1.0000000839227141E-2</v>
      </c>
      <c r="L30" s="212">
        <f t="shared" si="3"/>
        <v>1.9999999640276656E-2</v>
      </c>
      <c r="M30" s="212">
        <f t="shared" si="3"/>
        <v>-1.0000001063872332E-2</v>
      </c>
      <c r="N30" s="212">
        <f t="shared" si="3"/>
        <v>9.9999994040445017E-3</v>
      </c>
      <c r="O30" s="212">
        <f t="shared" si="3"/>
        <v>-5.9880989056182443E-12</v>
      </c>
      <c r="P30" s="212">
        <f t="shared" si="3"/>
        <v>-181522.09999998653</v>
      </c>
      <c r="Q30" s="222"/>
    </row>
    <row r="31" spans="1:17" ht="15.75" thickTop="1">
      <c r="A31" s="77">
        <f t="shared" si="1"/>
        <v>20</v>
      </c>
      <c r="B31" s="17"/>
      <c r="C31" s="21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77">
        <f t="shared" si="1"/>
        <v>21</v>
      </c>
      <c r="B32" s="175">
        <f>B22</f>
        <v>9220</v>
      </c>
      <c r="C32" s="223" t="str">
        <f>C22</f>
        <v>A&amp;G-Administrative expense transferred-Credit</v>
      </c>
      <c r="D32" s="213">
        <f>D22</f>
        <v>-4104410.0699999975</v>
      </c>
      <c r="E32" s="213">
        <f t="shared" ref="E32:I32" si="4">E22</f>
        <v>-3692373.38</v>
      </c>
      <c r="F32" s="213">
        <f t="shared" si="4"/>
        <v>-4255879.66</v>
      </c>
      <c r="G32" s="213">
        <f t="shared" si="4"/>
        <v>-3697685.17</v>
      </c>
      <c r="H32" s="213">
        <f t="shared" si="4"/>
        <v>-4192143.9400000009</v>
      </c>
      <c r="I32" s="213">
        <f t="shared" si="4"/>
        <v>-4117575.1800000025</v>
      </c>
      <c r="J32" s="213">
        <f t="shared" ref="J32:K32" si="5">-(J30-J22)</f>
        <v>-3577514.81</v>
      </c>
      <c r="K32" s="213">
        <f t="shared" si="5"/>
        <v>-3840097.12</v>
      </c>
      <c r="L32" s="224">
        <f>L22</f>
        <v>-3965147.8299999996</v>
      </c>
      <c r="M32" s="224">
        <f>M22</f>
        <v>-3797622.8700000006</v>
      </c>
      <c r="N32" s="224">
        <f>N22</f>
        <v>-3764583.4300000006</v>
      </c>
      <c r="O32" s="224">
        <f>O22</f>
        <v>-3760952.8256000006</v>
      </c>
      <c r="P32" s="17">
        <f t="shared" ref="P32" si="6">SUM(D32:O32)</f>
        <v>-46765986.285599999</v>
      </c>
      <c r="Q32" s="17"/>
    </row>
    <row r="33" spans="1:17">
      <c r="A33" s="77">
        <f t="shared" si="1"/>
        <v>22</v>
      </c>
      <c r="B33" s="17"/>
      <c r="C33" s="214" t="s">
        <v>317</v>
      </c>
      <c r="D33" s="215">
        <f>D34/D32</f>
        <v>4.7357553627676421E-2</v>
      </c>
      <c r="E33" s="215">
        <f t="shared" ref="E33:N33" si="7">E34/E32</f>
        <v>4.5989533702033139E-2</v>
      </c>
      <c r="F33" s="215">
        <f t="shared" si="7"/>
        <v>4.6503060662199266E-2</v>
      </c>
      <c r="G33" s="215">
        <f t="shared" si="7"/>
        <v>4.6696233470844679E-2</v>
      </c>
      <c r="H33" s="215">
        <f t="shared" si="7"/>
        <v>4.7647505156991336E-2</v>
      </c>
      <c r="I33" s="215">
        <f t="shared" si="7"/>
        <v>4.4969269996425393E-2</v>
      </c>
      <c r="J33" s="215">
        <f t="shared" si="7"/>
        <v>4.7193691421783382E-2</v>
      </c>
      <c r="K33" s="215">
        <f t="shared" si="7"/>
        <v>4.5929937313668776E-2</v>
      </c>
      <c r="L33" s="215">
        <f t="shared" si="7"/>
        <v>4.4502845181436781E-2</v>
      </c>
      <c r="M33" s="215">
        <f t="shared" si="7"/>
        <v>4.5208051425074752E-2</v>
      </c>
      <c r="N33" s="215">
        <f t="shared" si="7"/>
        <v>4.5254409463306798E-2</v>
      </c>
      <c r="O33" s="215">
        <v>5.67090596975168E-2</v>
      </c>
      <c r="P33" s="215">
        <f t="shared" ref="P33" si="8">P34/P32</f>
        <v>4.6971605065515017E-2</v>
      </c>
      <c r="Q33" s="17"/>
    </row>
    <row r="34" spans="1:17">
      <c r="A34" s="77">
        <f t="shared" si="1"/>
        <v>23</v>
      </c>
      <c r="B34" s="17"/>
      <c r="C34" s="17" t="s">
        <v>318</v>
      </c>
      <c r="D34" s="17">
        <v>-194374.82</v>
      </c>
      <c r="E34" s="17">
        <v>-169810.53</v>
      </c>
      <c r="F34" s="17">
        <v>-197911.43</v>
      </c>
      <c r="G34" s="17">
        <v>-172667.97</v>
      </c>
      <c r="H34" s="17">
        <v>-199745.2</v>
      </c>
      <c r="I34" s="17">
        <v>-185164.35</v>
      </c>
      <c r="J34" s="17">
        <v>-168836.13</v>
      </c>
      <c r="K34" s="17">
        <v>-176375.42</v>
      </c>
      <c r="L34" s="17">
        <v>-176460.36</v>
      </c>
      <c r="M34" s="17">
        <v>-171683.13</v>
      </c>
      <c r="N34" s="17">
        <v>-170364</v>
      </c>
      <c r="O34" s="17">
        <f t="shared" ref="O34" si="9">O32*O33</f>
        <v>-213280.09830649491</v>
      </c>
      <c r="P34" s="17">
        <f>SUM(D34:O34)</f>
        <v>-2196673.4383064946</v>
      </c>
      <c r="Q34" s="17"/>
    </row>
    <row r="35" spans="1:17">
      <c r="A35" s="77">
        <f t="shared" si="1"/>
        <v>24</v>
      </c>
      <c r="B35" s="17"/>
      <c r="C35" s="21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53"/>
      <c r="P35" s="225"/>
      <c r="Q35" s="17"/>
    </row>
    <row r="36" spans="1:17">
      <c r="A36" s="17"/>
      <c r="B36" s="17"/>
      <c r="C36" s="21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53"/>
      <c r="P36" s="153"/>
      <c r="Q36" s="17"/>
    </row>
    <row r="37" spans="1:17">
      <c r="A37" s="17"/>
      <c r="B37" s="17" t="s">
        <v>319</v>
      </c>
      <c r="C37" s="211"/>
      <c r="D37" s="222"/>
      <c r="E37" s="222"/>
      <c r="F37" s="222"/>
      <c r="G37" s="222"/>
      <c r="H37" s="222"/>
      <c r="I37" s="222"/>
      <c r="J37" s="17"/>
      <c r="K37" s="17"/>
      <c r="L37" s="17"/>
      <c r="M37" s="17"/>
      <c r="N37" s="17"/>
      <c r="O37" s="17"/>
      <c r="P37" s="222"/>
      <c r="Q37" s="17"/>
    </row>
    <row r="38" spans="1:17">
      <c r="A38" s="17"/>
      <c r="B38" s="17"/>
      <c r="C38" s="17"/>
      <c r="D38" s="153"/>
      <c r="E38" s="153"/>
      <c r="F38" s="153"/>
      <c r="G38" s="153"/>
      <c r="H38" s="153"/>
      <c r="I38" s="153"/>
      <c r="J38" s="17"/>
      <c r="K38" s="153"/>
      <c r="L38" s="153"/>
      <c r="M38" s="153"/>
      <c r="N38" s="153"/>
      <c r="O38" s="153"/>
      <c r="P38" s="153"/>
      <c r="Q38" s="153"/>
    </row>
    <row r="39" spans="1:17">
      <c r="A39" s="17"/>
      <c r="B39" s="17"/>
      <c r="C39" s="1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8"/>
      <c r="Q39" s="153"/>
    </row>
    <row r="40" spans="1:17">
      <c r="A40" s="17"/>
      <c r="B40" s="17"/>
      <c r="C40" s="1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16"/>
      <c r="Q41" s="17"/>
    </row>
    <row r="42" spans="1:17">
      <c r="A42" s="17"/>
      <c r="B42" s="17"/>
      <c r="C42" s="17"/>
      <c r="D42" s="2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53"/>
      <c r="P43" s="153"/>
      <c r="Q43" s="17"/>
    </row>
    <row r="44" spans="1:17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53"/>
      <c r="P44" s="153"/>
      <c r="Q44" s="17"/>
    </row>
    <row r="45" spans="1:17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3"/>
      <c r="P45" s="153"/>
      <c r="Q45" s="17"/>
    </row>
    <row r="46" spans="1:17">
      <c r="A46" s="17"/>
      <c r="B46" s="17"/>
      <c r="C46" s="15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>
      <c r="A50" s="17"/>
    </row>
    <row r="52" spans="1:17">
      <c r="C52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7" fitToHeight="2" orientation="landscape" verticalDpi="300" r:id="rId1"/>
  <headerFooter alignWithMargins="0">
    <oddHeader>&amp;R&amp;11CASE NO. 2017-00349
ATTACHMENT 1
TO STAFF DR NO. 1-46
(SUPPLEMENT 01-03-18)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5"/>
  <sheetViews>
    <sheetView view="pageBreakPreview" zoomScale="60" zoomScaleNormal="70" workbookViewId="0">
      <pane xSplit="3" ySplit="11" topLeftCell="D12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D12" sqref="D12"/>
    </sheetView>
  </sheetViews>
  <sheetFormatPr defaultColWidth="7.109375" defaultRowHeight="15"/>
  <cols>
    <col min="1" max="1" width="6.21875" style="154" customWidth="1"/>
    <col min="2" max="2" width="7.21875" style="154" customWidth="1"/>
    <col min="3" max="3" width="38.88671875" style="154" customWidth="1"/>
    <col min="4" max="5" width="11.109375" style="154" customWidth="1"/>
    <col min="6" max="6" width="11.77734375" style="154" bestFit="1" customWidth="1"/>
    <col min="7" max="7" width="11.33203125" style="154" bestFit="1" customWidth="1"/>
    <col min="8" max="8" width="11.109375" style="154" customWidth="1"/>
    <col min="9" max="9" width="12" style="154" bestFit="1" customWidth="1"/>
    <col min="10" max="13" width="11.33203125" style="154" bestFit="1" customWidth="1"/>
    <col min="14" max="14" width="12.44140625" style="154" customWidth="1"/>
    <col min="15" max="15" width="10.5546875" style="154" bestFit="1" customWidth="1"/>
    <col min="16" max="16" width="12.44140625" style="154" customWidth="1"/>
    <col min="17" max="17" width="12.5546875" style="154" customWidth="1"/>
    <col min="18" max="16384" width="7.109375" style="154"/>
  </cols>
  <sheetData>
    <row r="1" spans="1:18">
      <c r="A1" s="269" t="s">
        <v>353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7"/>
      <c r="R1" s="17"/>
    </row>
    <row r="2" spans="1:18">
      <c r="A2" s="269" t="s">
        <v>354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7"/>
      <c r="R2" s="17"/>
    </row>
    <row r="3" spans="1:18" ht="15.75">
      <c r="A3" s="269" t="s">
        <v>321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17"/>
      <c r="R3" s="17"/>
    </row>
    <row r="4" spans="1:18">
      <c r="A4" s="269" t="s">
        <v>356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7"/>
      <c r="R4" s="17"/>
    </row>
    <row r="5" spans="1:18">
      <c r="A5" s="17"/>
      <c r="B5" s="202"/>
      <c r="C5" s="202"/>
      <c r="D5" s="202"/>
      <c r="E5" s="202"/>
      <c r="F5" s="202"/>
      <c r="G5" s="203"/>
      <c r="H5" s="202"/>
      <c r="I5" s="202"/>
      <c r="J5" s="202"/>
      <c r="K5" s="202"/>
      <c r="L5" s="202"/>
      <c r="M5" s="202"/>
      <c r="N5" s="202"/>
      <c r="O5" s="202"/>
      <c r="P5" s="17"/>
      <c r="Q5" s="17"/>
      <c r="R5" s="17"/>
    </row>
    <row r="6" spans="1:18" ht="15.75">
      <c r="A6" s="156" t="str">
        <f>'C.2.2 B 09'!A6</f>
        <v>Data:___X____Base Period________Forecasted Period</v>
      </c>
      <c r="B6" s="17"/>
      <c r="C6" s="156"/>
      <c r="D6" s="17"/>
      <c r="E6" s="17"/>
      <c r="F6" s="204"/>
      <c r="G6" s="17"/>
      <c r="H6" s="17"/>
      <c r="I6" s="17"/>
      <c r="J6" s="17"/>
      <c r="K6" s="17"/>
      <c r="L6" s="17"/>
      <c r="M6" s="17"/>
      <c r="N6" s="17"/>
      <c r="O6" s="17"/>
      <c r="P6" s="157" t="s">
        <v>213</v>
      </c>
      <c r="Q6" s="17"/>
      <c r="R6" s="17"/>
    </row>
    <row r="7" spans="1:18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9" t="s">
        <v>214</v>
      </c>
      <c r="Q7" s="17"/>
      <c r="R7" s="17"/>
    </row>
    <row r="8" spans="1:18">
      <c r="A8" s="160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63" t="str">
        <f>C.1!J9</f>
        <v>Witness: Waller, Martin</v>
      </c>
      <c r="Q8" s="17"/>
      <c r="R8" s="17"/>
    </row>
    <row r="9" spans="1:18">
      <c r="A9" s="164" t="s">
        <v>9</v>
      </c>
      <c r="B9" s="165" t="s">
        <v>215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7" t="str">
        <f>'C.2.2 B 09'!I9</f>
        <v>actual</v>
      </c>
      <c r="J9" s="207" t="s">
        <v>216</v>
      </c>
      <c r="K9" s="207" t="s">
        <v>216</v>
      </c>
      <c r="L9" s="207" t="s">
        <v>216</v>
      </c>
      <c r="M9" s="207" t="str">
        <f>'C.2.2 B 09'!M9</f>
        <v>actual</v>
      </c>
      <c r="N9" s="207" t="str">
        <f>'C.2.2 B 09'!N9</f>
        <v>actual</v>
      </c>
      <c r="O9" s="207" t="str">
        <f>'C.2.2 B 09'!O9</f>
        <v>Budgeted</v>
      </c>
      <c r="P9" s="208"/>
      <c r="Q9" s="77"/>
      <c r="R9" s="77"/>
    </row>
    <row r="10" spans="1:18">
      <c r="A10" s="169" t="s">
        <v>12</v>
      </c>
      <c r="B10" s="170" t="s">
        <v>12</v>
      </c>
      <c r="C10" s="171" t="s">
        <v>218</v>
      </c>
      <c r="D10" s="209">
        <f>'C.2.2 B 09'!D10</f>
        <v>42736</v>
      </c>
      <c r="E10" s="209">
        <f>'C.2.2 B 09'!E10</f>
        <v>42767</v>
      </c>
      <c r="F10" s="209">
        <f>'C.2.2 B 09'!F10</f>
        <v>42795</v>
      </c>
      <c r="G10" s="209">
        <f>'C.2.2 B 09'!G10</f>
        <v>42826</v>
      </c>
      <c r="H10" s="209">
        <f>'C.2.2 B 09'!H10</f>
        <v>42856</v>
      </c>
      <c r="I10" s="209">
        <f>'C.2.2 B 09'!I10</f>
        <v>42887</v>
      </c>
      <c r="J10" s="209">
        <f>'C.2.2 B 09'!J10</f>
        <v>42917</v>
      </c>
      <c r="K10" s="209">
        <f>'C.2.2 B 09'!K10</f>
        <v>42948</v>
      </c>
      <c r="L10" s="209">
        <f>'C.2.2 B 09'!L10</f>
        <v>42979</v>
      </c>
      <c r="M10" s="209">
        <f>'C.2.2 B 09'!M10</f>
        <v>43009</v>
      </c>
      <c r="N10" s="209">
        <f>'C.2.2 B 09'!N10</f>
        <v>43040</v>
      </c>
      <c r="O10" s="209">
        <f>'C.2.2 B 09'!O10</f>
        <v>43070</v>
      </c>
      <c r="P10" s="209" t="str">
        <f>'C.2.2 B 09'!P10</f>
        <v>Total</v>
      </c>
      <c r="Q10" s="221"/>
      <c r="R10" s="77"/>
    </row>
    <row r="11" spans="1:18">
      <c r="A11" s="17"/>
      <c r="B11" s="17"/>
      <c r="C11" s="17"/>
      <c r="D11" s="64" t="s">
        <v>220</v>
      </c>
      <c r="E11" s="64" t="s">
        <v>220</v>
      </c>
      <c r="F11" s="64" t="s">
        <v>220</v>
      </c>
      <c r="G11" s="64" t="s">
        <v>220</v>
      </c>
      <c r="H11" s="64" t="s">
        <v>220</v>
      </c>
      <c r="I11" s="64" t="s">
        <v>220</v>
      </c>
      <c r="J11" s="64" t="s">
        <v>220</v>
      </c>
      <c r="K11" s="64" t="s">
        <v>220</v>
      </c>
      <c r="L11" s="64" t="s">
        <v>220</v>
      </c>
      <c r="M11" s="64" t="s">
        <v>220</v>
      </c>
      <c r="N11" s="64" t="s">
        <v>220</v>
      </c>
      <c r="O11" s="64" t="s">
        <v>220</v>
      </c>
      <c r="P11" s="64" t="s">
        <v>220</v>
      </c>
      <c r="Q11" s="64"/>
      <c r="R11" s="17"/>
    </row>
    <row r="12" spans="1:18">
      <c r="A12" s="17"/>
      <c r="B12" s="175" t="s">
        <v>208</v>
      </c>
      <c r="C12" s="176" t="s">
        <v>221</v>
      </c>
      <c r="D12" s="178">
        <v>5426768.3300000001</v>
      </c>
      <c r="E12" s="178">
        <v>3782311.2399999998</v>
      </c>
      <c r="F12" s="178">
        <v>2891979.9100000006</v>
      </c>
      <c r="G12" s="178">
        <v>1810941.75</v>
      </c>
      <c r="H12" s="178">
        <v>761290.12</v>
      </c>
      <c r="I12" s="178">
        <v>1666564.2499999998</v>
      </c>
      <c r="J12" s="178"/>
      <c r="K12" s="113"/>
      <c r="L12" s="113"/>
      <c r="M12" s="113"/>
      <c r="N12" s="113"/>
      <c r="O12" s="113"/>
      <c r="P12" s="17">
        <f t="shared" ref="P12:P15" si="0">SUM(D12:O12)</f>
        <v>16339855.6</v>
      </c>
      <c r="Q12" s="64"/>
      <c r="R12" s="17"/>
    </row>
    <row r="13" spans="1:18">
      <c r="A13" s="17"/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7">
        <f t="shared" si="0"/>
        <v>0</v>
      </c>
      <c r="Q13" s="64"/>
      <c r="R13" s="17"/>
    </row>
    <row r="14" spans="1:18">
      <c r="A14" s="77">
        <v>1</v>
      </c>
      <c r="B14" s="175">
        <v>4030</v>
      </c>
      <c r="C14" s="17" t="s">
        <v>59</v>
      </c>
      <c r="D14" s="178">
        <v>-9.0949470177292824E-13</v>
      </c>
      <c r="E14" s="178">
        <v>1.4210854715202004E-13</v>
      </c>
      <c r="F14" s="178">
        <v>0</v>
      </c>
      <c r="G14" s="178">
        <v>-1.7053025658242404E-13</v>
      </c>
      <c r="H14" s="178">
        <v>-3.1263880373444408E-13</v>
      </c>
      <c r="I14" s="178">
        <v>-4.1211478674085811E-13</v>
      </c>
      <c r="J14" s="113">
        <v>0</v>
      </c>
      <c r="K14" s="113">
        <v>0</v>
      </c>
      <c r="L14" s="113">
        <v>0</v>
      </c>
      <c r="M14" s="113">
        <v>0</v>
      </c>
      <c r="N14" s="113">
        <v>-1.7053025658242404E-13</v>
      </c>
      <c r="O14" s="113">
        <v>0</v>
      </c>
      <c r="P14" s="17">
        <f t="shared" si="0"/>
        <v>-1.8332002582610585E-12</v>
      </c>
      <c r="Q14" s="158"/>
      <c r="R14" s="17"/>
    </row>
    <row r="15" spans="1:18">
      <c r="A15" s="77">
        <f>A14+1</f>
        <v>2</v>
      </c>
      <c r="B15" s="175" t="s">
        <v>322</v>
      </c>
      <c r="C15" s="17" t="s">
        <v>223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/>
      <c r="P15" s="17">
        <f t="shared" si="0"/>
        <v>0</v>
      </c>
      <c r="Q15" s="158"/>
      <c r="R15" s="17"/>
    </row>
    <row r="16" spans="1:18">
      <c r="A16" s="77">
        <f t="shared" ref="A16:A57" si="1">A15+1</f>
        <v>3</v>
      </c>
      <c r="B16" s="175">
        <v>4081</v>
      </c>
      <c r="C16" s="17" t="s">
        <v>224</v>
      </c>
      <c r="D16" s="178">
        <v>-1.000000002568413E-2</v>
      </c>
      <c r="E16" s="178">
        <v>1.9999999990268691E-2</v>
      </c>
      <c r="F16" s="178">
        <v>-5.9117155615240335E-12</v>
      </c>
      <c r="G16" s="178">
        <v>240932.20000000007</v>
      </c>
      <c r="H16" s="178">
        <v>-240932.21</v>
      </c>
      <c r="I16" s="178">
        <v>-2.9786034749790247E-12</v>
      </c>
      <c r="J16" s="113">
        <v>0</v>
      </c>
      <c r="K16" s="113">
        <v>0</v>
      </c>
      <c r="L16" s="113">
        <v>0</v>
      </c>
      <c r="M16" s="113">
        <v>9.9999999879559626E-3</v>
      </c>
      <c r="N16" s="113">
        <v>-9.9999999856663635E-3</v>
      </c>
      <c r="O16" s="113">
        <v>0</v>
      </c>
      <c r="P16" s="17">
        <f t="shared" ref="P16:P51" si="2">SUM(D16:O16)</f>
        <v>2.8414826047651331E-11</v>
      </c>
      <c r="Q16" s="17"/>
      <c r="R16" s="17"/>
    </row>
    <row r="17" spans="1:18">
      <c r="A17" s="77">
        <f t="shared" si="1"/>
        <v>4</v>
      </c>
      <c r="B17" s="175">
        <v>8170</v>
      </c>
      <c r="C17" s="17" t="s">
        <v>253</v>
      </c>
      <c r="D17" s="178">
        <v>38.979999999999997</v>
      </c>
      <c r="E17" s="178">
        <v>41.37</v>
      </c>
      <c r="F17" s="178">
        <v>41.85</v>
      </c>
      <c r="G17" s="178">
        <v>39.78</v>
      </c>
      <c r="H17" s="178">
        <v>40.81</v>
      </c>
      <c r="I17" s="178">
        <v>46.65</v>
      </c>
      <c r="J17" s="113">
        <v>-3.95</v>
      </c>
      <c r="K17" s="113">
        <v>45.13</v>
      </c>
      <c r="L17" s="113"/>
      <c r="M17" s="113">
        <v>47.79</v>
      </c>
      <c r="N17" s="113">
        <v>145.16999999999999</v>
      </c>
      <c r="O17" s="113">
        <v>40.995310145974692</v>
      </c>
      <c r="P17" s="17">
        <f t="shared" si="2"/>
        <v>524.57531014597475</v>
      </c>
      <c r="Q17" s="17"/>
      <c r="R17" s="17"/>
    </row>
    <row r="18" spans="1:18">
      <c r="A18" s="77">
        <f t="shared" si="1"/>
        <v>5</v>
      </c>
      <c r="B18" s="175">
        <v>8180</v>
      </c>
      <c r="C18" s="17" t="s">
        <v>254</v>
      </c>
      <c r="D18" s="178">
        <v>40.56</v>
      </c>
      <c r="E18" s="178">
        <v>43.050000000000011</v>
      </c>
      <c r="F18" s="178">
        <v>43.849999999999994</v>
      </c>
      <c r="G18" s="178">
        <v>41.389999999999986</v>
      </c>
      <c r="H18" s="178">
        <v>42.460000000000036</v>
      </c>
      <c r="I18" s="178">
        <v>48.539999999999964</v>
      </c>
      <c r="J18" s="113">
        <v>-4.1099999999999994</v>
      </c>
      <c r="K18" s="113">
        <v>46.96999999999997</v>
      </c>
      <c r="L18" s="113"/>
      <c r="M18" s="113">
        <v>49.69</v>
      </c>
      <c r="N18" s="113">
        <v>100.12</v>
      </c>
      <c r="O18" s="113">
        <v>42.706187225110341</v>
      </c>
      <c r="P18" s="17">
        <f t="shared" si="2"/>
        <v>495.22618722511032</v>
      </c>
      <c r="Q18" s="17"/>
      <c r="R18" s="17"/>
    </row>
    <row r="19" spans="1:18">
      <c r="A19" s="77">
        <f t="shared" si="1"/>
        <v>6</v>
      </c>
      <c r="B19" s="175">
        <v>8190</v>
      </c>
      <c r="C19" s="17" t="s">
        <v>255</v>
      </c>
      <c r="D19" s="178">
        <v>128.16</v>
      </c>
      <c r="E19" s="178">
        <v>845.37</v>
      </c>
      <c r="F19" s="178">
        <v>139.44999999999999</v>
      </c>
      <c r="G19" s="178">
        <v>9.6199999999999992</v>
      </c>
      <c r="H19" s="178">
        <v>12.11</v>
      </c>
      <c r="I19" s="178">
        <v>1762.6</v>
      </c>
      <c r="J19" s="113">
        <v>714.45</v>
      </c>
      <c r="K19" s="113">
        <v>8.84</v>
      </c>
      <c r="L19" s="113">
        <v>233.07</v>
      </c>
      <c r="M19" s="113">
        <v>2831.94</v>
      </c>
      <c r="N19" s="113">
        <v>186.06</v>
      </c>
      <c r="O19" s="113">
        <v>476.17111144577422</v>
      </c>
      <c r="P19" s="17">
        <f t="shared" si="2"/>
        <v>7347.841111445774</v>
      </c>
      <c r="Q19" s="17"/>
      <c r="R19" s="17"/>
    </row>
    <row r="20" spans="1:18">
      <c r="A20" s="77">
        <f t="shared" si="1"/>
        <v>7</v>
      </c>
      <c r="B20" s="175">
        <v>8210</v>
      </c>
      <c r="C20" s="17" t="s">
        <v>257</v>
      </c>
      <c r="D20" s="178">
        <v>541.9799999999999</v>
      </c>
      <c r="E20" s="178">
        <v>411.51</v>
      </c>
      <c r="F20" s="178">
        <v>340.43</v>
      </c>
      <c r="G20" s="178">
        <v>175.55</v>
      </c>
      <c r="H20" s="178">
        <v>119.37</v>
      </c>
      <c r="I20" s="178">
        <v>128.78</v>
      </c>
      <c r="J20" s="113">
        <v>151.13</v>
      </c>
      <c r="K20" s="113">
        <v>203.14000000000001</v>
      </c>
      <c r="L20" s="113">
        <v>162.45000000000002</v>
      </c>
      <c r="M20" s="113">
        <v>162.07</v>
      </c>
      <c r="N20" s="113">
        <v>200.76</v>
      </c>
      <c r="O20" s="113">
        <v>282.28978757588612</v>
      </c>
      <c r="P20" s="17">
        <f t="shared" si="2"/>
        <v>2879.4597875758855</v>
      </c>
      <c r="Q20" s="17"/>
      <c r="R20" s="17"/>
    </row>
    <row r="21" spans="1:18">
      <c r="A21" s="77">
        <f t="shared" si="1"/>
        <v>8</v>
      </c>
      <c r="B21" s="175">
        <v>8240</v>
      </c>
      <c r="C21" s="17" t="s">
        <v>258</v>
      </c>
      <c r="D21" s="178">
        <f>0</f>
        <v>0</v>
      </c>
      <c r="E21" s="178">
        <f>0</f>
        <v>0</v>
      </c>
      <c r="F21" s="178">
        <f>0</f>
        <v>0</v>
      </c>
      <c r="G21" s="178">
        <f>0</f>
        <v>0</v>
      </c>
      <c r="H21" s="178">
        <f>0</f>
        <v>0</v>
      </c>
      <c r="I21" s="178">
        <f>0</f>
        <v>0</v>
      </c>
      <c r="J21" s="113"/>
      <c r="K21" s="113"/>
      <c r="L21" s="113"/>
      <c r="M21" s="113">
        <v>0</v>
      </c>
      <c r="N21" s="113">
        <v>11.34</v>
      </c>
      <c r="O21" s="113">
        <v>0</v>
      </c>
      <c r="P21" s="17">
        <f t="shared" si="2"/>
        <v>11.34</v>
      </c>
      <c r="Q21" s="17"/>
      <c r="R21" s="17"/>
    </row>
    <row r="22" spans="1:18">
      <c r="A22" s="77">
        <f t="shared" si="1"/>
        <v>9</v>
      </c>
      <c r="B22" s="175">
        <v>8250</v>
      </c>
      <c r="C22" s="17" t="s">
        <v>259</v>
      </c>
      <c r="D22" s="178">
        <v>2034.2600000000002</v>
      </c>
      <c r="E22" s="178">
        <v>-180.12</v>
      </c>
      <c r="F22" s="178">
        <v>1203.19</v>
      </c>
      <c r="G22" s="178">
        <v>2816.67</v>
      </c>
      <c r="H22" s="178">
        <v>1847.3300000000004</v>
      </c>
      <c r="I22" s="178">
        <v>708.87</v>
      </c>
      <c r="J22" s="113">
        <v>251.34</v>
      </c>
      <c r="K22" s="113">
        <v>395.22999999999996</v>
      </c>
      <c r="L22" s="113">
        <v>197.23000000000002</v>
      </c>
      <c r="M22" s="113">
        <v>1046.6899999999998</v>
      </c>
      <c r="N22" s="113">
        <v>765.35</v>
      </c>
      <c r="O22" s="113">
        <v>1385.4981702717923</v>
      </c>
      <c r="P22" s="17">
        <f t="shared" si="2"/>
        <v>12471.538170271793</v>
      </c>
      <c r="Q22" s="17"/>
      <c r="R22" s="17"/>
    </row>
    <row r="23" spans="1:18">
      <c r="A23" s="265">
        <f t="shared" si="1"/>
        <v>10</v>
      </c>
      <c r="B23" s="175">
        <v>8500</v>
      </c>
      <c r="C23" s="17" t="s">
        <v>140</v>
      </c>
      <c r="D23" s="178">
        <v>4.38</v>
      </c>
      <c r="E23" s="178">
        <v>29.66</v>
      </c>
      <c r="F23" s="178">
        <v>0</v>
      </c>
      <c r="G23" s="178">
        <v>0</v>
      </c>
      <c r="H23" s="178">
        <v>8377.74</v>
      </c>
      <c r="I23" s="178">
        <v>0</v>
      </c>
      <c r="J23" s="113"/>
      <c r="K23" s="113"/>
      <c r="L23" s="113"/>
      <c r="M23" s="113">
        <v>0</v>
      </c>
      <c r="N23" s="113">
        <v>0</v>
      </c>
      <c r="O23" s="113">
        <v>6987.1158933009101</v>
      </c>
      <c r="P23" s="17">
        <f t="shared" si="2"/>
        <v>15398.895893300911</v>
      </c>
      <c r="Q23" s="17"/>
      <c r="R23" s="17"/>
    </row>
    <row r="24" spans="1:18">
      <c r="A24" s="265">
        <f t="shared" si="1"/>
        <v>11</v>
      </c>
      <c r="B24" s="175">
        <v>8560</v>
      </c>
      <c r="C24" s="17" t="s">
        <v>266</v>
      </c>
      <c r="D24" s="178">
        <v>52.150000000000034</v>
      </c>
      <c r="E24" s="178">
        <v>55.350000000000023</v>
      </c>
      <c r="F24" s="178">
        <v>-5.5900000000000318</v>
      </c>
      <c r="G24" s="178">
        <v>115.19</v>
      </c>
      <c r="H24" s="178">
        <v>188.96999999999997</v>
      </c>
      <c r="I24" s="178">
        <v>62.399999999999977</v>
      </c>
      <c r="J24" s="113">
        <v>-5.2799999999999976</v>
      </c>
      <c r="K24" s="113">
        <v>60.379999999999995</v>
      </c>
      <c r="L24" s="113">
        <v>84.82</v>
      </c>
      <c r="M24" s="113">
        <v>63.889999999999986</v>
      </c>
      <c r="N24" s="113">
        <v>276.48</v>
      </c>
      <c r="O24" s="113">
        <v>65.919388769020557</v>
      </c>
      <c r="P24" s="17">
        <f t="shared" si="2"/>
        <v>1014.6793887690204</v>
      </c>
      <c r="Q24" s="17"/>
      <c r="R24" s="17"/>
    </row>
    <row r="25" spans="1:18">
      <c r="A25" s="265">
        <f t="shared" si="1"/>
        <v>12</v>
      </c>
      <c r="B25" s="175">
        <v>8570</v>
      </c>
      <c r="C25" s="17" t="s">
        <v>267</v>
      </c>
      <c r="D25" s="178">
        <v>77.97</v>
      </c>
      <c r="E25" s="178">
        <v>82.74</v>
      </c>
      <c r="F25" s="178">
        <v>83.69</v>
      </c>
      <c r="G25" s="178">
        <v>79.56</v>
      </c>
      <c r="H25" s="178">
        <v>81.62</v>
      </c>
      <c r="I25" s="178">
        <v>93.29</v>
      </c>
      <c r="J25" s="113">
        <v>-7.9</v>
      </c>
      <c r="K25" s="113">
        <v>90.25</v>
      </c>
      <c r="L25" s="113"/>
      <c r="M25" s="113">
        <v>95.57</v>
      </c>
      <c r="N25" s="113">
        <v>192.61</v>
      </c>
      <c r="O25" s="113">
        <v>81.988976798117363</v>
      </c>
      <c r="P25" s="17">
        <f t="shared" si="2"/>
        <v>951.38897679811737</v>
      </c>
      <c r="Q25" s="17"/>
      <c r="R25" s="226"/>
    </row>
    <row r="26" spans="1:18">
      <c r="A26" s="265">
        <f t="shared" si="1"/>
        <v>13</v>
      </c>
      <c r="B26" s="175">
        <v>8650</v>
      </c>
      <c r="C26" s="227" t="s">
        <v>323</v>
      </c>
      <c r="D26" s="178">
        <v>0</v>
      </c>
      <c r="E26" s="178">
        <v>0</v>
      </c>
      <c r="F26" s="178">
        <v>0</v>
      </c>
      <c r="G26" s="178">
        <v>5332.5</v>
      </c>
      <c r="H26" s="178">
        <v>0</v>
      </c>
      <c r="I26" s="178">
        <v>0</v>
      </c>
      <c r="J26" s="113"/>
      <c r="K26" s="113"/>
      <c r="L26" s="113"/>
      <c r="M26" s="113">
        <v>0</v>
      </c>
      <c r="N26" s="113">
        <v>0</v>
      </c>
      <c r="O26" s="113">
        <v>4449.1890820726312</v>
      </c>
      <c r="P26" s="17">
        <f t="shared" si="2"/>
        <v>9781.6890820726312</v>
      </c>
      <c r="Q26" s="17"/>
      <c r="R26" s="226"/>
    </row>
    <row r="27" spans="1:18">
      <c r="A27" s="265">
        <f t="shared" si="1"/>
        <v>14</v>
      </c>
      <c r="B27" s="175">
        <v>8700</v>
      </c>
      <c r="C27" s="17" t="s">
        <v>271</v>
      </c>
      <c r="D27" s="178">
        <v>284070.41000000009</v>
      </c>
      <c r="E27" s="178">
        <v>213573.84000000005</v>
      </c>
      <c r="F27" s="178">
        <v>232792.85000000003</v>
      </c>
      <c r="G27" s="178">
        <v>266021.45999999985</v>
      </c>
      <c r="H27" s="178">
        <v>223520.58</v>
      </c>
      <c r="I27" s="178">
        <v>229136.60999999993</v>
      </c>
      <c r="J27" s="113">
        <v>277331.64999999997</v>
      </c>
      <c r="K27" s="113">
        <v>285482.23999999993</v>
      </c>
      <c r="L27" s="113">
        <v>422989.64000000025</v>
      </c>
      <c r="M27" s="113">
        <v>206057.91000000003</v>
      </c>
      <c r="N27" s="113">
        <v>234087.13999999996</v>
      </c>
      <c r="O27" s="113">
        <v>263558.44228247023</v>
      </c>
      <c r="P27" s="17">
        <f t="shared" si="2"/>
        <v>3138622.7722824705</v>
      </c>
      <c r="Q27" s="17"/>
      <c r="R27" s="226"/>
    </row>
    <row r="28" spans="1:18">
      <c r="A28" s="265">
        <f t="shared" si="1"/>
        <v>15</v>
      </c>
      <c r="B28" s="175">
        <v>8711</v>
      </c>
      <c r="C28" s="17" t="s">
        <v>273</v>
      </c>
      <c r="D28" s="178">
        <v>11656.150000000001</v>
      </c>
      <c r="E28" s="178">
        <v>3070.17</v>
      </c>
      <c r="F28" s="178">
        <v>19229.599999999999</v>
      </c>
      <c r="G28" s="178">
        <v>4460.67</v>
      </c>
      <c r="H28" s="178">
        <v>0</v>
      </c>
      <c r="I28" s="178">
        <v>6557.9699999999993</v>
      </c>
      <c r="J28" s="113">
        <v>3085.09</v>
      </c>
      <c r="K28" s="113"/>
      <c r="L28" s="113">
        <v>21204</v>
      </c>
      <c r="M28" s="113">
        <v>0</v>
      </c>
      <c r="N28" s="113">
        <v>0</v>
      </c>
      <c r="O28" s="113">
        <v>3685.4852452222749</v>
      </c>
      <c r="P28" s="17">
        <f t="shared" si="2"/>
        <v>72949.135245222264</v>
      </c>
      <c r="Q28" s="17"/>
      <c r="R28" s="226"/>
    </row>
    <row r="29" spans="1:18">
      <c r="A29" s="265">
        <f t="shared" si="1"/>
        <v>16</v>
      </c>
      <c r="B29" s="175">
        <v>8740</v>
      </c>
      <c r="C29" s="17" t="s">
        <v>275</v>
      </c>
      <c r="D29" s="178">
        <v>10200.090000000002</v>
      </c>
      <c r="E29" s="178">
        <v>9564.3299999999981</v>
      </c>
      <c r="F29" s="178">
        <v>4077.5199999999986</v>
      </c>
      <c r="G29" s="178">
        <v>7526.2899999999991</v>
      </c>
      <c r="H29" s="178">
        <v>11353.000000000002</v>
      </c>
      <c r="I29" s="178">
        <v>9116.6899999999987</v>
      </c>
      <c r="J29" s="113">
        <v>7131.4500000000007</v>
      </c>
      <c r="K29" s="113">
        <v>13802.529999999999</v>
      </c>
      <c r="L29" s="113">
        <v>10806.010000000002</v>
      </c>
      <c r="M29" s="113">
        <v>12692.229999999996</v>
      </c>
      <c r="N29" s="113">
        <v>10681.77</v>
      </c>
      <c r="O29" s="113">
        <v>1844.6534552949045</v>
      </c>
      <c r="P29" s="17">
        <f t="shared" si="2"/>
        <v>108796.5634552949</v>
      </c>
      <c r="Q29" s="17"/>
      <c r="R29" s="226"/>
    </row>
    <row r="30" spans="1:18">
      <c r="A30" s="265">
        <f t="shared" si="1"/>
        <v>17</v>
      </c>
      <c r="B30" s="175">
        <v>8750</v>
      </c>
      <c r="C30" s="17" t="s">
        <v>276</v>
      </c>
      <c r="D30" s="178">
        <v>7224.27</v>
      </c>
      <c r="E30" s="178">
        <v>9359.5400000000009</v>
      </c>
      <c r="F30" s="178">
        <v>10704.849999999999</v>
      </c>
      <c r="G30" s="178">
        <v>9177.7899999999991</v>
      </c>
      <c r="H30" s="178">
        <v>17655.87</v>
      </c>
      <c r="I30" s="178">
        <v>10259</v>
      </c>
      <c r="J30" s="113">
        <v>16943.36</v>
      </c>
      <c r="K30" s="113">
        <v>8975.99</v>
      </c>
      <c r="L30" s="113">
        <v>11470.5</v>
      </c>
      <c r="M30" s="113">
        <v>12570.529999999999</v>
      </c>
      <c r="N30" s="113">
        <v>13827.49</v>
      </c>
      <c r="O30" s="113">
        <v>15285.677649070971</v>
      </c>
      <c r="P30" s="17">
        <f t="shared" si="2"/>
        <v>143454.86764907098</v>
      </c>
      <c r="Q30" s="17"/>
      <c r="R30" s="226"/>
    </row>
    <row r="31" spans="1:18">
      <c r="A31" s="265">
        <f t="shared" si="1"/>
        <v>18</v>
      </c>
      <c r="B31" s="175">
        <v>8760</v>
      </c>
      <c r="C31" s="154" t="s">
        <v>277</v>
      </c>
      <c r="D31" s="178">
        <v>5809.56</v>
      </c>
      <c r="E31" s="178">
        <v>-6411.82</v>
      </c>
      <c r="F31" s="178">
        <v>0</v>
      </c>
      <c r="G31" s="178">
        <v>0</v>
      </c>
      <c r="H31" s="178">
        <v>0</v>
      </c>
      <c r="I31" s="178">
        <v>0</v>
      </c>
      <c r="J31" s="113">
        <v>3027.36</v>
      </c>
      <c r="K31" s="113">
        <v>-171.36</v>
      </c>
      <c r="L31" s="113"/>
      <c r="M31" s="113">
        <v>0</v>
      </c>
      <c r="N31" s="113">
        <v>0</v>
      </c>
      <c r="O31" s="113">
        <v>-49.352797310025153</v>
      </c>
      <c r="P31" s="17">
        <f t="shared" si="2"/>
        <v>2204.3872026899753</v>
      </c>
      <c r="Q31" s="17"/>
      <c r="R31" s="226"/>
    </row>
    <row r="32" spans="1:18">
      <c r="A32" s="265">
        <f t="shared" si="1"/>
        <v>19</v>
      </c>
      <c r="B32" s="175">
        <v>8770</v>
      </c>
      <c r="C32" s="17" t="s">
        <v>278</v>
      </c>
      <c r="D32" s="178">
        <v>0</v>
      </c>
      <c r="E32" s="178">
        <v>0</v>
      </c>
      <c r="F32" s="178">
        <v>21.24</v>
      </c>
      <c r="G32" s="178">
        <v>154.77000000000001</v>
      </c>
      <c r="H32" s="178">
        <v>197.76</v>
      </c>
      <c r="I32" s="178">
        <v>-19.96</v>
      </c>
      <c r="J32" s="113"/>
      <c r="K32" s="113">
        <v>10219.630000000001</v>
      </c>
      <c r="L32" s="113">
        <v>15400</v>
      </c>
      <c r="M32" s="113">
        <v>0</v>
      </c>
      <c r="N32" s="113">
        <v>701.31</v>
      </c>
      <c r="O32" s="113">
        <v>28.993313878158961</v>
      </c>
      <c r="P32" s="17">
        <f t="shared" si="2"/>
        <v>26703.743313878163</v>
      </c>
      <c r="Q32" s="17"/>
      <c r="R32" s="226"/>
    </row>
    <row r="33" spans="1:18">
      <c r="A33" s="265">
        <f t="shared" si="1"/>
        <v>20</v>
      </c>
      <c r="B33" s="175" t="s">
        <v>357</v>
      </c>
      <c r="C33" s="17" t="s">
        <v>279</v>
      </c>
      <c r="D33" s="178"/>
      <c r="E33" s="178"/>
      <c r="F33" s="178"/>
      <c r="G33" s="178"/>
      <c r="H33" s="178"/>
      <c r="I33" s="178"/>
      <c r="J33" s="113"/>
      <c r="K33" s="113"/>
      <c r="L33" s="113"/>
      <c r="M33" s="113">
        <v>0</v>
      </c>
      <c r="N33" s="113">
        <v>119.41</v>
      </c>
      <c r="O33" s="113"/>
      <c r="P33" s="17"/>
      <c r="Q33" s="17"/>
      <c r="R33" s="226"/>
    </row>
    <row r="34" spans="1:18">
      <c r="A34" s="265">
        <f t="shared" si="1"/>
        <v>21</v>
      </c>
      <c r="B34" s="175">
        <v>8800</v>
      </c>
      <c r="C34" s="17" t="s">
        <v>281</v>
      </c>
      <c r="D34" s="178">
        <v>7.22</v>
      </c>
      <c r="E34" s="178">
        <v>0</v>
      </c>
      <c r="F34" s="178">
        <v>201.67</v>
      </c>
      <c r="G34" s="178">
        <v>0</v>
      </c>
      <c r="H34" s="178">
        <v>0</v>
      </c>
      <c r="I34" s="178">
        <v>0</v>
      </c>
      <c r="J34" s="113"/>
      <c r="K34" s="113"/>
      <c r="L34" s="113"/>
      <c r="M34" s="113">
        <v>0</v>
      </c>
      <c r="N34" s="113">
        <v>0</v>
      </c>
      <c r="O34" s="113">
        <v>45.726111016051902</v>
      </c>
      <c r="P34" s="17">
        <f t="shared" si="2"/>
        <v>254.61611101605189</v>
      </c>
      <c r="Q34" s="17"/>
      <c r="R34" s="226"/>
    </row>
    <row r="35" spans="1:18">
      <c r="A35" s="265">
        <f t="shared" si="1"/>
        <v>22</v>
      </c>
      <c r="B35" s="175">
        <v>8810</v>
      </c>
      <c r="C35" s="17" t="s">
        <v>282</v>
      </c>
      <c r="D35" s="178">
        <v>26101.8</v>
      </c>
      <c r="E35" s="178">
        <v>39903.569999999992</v>
      </c>
      <c r="F35" s="178">
        <v>7661.8200000000015</v>
      </c>
      <c r="G35" s="178">
        <v>22113.65</v>
      </c>
      <c r="H35" s="178">
        <v>23129.929999999997</v>
      </c>
      <c r="I35" s="178">
        <v>22121.93</v>
      </c>
      <c r="J35" s="113">
        <v>22456.720000000005</v>
      </c>
      <c r="K35" s="113">
        <v>22972.78</v>
      </c>
      <c r="L35" s="113">
        <v>22340.750000000007</v>
      </c>
      <c r="M35" s="113">
        <v>21343.64000000001</v>
      </c>
      <c r="N35" s="113">
        <v>22380.360000000004</v>
      </c>
      <c r="O35" s="113">
        <v>23178.637256351038</v>
      </c>
      <c r="P35" s="17">
        <f t="shared" si="2"/>
        <v>275705.58725635102</v>
      </c>
      <c r="Q35" s="17"/>
      <c r="R35" s="226"/>
    </row>
    <row r="36" spans="1:18">
      <c r="A36" s="265">
        <f t="shared" si="1"/>
        <v>23</v>
      </c>
      <c r="B36" s="175">
        <v>9010</v>
      </c>
      <c r="C36" s="154" t="s">
        <v>292</v>
      </c>
      <c r="D36" s="178">
        <v>2224.7800000000002</v>
      </c>
      <c r="E36" s="178">
        <v>2129.21</v>
      </c>
      <c r="F36" s="178">
        <v>2392.91</v>
      </c>
      <c r="G36" s="178">
        <v>2130.86</v>
      </c>
      <c r="H36" s="178">
        <v>2375.35</v>
      </c>
      <c r="I36" s="178">
        <v>1986.12</v>
      </c>
      <c r="J36" s="113">
        <v>1526.17</v>
      </c>
      <c r="K36" s="113">
        <v>2692.45</v>
      </c>
      <c r="L36" s="113">
        <v>2644.7599999999998</v>
      </c>
      <c r="M36" s="113">
        <v>2271.92</v>
      </c>
      <c r="N36" s="113">
        <v>2352.5700000000002</v>
      </c>
      <c r="O36" s="113">
        <v>1803.4902502132636</v>
      </c>
      <c r="P36" s="17">
        <f t="shared" si="2"/>
        <v>26530.590250213263</v>
      </c>
      <c r="Q36" s="17"/>
      <c r="R36" s="226"/>
    </row>
    <row r="37" spans="1:18">
      <c r="A37" s="265">
        <f t="shared" si="1"/>
        <v>24</v>
      </c>
      <c r="B37" s="175">
        <v>9020</v>
      </c>
      <c r="C37" s="154" t="s">
        <v>293</v>
      </c>
      <c r="D37" s="178">
        <v>0</v>
      </c>
      <c r="E37" s="178">
        <v>0</v>
      </c>
      <c r="F37" s="178">
        <v>0</v>
      </c>
      <c r="G37" s="178">
        <v>0</v>
      </c>
      <c r="H37" s="178">
        <v>-90</v>
      </c>
      <c r="I37" s="178">
        <v>0</v>
      </c>
      <c r="J37" s="113"/>
      <c r="K37" s="113"/>
      <c r="L37" s="113"/>
      <c r="M37" s="113">
        <v>0</v>
      </c>
      <c r="N37" s="113">
        <v>0</v>
      </c>
      <c r="O37" s="113">
        <v>-75.091798853546521</v>
      </c>
      <c r="P37" s="17">
        <f t="shared" si="2"/>
        <v>-165.09179885354652</v>
      </c>
      <c r="Q37" s="17"/>
      <c r="R37" s="226"/>
    </row>
    <row r="38" spans="1:18">
      <c r="A38" s="265">
        <f t="shared" si="1"/>
        <v>25</v>
      </c>
      <c r="B38" s="175">
        <v>9030</v>
      </c>
      <c r="C38" s="17" t="s">
        <v>294</v>
      </c>
      <c r="D38" s="178">
        <v>258815.49</v>
      </c>
      <c r="E38" s="178">
        <v>236243.71</v>
      </c>
      <c r="F38" s="178">
        <v>-219998.26999999996</v>
      </c>
      <c r="G38" s="178">
        <v>155498.62</v>
      </c>
      <c r="H38" s="178">
        <v>160887.69</v>
      </c>
      <c r="I38" s="178">
        <v>154332.61000000002</v>
      </c>
      <c r="J38" s="113">
        <v>153006.69999999998</v>
      </c>
      <c r="K38" s="113">
        <v>162107.64999999997</v>
      </c>
      <c r="L38" s="113">
        <v>156654.51</v>
      </c>
      <c r="M38" s="113">
        <v>150806.17000000001</v>
      </c>
      <c r="N38" s="113">
        <v>150710.75</v>
      </c>
      <c r="O38" s="113">
        <v>313593.40017580951</v>
      </c>
      <c r="P38" s="17">
        <f t="shared" si="2"/>
        <v>1832659.0301758093</v>
      </c>
      <c r="Q38" s="17"/>
      <c r="R38" s="226"/>
    </row>
    <row r="39" spans="1:18">
      <c r="A39" s="265">
        <f t="shared" si="1"/>
        <v>26</v>
      </c>
      <c r="B39" s="175">
        <v>9100</v>
      </c>
      <c r="C39" s="17" t="s">
        <v>297</v>
      </c>
      <c r="D39" s="178">
        <v>204.4</v>
      </c>
      <c r="E39" s="178">
        <v>150.75</v>
      </c>
      <c r="F39" s="178">
        <v>130.11000000000001</v>
      </c>
      <c r="G39" s="178">
        <v>108.7</v>
      </c>
      <c r="H39" s="178">
        <v>10.050000000000001</v>
      </c>
      <c r="I39" s="178">
        <v>0</v>
      </c>
      <c r="J39" s="113">
        <v>357.25</v>
      </c>
      <c r="K39" s="113">
        <v>1061.3899999999999</v>
      </c>
      <c r="L39" s="113">
        <v>-53.4</v>
      </c>
      <c r="M39" s="113">
        <v>237.08</v>
      </c>
      <c r="N39" s="113">
        <v>0</v>
      </c>
      <c r="O39" s="113">
        <v>93.093067977990714</v>
      </c>
      <c r="P39" s="17">
        <f t="shared" si="2"/>
        <v>2299.4230679779907</v>
      </c>
      <c r="Q39" s="17"/>
      <c r="R39" s="226"/>
    </row>
    <row r="40" spans="1:18">
      <c r="A40" s="265">
        <f t="shared" si="1"/>
        <v>27</v>
      </c>
      <c r="B40" s="175">
        <v>9110</v>
      </c>
      <c r="C40" s="17" t="s">
        <v>298</v>
      </c>
      <c r="D40" s="178">
        <v>9137.02</v>
      </c>
      <c r="E40" s="178">
        <v>9790.74</v>
      </c>
      <c r="F40" s="178">
        <v>8775.6</v>
      </c>
      <c r="G40" s="178">
        <v>15140.27</v>
      </c>
      <c r="H40" s="178">
        <v>7192.99</v>
      </c>
      <c r="I40" s="178">
        <v>12703.889999999998</v>
      </c>
      <c r="J40" s="113">
        <v>11316.16</v>
      </c>
      <c r="K40" s="113">
        <v>13503.169999999998</v>
      </c>
      <c r="L40" s="113">
        <v>14768.6</v>
      </c>
      <c r="M40" s="113">
        <v>10522.030000000002</v>
      </c>
      <c r="N40" s="113">
        <v>11159.000000000002</v>
      </c>
      <c r="O40" s="113">
        <v>9618.3420813806097</v>
      </c>
      <c r="P40" s="17">
        <f t="shared" si="2"/>
        <v>133627.8120813806</v>
      </c>
      <c r="Q40" s="17"/>
      <c r="R40" s="226"/>
    </row>
    <row r="41" spans="1:18">
      <c r="A41" s="265">
        <f t="shared" si="1"/>
        <v>28</v>
      </c>
      <c r="B41" s="175">
        <v>9120</v>
      </c>
      <c r="C41" s="17" t="s">
        <v>299</v>
      </c>
      <c r="D41" s="178">
        <v>395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13"/>
      <c r="K41" s="113"/>
      <c r="L41" s="113">
        <v>2468.2199999999998</v>
      </c>
      <c r="M41" s="113">
        <v>361.43</v>
      </c>
      <c r="N41" s="113">
        <v>0</v>
      </c>
      <c r="O41" s="113">
        <v>60.87939247910851</v>
      </c>
      <c r="P41" s="17">
        <f t="shared" si="2"/>
        <v>3285.5293924791081</v>
      </c>
      <c r="Q41" s="17"/>
      <c r="R41" s="226"/>
    </row>
    <row r="42" spans="1:18">
      <c r="A42" s="265">
        <f t="shared" si="1"/>
        <v>29</v>
      </c>
      <c r="B42" s="175">
        <v>9130</v>
      </c>
      <c r="C42" s="17" t="s">
        <v>300</v>
      </c>
      <c r="D42" s="178">
        <v>92.5</v>
      </c>
      <c r="E42" s="178">
        <v>0</v>
      </c>
      <c r="F42" s="178">
        <v>0</v>
      </c>
      <c r="G42" s="178">
        <v>206.34</v>
      </c>
      <c r="H42" s="178">
        <v>0</v>
      </c>
      <c r="I42" s="178">
        <v>0</v>
      </c>
      <c r="J42" s="113">
        <v>115.35</v>
      </c>
      <c r="K42" s="113">
        <v>4827.33</v>
      </c>
      <c r="L42" s="113">
        <v>-131.12</v>
      </c>
      <c r="M42" s="113">
        <v>205.08</v>
      </c>
      <c r="N42" s="113">
        <v>542.26</v>
      </c>
      <c r="O42" s="113">
        <v>46.05872822394123</v>
      </c>
      <c r="P42" s="17">
        <f t="shared" si="2"/>
        <v>5903.7987282239419</v>
      </c>
      <c r="Q42" s="17"/>
      <c r="R42" s="226"/>
    </row>
    <row r="43" spans="1:18">
      <c r="A43" s="265">
        <f t="shared" si="1"/>
        <v>30</v>
      </c>
      <c r="B43" s="175">
        <v>9200</v>
      </c>
      <c r="C43" s="17" t="s">
        <v>301</v>
      </c>
      <c r="D43" s="178">
        <v>-4731.29</v>
      </c>
      <c r="E43" s="178">
        <v>-25367.87</v>
      </c>
      <c r="F43" s="178">
        <v>-6325.79</v>
      </c>
      <c r="G43" s="178">
        <v>-4895.53</v>
      </c>
      <c r="H43" s="178">
        <v>-26382.78</v>
      </c>
      <c r="I43" s="178">
        <v>-5662.56</v>
      </c>
      <c r="J43" s="113">
        <v>-5459.85</v>
      </c>
      <c r="K43" s="113">
        <v>-16184.17</v>
      </c>
      <c r="L43" s="113">
        <v>-6754.95</v>
      </c>
      <c r="M43" s="113">
        <v>-71128.490000000005</v>
      </c>
      <c r="N43" s="113">
        <v>-16142.85</v>
      </c>
      <c r="O43" s="113">
        <v>8869.8966534767424</v>
      </c>
      <c r="P43" s="17">
        <f t="shared" si="2"/>
        <v>-180166.23334652325</v>
      </c>
      <c r="Q43" s="17"/>
      <c r="R43" s="226"/>
    </row>
    <row r="44" spans="1:18">
      <c r="A44" s="265">
        <f t="shared" si="1"/>
        <v>31</v>
      </c>
      <c r="B44" s="175">
        <v>9210</v>
      </c>
      <c r="C44" s="17" t="s">
        <v>302</v>
      </c>
      <c r="D44" s="178">
        <v>0</v>
      </c>
      <c r="E44" s="178">
        <v>1331.8400000000001</v>
      </c>
      <c r="F44" s="178">
        <v>7.58</v>
      </c>
      <c r="G44" s="178">
        <v>0</v>
      </c>
      <c r="H44" s="178">
        <v>9.56</v>
      </c>
      <c r="I44" s="178">
        <v>0</v>
      </c>
      <c r="J44" s="113"/>
      <c r="K44" s="113">
        <v>114.53</v>
      </c>
      <c r="L44" s="113">
        <v>68140.509999999995</v>
      </c>
      <c r="M44" s="113">
        <v>69.64</v>
      </c>
      <c r="N44" s="113">
        <v>0</v>
      </c>
      <c r="O44" s="113">
        <v>270.19209505575674</v>
      </c>
      <c r="P44" s="17">
        <f t="shared" si="2"/>
        <v>69943.852095055743</v>
      </c>
      <c r="Q44" s="17"/>
      <c r="R44" s="17"/>
    </row>
    <row r="45" spans="1:18">
      <c r="A45" s="265">
        <f t="shared" si="1"/>
        <v>32</v>
      </c>
      <c r="B45" s="175">
        <v>9220</v>
      </c>
      <c r="C45" s="17" t="s">
        <v>303</v>
      </c>
      <c r="D45" s="178">
        <v>-831246.35</v>
      </c>
      <c r="E45" s="178">
        <v>-694191.90999999968</v>
      </c>
      <c r="F45" s="178">
        <v>-477225.28000000044</v>
      </c>
      <c r="G45" s="178">
        <v>-708629.43999999983</v>
      </c>
      <c r="H45" s="178">
        <v>-704519.55000000016</v>
      </c>
      <c r="I45" s="178">
        <v>-482659.37999999989</v>
      </c>
      <c r="J45" s="113">
        <v>-877309.77000000014</v>
      </c>
      <c r="K45" s="113">
        <v>-603351.18000000005</v>
      </c>
      <c r="L45" s="113">
        <v>-790403.43000000017</v>
      </c>
      <c r="M45" s="113">
        <v>-478247.79999999993</v>
      </c>
      <c r="N45" s="113">
        <v>-503601.91000000003</v>
      </c>
      <c r="O45" s="113">
        <f t="shared" ref="O45" si="3">-(SUM(O14:O44,O46:O51))</f>
        <v>-904541.72340000002</v>
      </c>
      <c r="P45" s="17">
        <f t="shared" si="2"/>
        <v>-8055927.7234000005</v>
      </c>
      <c r="Q45" s="158"/>
      <c r="R45" s="17"/>
    </row>
    <row r="46" spans="1:18">
      <c r="A46" s="265">
        <f t="shared" si="1"/>
        <v>33</v>
      </c>
      <c r="B46" s="175">
        <v>9230</v>
      </c>
      <c r="C46" s="17" t="s">
        <v>304</v>
      </c>
      <c r="D46" s="178">
        <v>6769.3</v>
      </c>
      <c r="E46" s="178">
        <v>4064.37</v>
      </c>
      <c r="F46" s="178">
        <v>5669.0599999999995</v>
      </c>
      <c r="G46" s="178">
        <v>7466.16</v>
      </c>
      <c r="H46" s="178">
        <v>8921.7900000000009</v>
      </c>
      <c r="I46" s="178">
        <v>12968.37</v>
      </c>
      <c r="J46" s="113">
        <v>12578</v>
      </c>
      <c r="K46" s="113">
        <v>15173.630000000001</v>
      </c>
      <c r="L46" s="113">
        <v>33275.279999999999</v>
      </c>
      <c r="M46" s="113">
        <v>5210.1499999999996</v>
      </c>
      <c r="N46" s="113">
        <v>3239.45</v>
      </c>
      <c r="O46" s="113">
        <v>38262.650646830371</v>
      </c>
      <c r="P46" s="17">
        <f t="shared" si="2"/>
        <v>153598.21064683038</v>
      </c>
      <c r="Q46" s="17"/>
      <c r="R46" s="17"/>
    </row>
    <row r="47" spans="1:18">
      <c r="A47" s="265">
        <f t="shared" si="1"/>
        <v>34</v>
      </c>
      <c r="B47" s="175">
        <v>9240</v>
      </c>
      <c r="C47" s="17" t="s">
        <v>305</v>
      </c>
      <c r="D47" s="178">
        <v>-1252.8800000000001</v>
      </c>
      <c r="E47" s="178">
        <v>-958.93999999999994</v>
      </c>
      <c r="F47" s="178">
        <v>-970.97</v>
      </c>
      <c r="G47" s="178">
        <v>-1169.99</v>
      </c>
      <c r="H47" s="178">
        <v>-1134.3499999999999</v>
      </c>
      <c r="I47" s="178">
        <v>-1172.28</v>
      </c>
      <c r="J47" s="113">
        <v>-1198.1199999999999</v>
      </c>
      <c r="K47" s="113">
        <v>-1215.05</v>
      </c>
      <c r="L47" s="113">
        <v>-1194.1399999999999</v>
      </c>
      <c r="M47" s="113">
        <v>-1158.8899999999999</v>
      </c>
      <c r="N47" s="113">
        <v>-1054.4199999999998</v>
      </c>
      <c r="O47" s="113">
        <v>-15767.957953693192</v>
      </c>
      <c r="P47" s="17">
        <f t="shared" si="2"/>
        <v>-28247.987953693191</v>
      </c>
      <c r="Q47" s="17"/>
      <c r="R47" s="17"/>
    </row>
    <row r="48" spans="1:18">
      <c r="A48" s="265">
        <f t="shared" si="1"/>
        <v>35</v>
      </c>
      <c r="B48" s="175">
        <v>9250</v>
      </c>
      <c r="C48" s="17" t="s">
        <v>306</v>
      </c>
      <c r="D48" s="178">
        <v>21554.92</v>
      </c>
      <c r="E48" s="178">
        <v>27630.63</v>
      </c>
      <c r="F48" s="178">
        <v>21837.949999999997</v>
      </c>
      <c r="G48" s="178">
        <v>21426.63</v>
      </c>
      <c r="H48" s="178">
        <v>21366.97</v>
      </c>
      <c r="I48" s="178">
        <v>5987.1699999999983</v>
      </c>
      <c r="J48" s="113">
        <v>21986.250000000004</v>
      </c>
      <c r="K48" s="113">
        <v>30004.6</v>
      </c>
      <c r="L48" s="113">
        <v>-2473.7499999999995</v>
      </c>
      <c r="M48" s="113">
        <v>27189.859999999997</v>
      </c>
      <c r="N48" s="113">
        <v>20914.79</v>
      </c>
      <c r="O48" s="113">
        <v>50738.335097487332</v>
      </c>
      <c r="P48" s="17">
        <f t="shared" si="2"/>
        <v>268164.35509748734</v>
      </c>
      <c r="Q48" s="17"/>
      <c r="R48" s="17"/>
    </row>
    <row r="49" spans="1:18">
      <c r="A49" s="265">
        <f t="shared" si="1"/>
        <v>36</v>
      </c>
      <c r="B49" s="228">
        <v>9260</v>
      </c>
      <c r="C49" s="17" t="s">
        <v>307</v>
      </c>
      <c r="D49" s="178">
        <v>190049.16000000003</v>
      </c>
      <c r="E49" s="178">
        <v>168788.92</v>
      </c>
      <c r="F49" s="178">
        <v>389170.68000000028</v>
      </c>
      <c r="G49" s="178">
        <v>194652.47</v>
      </c>
      <c r="H49" s="178">
        <v>237294.73000000004</v>
      </c>
      <c r="I49" s="178">
        <v>21492.699999999946</v>
      </c>
      <c r="J49" s="113">
        <v>352010.54999999987</v>
      </c>
      <c r="K49" s="113">
        <v>45078.889999999992</v>
      </c>
      <c r="L49" s="113">
        <v>18170.440000000006</v>
      </c>
      <c r="M49" s="113">
        <v>96699.860000000015</v>
      </c>
      <c r="N49" s="113">
        <v>48204.989999999991</v>
      </c>
      <c r="O49" s="113">
        <v>168295.710101456</v>
      </c>
      <c r="P49" s="17">
        <f t="shared" si="2"/>
        <v>1929909.100101456</v>
      </c>
      <c r="Q49" s="17"/>
      <c r="R49" s="17"/>
    </row>
    <row r="50" spans="1:18">
      <c r="A50" s="265">
        <f t="shared" si="1"/>
        <v>37</v>
      </c>
      <c r="B50" s="175">
        <v>9302</v>
      </c>
      <c r="C50" s="17" t="s">
        <v>310</v>
      </c>
      <c r="D50" s="178">
        <v>0</v>
      </c>
      <c r="E50" s="178">
        <v>0</v>
      </c>
      <c r="F50" s="178">
        <v>0</v>
      </c>
      <c r="G50" s="178">
        <v>0</v>
      </c>
      <c r="H50" s="178">
        <v>7500</v>
      </c>
      <c r="I50" s="178">
        <v>0</v>
      </c>
      <c r="J50" s="113"/>
      <c r="K50" s="113">
        <v>4055</v>
      </c>
      <c r="L50" s="113"/>
      <c r="M50" s="113">
        <v>0</v>
      </c>
      <c r="N50" s="113">
        <v>0</v>
      </c>
      <c r="O50" s="113">
        <v>7342.588438557339</v>
      </c>
      <c r="P50" s="17">
        <f t="shared" si="2"/>
        <v>18897.588438557337</v>
      </c>
      <c r="Q50" s="17"/>
      <c r="R50" s="17"/>
    </row>
    <row r="51" spans="1:18">
      <c r="A51" s="265">
        <f t="shared" si="1"/>
        <v>38</v>
      </c>
      <c r="B51" s="175">
        <v>9310</v>
      </c>
      <c r="C51" s="17" t="s">
        <v>199</v>
      </c>
      <c r="D51" s="178">
        <f>0</f>
        <v>0</v>
      </c>
      <c r="E51" s="178">
        <f>0</f>
        <v>0</v>
      </c>
      <c r="F51" s="178">
        <f>0</f>
        <v>0</v>
      </c>
      <c r="G51" s="178">
        <f>0</f>
        <v>0</v>
      </c>
      <c r="H51" s="178">
        <f>0</f>
        <v>0</v>
      </c>
      <c r="I51" s="178">
        <f>0</f>
        <v>0</v>
      </c>
      <c r="J51" s="113"/>
      <c r="K51" s="113"/>
      <c r="L51" s="113"/>
      <c r="M51" s="113">
        <v>0</v>
      </c>
      <c r="N51" s="113">
        <v>0</v>
      </c>
      <c r="O51" s="113">
        <v>0</v>
      </c>
      <c r="P51" s="17">
        <f t="shared" si="2"/>
        <v>0</v>
      </c>
      <c r="Q51" s="17"/>
      <c r="R51" s="17"/>
    </row>
    <row r="52" spans="1:18">
      <c r="A52" s="265">
        <f t="shared" si="1"/>
        <v>39</v>
      </c>
      <c r="B52" s="17"/>
      <c r="C52" s="21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7"/>
      <c r="P52" s="17"/>
      <c r="Q52" s="17"/>
      <c r="R52" s="17"/>
    </row>
    <row r="53" spans="1:18" ht="15.75" thickBot="1">
      <c r="A53" s="265">
        <f t="shared" si="1"/>
        <v>40</v>
      </c>
      <c r="B53" s="17" t="s">
        <v>312</v>
      </c>
      <c r="C53" s="211"/>
      <c r="D53" s="212">
        <f t="shared" ref="D53:O53" si="4">SUM(D14:D52)</f>
        <v>-1.9999999785795808E-2</v>
      </c>
      <c r="E53" s="212">
        <f t="shared" si="4"/>
        <v>3.0000000348081812E-2</v>
      </c>
      <c r="F53" s="212">
        <f t="shared" si="4"/>
        <v>-1.1641532182693481E-10</v>
      </c>
      <c r="G53" s="212">
        <f t="shared" si="4"/>
        <v>240932.18000000005</v>
      </c>
      <c r="H53" s="212">
        <f t="shared" si="4"/>
        <v>-240932.21000000014</v>
      </c>
      <c r="I53" s="212">
        <f t="shared" si="4"/>
        <v>1.0000000052968971E-2</v>
      </c>
      <c r="J53" s="212">
        <f t="shared" si="4"/>
        <v>0</v>
      </c>
      <c r="K53" s="212">
        <f t="shared" si="4"/>
        <v>-1.0000000023865141E-2</v>
      </c>
      <c r="L53" s="212">
        <f t="shared" si="4"/>
        <v>4.7293724492192268E-11</v>
      </c>
      <c r="M53" s="212">
        <f t="shared" si="4"/>
        <v>2.0372681319713593E-10</v>
      </c>
      <c r="N53" s="212">
        <f t="shared" si="4"/>
        <v>-1.0000000074796844E-2</v>
      </c>
      <c r="O53" s="212">
        <f t="shared" si="4"/>
        <v>8.1854523159563541E-11</v>
      </c>
      <c r="P53" s="212">
        <f>SUM(P12:P52)</f>
        <v>16339736.160000009</v>
      </c>
      <c r="Q53" s="17"/>
      <c r="R53" s="17"/>
    </row>
    <row r="54" spans="1:18" ht="15.75" thickTop="1">
      <c r="A54" s="265">
        <f t="shared" si="1"/>
        <v>41</v>
      </c>
      <c r="B54" s="17"/>
      <c r="C54" s="21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265">
        <f t="shared" si="1"/>
        <v>42</v>
      </c>
      <c r="B55" s="175">
        <f>B45</f>
        <v>9220</v>
      </c>
      <c r="C55" s="33" t="str">
        <f>C45</f>
        <v>A&amp;G-Administrative expense transferred-Credit</v>
      </c>
      <c r="D55" s="213">
        <f t="shared" ref="D55:K55" si="5">-(D53-D45)</f>
        <v>-831246.33000000019</v>
      </c>
      <c r="E55" s="213">
        <f t="shared" si="5"/>
        <v>-694191.94000000006</v>
      </c>
      <c r="F55" s="213">
        <f t="shared" si="5"/>
        <v>-477225.28000000032</v>
      </c>
      <c r="G55" s="213">
        <f t="shared" si="5"/>
        <v>-949561.61999999988</v>
      </c>
      <c r="H55" s="213">
        <f t="shared" si="5"/>
        <v>-463587.34</v>
      </c>
      <c r="I55" s="213">
        <f t="shared" si="5"/>
        <v>-482659.38999999996</v>
      </c>
      <c r="J55" s="213">
        <f t="shared" si="5"/>
        <v>-877309.77000000014</v>
      </c>
      <c r="K55" s="213">
        <f t="shared" si="5"/>
        <v>-603351.17000000004</v>
      </c>
      <c r="L55" s="33">
        <f>L45</f>
        <v>-790403.43000000017</v>
      </c>
      <c r="M55" s="33">
        <f>M45</f>
        <v>-478247.79999999993</v>
      </c>
      <c r="N55" s="33">
        <f>N45</f>
        <v>-503601.91000000003</v>
      </c>
      <c r="O55" s="33">
        <f>O45</f>
        <v>-904541.72340000002</v>
      </c>
      <c r="P55" s="17">
        <f t="shared" ref="P55" si="6">SUM(D55:O55)</f>
        <v>-8055927.7034000009</v>
      </c>
      <c r="Q55" s="17"/>
      <c r="R55" s="17"/>
    </row>
    <row r="56" spans="1:18">
      <c r="A56" s="265">
        <f t="shared" si="1"/>
        <v>43</v>
      </c>
      <c r="B56" s="17"/>
      <c r="C56" s="214" t="s">
        <v>317</v>
      </c>
      <c r="D56" s="215">
        <f>D57/D55</f>
        <v>0.50250001103764252</v>
      </c>
      <c r="E56" s="215">
        <f t="shared" ref="E56:N56" si="7">E57/E55</f>
        <v>0.50249998581084065</v>
      </c>
      <c r="F56" s="215">
        <f t="shared" si="7"/>
        <v>0.50249999329457118</v>
      </c>
      <c r="G56" s="215">
        <f t="shared" si="7"/>
        <v>0.37500070822154763</v>
      </c>
      <c r="H56" s="215">
        <f t="shared" si="7"/>
        <v>0.76365560370997188</v>
      </c>
      <c r="I56" s="215">
        <f t="shared" si="7"/>
        <v>0.50249999280030588</v>
      </c>
      <c r="J56" s="215">
        <f t="shared" si="7"/>
        <v>0.50250000065541267</v>
      </c>
      <c r="K56" s="215">
        <f t="shared" si="7"/>
        <v>0.50249999515207699</v>
      </c>
      <c r="L56" s="215">
        <f t="shared" si="7"/>
        <v>0.5024999954769932</v>
      </c>
      <c r="M56" s="215">
        <f t="shared" si="7"/>
        <v>0.49779998987972351</v>
      </c>
      <c r="N56" s="215">
        <f t="shared" si="7"/>
        <v>0.49779999841541506</v>
      </c>
      <c r="O56" s="215">
        <v>0.5025136071712456</v>
      </c>
      <c r="P56" s="215">
        <f t="shared" ref="P56" si="8">P57/P55</f>
        <v>0.5019286931480369</v>
      </c>
      <c r="Q56" s="17"/>
      <c r="R56" s="17"/>
    </row>
    <row r="57" spans="1:18">
      <c r="A57" s="265">
        <f t="shared" si="1"/>
        <v>44</v>
      </c>
      <c r="B57" s="17"/>
      <c r="C57" s="17" t="s">
        <v>318</v>
      </c>
      <c r="D57" s="17">
        <v>-417701.29</v>
      </c>
      <c r="E57" s="17">
        <v>-348831.44</v>
      </c>
      <c r="F57" s="17">
        <v>-239805.7</v>
      </c>
      <c r="G57" s="17">
        <v>-356086.28</v>
      </c>
      <c r="H57" s="17">
        <v>-354021.07</v>
      </c>
      <c r="I57" s="17">
        <v>-242536.34</v>
      </c>
      <c r="J57" s="17">
        <v>-440848.16</v>
      </c>
      <c r="K57" s="17">
        <v>-303183.96000000002</v>
      </c>
      <c r="L57" s="17">
        <v>-397177.72</v>
      </c>
      <c r="M57" s="17">
        <v>-238071.75</v>
      </c>
      <c r="N57" s="17">
        <v>-250693.03</v>
      </c>
      <c r="O57" s="17">
        <f t="shared" ref="O57" si="9">O55*O56</f>
        <v>-454544.5242626291</v>
      </c>
      <c r="P57" s="17">
        <f>SUM(D57:O57)</f>
        <v>-4043501.2642626287</v>
      </c>
      <c r="Q57" s="17"/>
      <c r="R57" s="17"/>
    </row>
    <row r="58" spans="1:18">
      <c r="A58" s="17"/>
      <c r="B58" s="17"/>
      <c r="C58" s="211"/>
      <c r="D58" s="229"/>
      <c r="E58" s="229"/>
      <c r="F58" s="229"/>
      <c r="G58" s="229"/>
      <c r="H58" s="229"/>
      <c r="I58" s="229"/>
      <c r="J58" s="153"/>
      <c r="K58" s="153"/>
      <c r="L58" s="153"/>
      <c r="M58" s="153"/>
      <c r="N58" s="153"/>
      <c r="O58" s="153"/>
      <c r="P58" s="153"/>
      <c r="Q58" s="17"/>
      <c r="R58" s="17"/>
    </row>
    <row r="59" spans="1:18">
      <c r="A59" s="17"/>
      <c r="B59" s="17"/>
      <c r="C59" s="21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53"/>
      <c r="O59" s="153"/>
      <c r="P59" s="17"/>
      <c r="Q59" s="17"/>
      <c r="R59" s="17"/>
    </row>
    <row r="60" spans="1:18">
      <c r="A60" s="17"/>
      <c r="B60" s="17" t="s">
        <v>319</v>
      </c>
      <c r="C60" s="21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53"/>
      <c r="O60" s="153"/>
      <c r="P60" s="17"/>
      <c r="Q60" s="17"/>
      <c r="R60" s="17"/>
    </row>
    <row r="61" spans="1:18">
      <c r="A61" s="17"/>
      <c r="B61" s="17"/>
      <c r="C61" s="21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53"/>
      <c r="O61" s="153"/>
      <c r="P61" s="17"/>
      <c r="Q61" s="17"/>
      <c r="R61" s="17"/>
    </row>
    <row r="62" spans="1:1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Q62" s="17"/>
      <c r="R62" s="17"/>
    </row>
    <row r="63" spans="1:1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15"/>
      <c r="Q63" s="17"/>
      <c r="R63" s="17"/>
    </row>
    <row r="64" spans="1:1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6"/>
      <c r="Q64" s="216"/>
      <c r="R64" s="17"/>
    </row>
    <row r="65" spans="1:18">
      <c r="A65" s="17"/>
      <c r="B65" s="17"/>
      <c r="C65" s="17"/>
      <c r="D65" s="17"/>
      <c r="E65" s="2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57"/>
      <c r="P66" s="17"/>
      <c r="Q66" s="17"/>
      <c r="R66" s="17"/>
    </row>
    <row r="67" spans="1: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57"/>
      <c r="P67" s="17"/>
      <c r="Q67" s="17"/>
      <c r="R67" s="17"/>
    </row>
    <row r="68" spans="1:18">
      <c r="A68" s="17"/>
      <c r="B68" s="17"/>
      <c r="C68" s="15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57"/>
      <c r="P68" s="17"/>
      <c r="Q68" s="158"/>
      <c r="R68" s="17"/>
    </row>
    <row r="69" spans="1: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57"/>
      <c r="P69" s="17"/>
      <c r="Q69" s="17"/>
      <c r="R69" s="17"/>
    </row>
    <row r="70" spans="1:1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57"/>
      <c r="P70" s="17"/>
      <c r="Q70" s="17"/>
      <c r="R70" s="17"/>
    </row>
    <row r="71" spans="1: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57"/>
      <c r="P71" s="17"/>
      <c r="Q71" s="17"/>
      <c r="R71" s="17"/>
    </row>
    <row r="72" spans="1:1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5" spans="1:18">
      <c r="C75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50" fitToHeight="2" orientation="landscape" verticalDpi="300" r:id="rId1"/>
  <headerFooter alignWithMargins="0">
    <oddHeader>&amp;RCASE NO. 2017-00349
ATTACHMENT 1
TO STAFF DR NO. 1-46
(SUPPLEMENT 01-03-18)</oddHeader>
    <oddFooter>&amp;RSchedule &amp;A
Page &amp;P of &amp;N</oddFooter>
  </headerFooter>
  <rowBreaks count="1" manualBreakCount="1">
    <brk id="6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70" zoomScaleNormal="90" zoomScaleSheetLayoutView="70" workbookViewId="0">
      <selection sqref="A1:H1"/>
    </sheetView>
  </sheetViews>
  <sheetFormatPr defaultColWidth="13.88671875" defaultRowHeight="15"/>
  <cols>
    <col min="1" max="1" width="3.6640625" style="231" customWidth="1"/>
    <col min="2" max="2" width="16.21875" style="231" customWidth="1"/>
    <col min="3" max="3" width="11" style="231" customWidth="1"/>
    <col min="4" max="4" width="12.33203125" style="231" customWidth="1"/>
    <col min="5" max="5" width="13.109375" style="231" customWidth="1"/>
    <col min="6" max="6" width="12.5546875" style="231" customWidth="1"/>
    <col min="7" max="7" width="13.109375" style="231" customWidth="1"/>
    <col min="8" max="8" width="8.6640625" style="231" customWidth="1"/>
    <col min="9" max="9" width="13.88671875" style="231" customWidth="1"/>
    <col min="10" max="10" width="15.109375" style="231" customWidth="1"/>
    <col min="11" max="16384" width="13.88671875" style="231"/>
  </cols>
  <sheetData>
    <row r="1" spans="1:16">
      <c r="A1" s="270" t="s">
        <v>353</v>
      </c>
      <c r="B1" s="270"/>
      <c r="C1" s="270"/>
      <c r="D1" s="270"/>
      <c r="E1" s="270"/>
      <c r="F1" s="270"/>
      <c r="G1" s="270"/>
      <c r="H1" s="270"/>
      <c r="I1" s="230"/>
      <c r="M1" s="232"/>
      <c r="O1" s="232"/>
      <c r="P1" s="232"/>
    </row>
    <row r="2" spans="1:16">
      <c r="A2" s="270" t="s">
        <v>354</v>
      </c>
      <c r="B2" s="270"/>
      <c r="C2" s="270"/>
      <c r="D2" s="270"/>
      <c r="E2" s="270"/>
      <c r="F2" s="270"/>
      <c r="G2" s="270"/>
      <c r="H2" s="270"/>
      <c r="I2" s="230"/>
      <c r="P2" s="232"/>
    </row>
    <row r="3" spans="1:16">
      <c r="A3" s="270" t="s">
        <v>324</v>
      </c>
      <c r="B3" s="270"/>
      <c r="C3" s="270"/>
      <c r="D3" s="270"/>
      <c r="E3" s="270"/>
      <c r="F3" s="270"/>
      <c r="G3" s="270"/>
      <c r="H3" s="270"/>
      <c r="I3" s="230"/>
    </row>
    <row r="4" spans="1:16">
      <c r="A4" s="270" t="s">
        <v>356</v>
      </c>
      <c r="B4" s="270"/>
      <c r="C4" s="270"/>
      <c r="D4" s="270"/>
      <c r="E4" s="270"/>
      <c r="F4" s="270"/>
      <c r="G4" s="270"/>
      <c r="H4" s="270"/>
      <c r="I4" s="230"/>
      <c r="M4" s="232"/>
      <c r="O4" s="232"/>
      <c r="P4" s="232"/>
    </row>
    <row r="5" spans="1:16">
      <c r="A5" s="270" t="s">
        <v>355</v>
      </c>
      <c r="B5" s="270"/>
      <c r="C5" s="270"/>
      <c r="D5" s="270"/>
      <c r="E5" s="270"/>
      <c r="F5" s="270"/>
      <c r="G5" s="270"/>
      <c r="H5" s="270"/>
      <c r="I5" s="230"/>
      <c r="M5" s="232"/>
      <c r="O5" s="232"/>
      <c r="P5" s="232"/>
    </row>
    <row r="6" spans="1:16">
      <c r="A6" s="3"/>
      <c r="B6" s="233"/>
      <c r="C6" s="233"/>
      <c r="D6" s="234"/>
      <c r="P6" s="232"/>
    </row>
    <row r="7" spans="1:16">
      <c r="B7" s="234"/>
      <c r="C7" s="234"/>
      <c r="D7" s="234"/>
      <c r="H7" s="4" t="s">
        <v>325</v>
      </c>
      <c r="I7" s="3"/>
    </row>
    <row r="8" spans="1:16">
      <c r="A8" s="3" t="s">
        <v>3</v>
      </c>
      <c r="B8" s="234"/>
      <c r="C8" s="234"/>
      <c r="D8" s="234"/>
      <c r="H8" s="5" t="s">
        <v>326</v>
      </c>
      <c r="I8" s="3"/>
      <c r="M8" s="232"/>
      <c r="O8" s="232"/>
      <c r="P8" s="232"/>
    </row>
    <row r="9" spans="1:16">
      <c r="A9" s="53" t="s">
        <v>5</v>
      </c>
      <c r="B9" s="235"/>
      <c r="C9" s="235"/>
      <c r="D9" s="235"/>
      <c r="E9" s="236"/>
      <c r="F9" s="236"/>
      <c r="G9" s="236"/>
      <c r="H9" s="8" t="s">
        <v>327</v>
      </c>
      <c r="I9" s="234"/>
      <c r="M9" s="232"/>
      <c r="P9" s="232"/>
    </row>
    <row r="10" spans="1:16">
      <c r="E10" s="234"/>
      <c r="F10" s="233"/>
      <c r="G10" s="234"/>
      <c r="H10" s="233"/>
      <c r="I10" s="234"/>
    </row>
    <row r="11" spans="1:16">
      <c r="A11" s="232" t="s">
        <v>9</v>
      </c>
      <c r="E11" s="237" t="s">
        <v>328</v>
      </c>
      <c r="F11" s="10"/>
      <c r="G11" s="9" t="s">
        <v>329</v>
      </c>
      <c r="H11" s="9" t="s">
        <v>330</v>
      </c>
      <c r="I11" s="174"/>
    </row>
    <row r="12" spans="1:16">
      <c r="A12" s="238" t="s">
        <v>12</v>
      </c>
      <c r="B12" s="238" t="s">
        <v>13</v>
      </c>
      <c r="C12" s="235"/>
      <c r="D12" s="235"/>
      <c r="E12" s="12" t="s">
        <v>68</v>
      </c>
      <c r="F12" s="12" t="s">
        <v>43</v>
      </c>
      <c r="G12" s="12" t="s">
        <v>331</v>
      </c>
      <c r="H12" s="12" t="s">
        <v>44</v>
      </c>
      <c r="I12" s="237"/>
    </row>
    <row r="13" spans="1:16">
      <c r="E13" s="10" t="s">
        <v>72</v>
      </c>
      <c r="F13" s="10" t="s">
        <v>332</v>
      </c>
      <c r="G13" s="10" t="s">
        <v>333</v>
      </c>
      <c r="H13" s="10"/>
      <c r="I13" s="237"/>
    </row>
    <row r="14" spans="1:16">
      <c r="E14" s="10"/>
      <c r="F14" s="10"/>
      <c r="G14" s="10"/>
      <c r="H14" s="10"/>
      <c r="I14" s="237"/>
    </row>
    <row r="15" spans="1:16">
      <c r="A15" s="9">
        <v>1</v>
      </c>
      <c r="B15" s="231" t="s">
        <v>334</v>
      </c>
      <c r="E15" s="239">
        <f>+C.2!D14-SUM(C.2!D17:D27)</f>
        <v>38688994.745110676</v>
      </c>
      <c r="F15" s="239">
        <f>+G15-E15</f>
        <v>-960822.82188019156</v>
      </c>
      <c r="G15" s="239">
        <f>C.2!O14-SUM(C.2!O17:O27)</f>
        <v>37728171.923230484</v>
      </c>
      <c r="H15" s="10" t="s">
        <v>335</v>
      </c>
      <c r="I15" s="237"/>
    </row>
    <row r="16" spans="1:16">
      <c r="A16" s="9"/>
      <c r="E16" s="240"/>
      <c r="F16" s="240"/>
      <c r="G16" s="240"/>
      <c r="H16" s="10"/>
      <c r="I16" s="10"/>
    </row>
    <row r="17" spans="1:34">
      <c r="A17" s="9">
        <v>2</v>
      </c>
      <c r="B17" s="231" t="s">
        <v>336</v>
      </c>
      <c r="E17" s="241">
        <f>+E32</f>
        <v>8306018.5154064409</v>
      </c>
      <c r="F17" s="241">
        <f>+G17-E17</f>
        <v>1654322.6766520552</v>
      </c>
      <c r="G17" s="241">
        <f>+G32</f>
        <v>9960341.1920584962</v>
      </c>
      <c r="H17" s="10" t="s">
        <v>52</v>
      </c>
      <c r="I17" s="10"/>
    </row>
    <row r="18" spans="1:34">
      <c r="A18" s="9"/>
      <c r="E18" s="240"/>
      <c r="F18" s="240"/>
      <c r="G18" s="240"/>
      <c r="H18" s="10"/>
      <c r="I18" s="10"/>
    </row>
    <row r="19" spans="1:34">
      <c r="A19" s="9">
        <v>3</v>
      </c>
      <c r="B19" s="231" t="s">
        <v>337</v>
      </c>
      <c r="E19" s="239">
        <f>+E15-E17</f>
        <v>30382976.229704235</v>
      </c>
      <c r="F19" s="239">
        <f>+F15-F17</f>
        <v>-2615145.4985322468</v>
      </c>
      <c r="G19" s="239">
        <f>+G15-G17</f>
        <v>27767830.731171988</v>
      </c>
      <c r="H19" s="10"/>
      <c r="I19" s="10"/>
    </row>
    <row r="20" spans="1:34">
      <c r="A20" s="9"/>
      <c r="E20" s="240"/>
      <c r="F20" s="240"/>
      <c r="G20" s="240"/>
      <c r="H20" s="10"/>
      <c r="I20" s="10"/>
    </row>
    <row r="21" spans="1:34">
      <c r="A21" s="9">
        <v>4</v>
      </c>
      <c r="B21" s="231" t="s">
        <v>338</v>
      </c>
      <c r="E21" s="242">
        <f>0.06+0.35*(1-0.06)</f>
        <v>0.38899999999999996</v>
      </c>
      <c r="F21" s="242"/>
      <c r="G21" s="242">
        <v>0.38900000000000001</v>
      </c>
      <c r="H21" s="10" t="s">
        <v>339</v>
      </c>
      <c r="I21" s="10"/>
    </row>
    <row r="22" spans="1:34">
      <c r="A22" s="9"/>
      <c r="E22" s="240"/>
      <c r="F22" s="240"/>
      <c r="G22" s="240"/>
      <c r="H22" s="10"/>
      <c r="I22" s="10"/>
    </row>
    <row r="23" spans="1:34" ht="16.5" thickBot="1">
      <c r="A23" s="9">
        <v>5</v>
      </c>
      <c r="B23" s="243" t="s">
        <v>340</v>
      </c>
      <c r="E23" s="244">
        <f>+E19*E21</f>
        <v>11818977.753354946</v>
      </c>
      <c r="F23" s="244">
        <f>+G23-E23</f>
        <v>-1017291.598929042</v>
      </c>
      <c r="G23" s="245">
        <f>+G19*G21</f>
        <v>10801686.154425904</v>
      </c>
      <c r="H23" s="10"/>
      <c r="I23" s="10"/>
    </row>
    <row r="24" spans="1:34" ht="16.5" thickTop="1">
      <c r="A24" s="9"/>
      <c r="B24" s="243"/>
      <c r="E24" s="246"/>
      <c r="F24" s="240"/>
      <c r="G24" s="247"/>
      <c r="H24" s="10"/>
      <c r="I24" s="10"/>
    </row>
    <row r="25" spans="1:34" ht="15.75">
      <c r="A25" s="9"/>
      <c r="B25" s="243"/>
      <c r="E25" s="246"/>
      <c r="F25" s="240"/>
      <c r="G25" s="247"/>
      <c r="H25" s="10"/>
      <c r="I25" s="10"/>
    </row>
    <row r="26" spans="1:34">
      <c r="A26" s="9"/>
      <c r="E26" s="240"/>
      <c r="F26" s="240"/>
      <c r="G26" s="240"/>
      <c r="H26" s="10"/>
      <c r="I26" s="10"/>
    </row>
    <row r="27" spans="1:34">
      <c r="A27" s="9"/>
      <c r="B27" s="248" t="s">
        <v>341</v>
      </c>
      <c r="E27" s="240"/>
      <c r="F27" s="240"/>
      <c r="G27" s="240"/>
      <c r="H27" s="10"/>
      <c r="I27" s="10"/>
    </row>
    <row r="28" spans="1:34" s="1" customFormat="1">
      <c r="A28" s="9">
        <v>6</v>
      </c>
      <c r="B28" s="249" t="s">
        <v>342</v>
      </c>
      <c r="E28" s="250">
        <v>369386897.00335014</v>
      </c>
      <c r="F28" s="251"/>
      <c r="G28" s="252">
        <v>430095329.87132108</v>
      </c>
      <c r="H28" s="9" t="s">
        <v>343</v>
      </c>
      <c r="J28" s="231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31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49" t="s">
        <v>344</v>
      </c>
      <c r="E30" s="253">
        <v>2.2485958713719913E-2</v>
      </c>
      <c r="G30" s="253">
        <v>2.3158450000000001E-2</v>
      </c>
      <c r="H30" s="9" t="s">
        <v>345</v>
      </c>
      <c r="I30" s="254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31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55" t="s">
        <v>346</v>
      </c>
      <c r="E32" s="256">
        <f>+E28*E30</f>
        <v>8306018.5154064409</v>
      </c>
      <c r="G32" s="256">
        <f>+G28*G30</f>
        <v>9960341.1920584962</v>
      </c>
      <c r="J32" s="231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31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31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57" t="s">
        <v>347</v>
      </c>
      <c r="C35" s="17"/>
      <c r="D35" s="17"/>
      <c r="E35" s="17"/>
      <c r="F35" s="17"/>
      <c r="I35" s="258"/>
      <c r="J35" s="254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59" t="s">
        <v>348</v>
      </c>
      <c r="C36" s="260"/>
      <c r="D36" s="260"/>
      <c r="E36" s="261">
        <v>0.06</v>
      </c>
      <c r="F36" s="260"/>
      <c r="I36" s="258"/>
      <c r="J36" s="254"/>
    </row>
    <row r="37" spans="1:34">
      <c r="A37" s="9">
        <v>11</v>
      </c>
      <c r="B37" s="259" t="s">
        <v>349</v>
      </c>
      <c r="C37" s="260"/>
      <c r="D37" s="260"/>
      <c r="E37" s="261">
        <v>0.35</v>
      </c>
      <c r="F37" s="260"/>
      <c r="I37" s="258"/>
      <c r="J37" s="254"/>
    </row>
    <row r="38" spans="1:34">
      <c r="B38" s="260"/>
      <c r="C38" s="260"/>
      <c r="D38" s="260"/>
      <c r="E38" s="261"/>
      <c r="F38" s="260"/>
      <c r="I38" s="254"/>
      <c r="J38" s="254"/>
    </row>
    <row r="39" spans="1:34">
      <c r="E39" s="262"/>
    </row>
    <row r="40" spans="1:34">
      <c r="E40" s="262"/>
    </row>
    <row r="41" spans="1:34">
      <c r="G41" s="263"/>
    </row>
    <row r="43" spans="1:34">
      <c r="E43" s="262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80" orientation="portrait" verticalDpi="300" r:id="rId1"/>
  <headerFooter alignWithMargins="0">
    <oddHeader>&amp;R&amp;9CASE NO. 2017-00349
ATTACHMENT 1
TO STAFF DR NO. 1-46
(SUPPLEMENT 01-03-18)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2017-12-27T14:50:41Z</cp:lastPrinted>
  <dcterms:created xsi:type="dcterms:W3CDTF">2017-11-15T21:26:56Z</dcterms:created>
  <dcterms:modified xsi:type="dcterms:W3CDTF">2017-12-27T14:50:45Z</dcterms:modified>
</cp:coreProperties>
</file>